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ecommerce_customer_segmentation" sheetId="1" r:id="rId1"/>
  </sheets>
  <definedNames>
    <definedName name="_xlnm._FilterDatabase" localSheetId="0" hidden="1">ecommerce_customer_segmentation!$S$1:$S$5001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<sst xmlns="http://schemas.openxmlformats.org/spreadsheetml/2006/main" count="30046" uniqueCount="5068">
  <si>
    <t>CustomerID</t>
  </si>
  <si>
    <t>Age</t>
  </si>
  <si>
    <t>Gender</t>
  </si>
  <si>
    <t>CityTier</t>
  </si>
  <si>
    <t>CustomerTenureDays</t>
  </si>
  <si>
    <t>RecencyDays</t>
  </si>
  <si>
    <t>OrdersLast12Months</t>
  </si>
  <si>
    <t>AverageOrderValueINR</t>
  </si>
  <si>
    <t>TotalSpendLast12MonthsINR</t>
  </si>
  <si>
    <t>WebsiteVisitsLast12Months</t>
  </si>
  <si>
    <t>ReturnCountLast12Months</t>
  </si>
  <si>
    <t>AverageDiscountPercent</t>
  </si>
  <si>
    <t>EmailOpenRatePercent</t>
  </si>
  <si>
    <t>PreferredCategory</t>
  </si>
  <si>
    <t>PreferredDevice</t>
  </si>
  <si>
    <t>PreferredPaymentMethod</t>
  </si>
  <si>
    <t>AVG_purches_value</t>
  </si>
  <si>
    <t>Customer_spending</t>
  </si>
  <si>
    <t>Recency</t>
  </si>
  <si>
    <t>Frequency</t>
  </si>
  <si>
    <t>Pre_monetory</t>
  </si>
  <si>
    <t>Monetory</t>
  </si>
  <si>
    <t>Customer_lifetime_value</t>
  </si>
  <si>
    <t>Purchase_frequency</t>
  </si>
  <si>
    <t>Max_customer_lifetime_value</t>
  </si>
  <si>
    <t>Min_customer_lifetime_value</t>
  </si>
  <si>
    <t>AVG_customer_lifetime_value</t>
  </si>
  <si>
    <t>Max_age</t>
  </si>
  <si>
    <t>Min_age</t>
  </si>
  <si>
    <t>AVG_age</t>
  </si>
  <si>
    <t>Max_Customer_Tenure_Days</t>
  </si>
  <si>
    <t>Min_Customer_Tenure_Days</t>
  </si>
  <si>
    <t>AVG_Customer_Tenure_days</t>
  </si>
  <si>
    <t>Customer_Type</t>
  </si>
  <si>
    <t>Total_spending_min</t>
  </si>
  <si>
    <t>K_means</t>
  </si>
  <si>
    <t>Plottting</t>
  </si>
  <si>
    <t>Max_K_means</t>
  </si>
  <si>
    <t>Min_K_means</t>
  </si>
  <si>
    <t>AVG_K_means</t>
  </si>
  <si>
    <t>Max_plotting</t>
  </si>
  <si>
    <t>Min_plotting</t>
  </si>
  <si>
    <t>AVG_plotting</t>
  </si>
  <si>
    <t>C00001</t>
  </si>
  <si>
    <t>Male</t>
  </si>
  <si>
    <t>Tier 2</t>
  </si>
  <si>
    <t>Books</t>
  </si>
  <si>
    <t>Android</t>
  </si>
  <si>
    <t>Cash on Delivery</t>
  </si>
  <si>
    <t>C00002</t>
  </si>
  <si>
    <t>Female</t>
  </si>
  <si>
    <t>Tier 3</t>
  </si>
  <si>
    <t>Electronics</t>
  </si>
  <si>
    <t>iOS</t>
  </si>
  <si>
    <t>Net Banking</t>
  </si>
  <si>
    <t>C00003</t>
  </si>
  <si>
    <t>Other</t>
  </si>
  <si>
    <t>Beauty</t>
  </si>
  <si>
    <t>UPI</t>
  </si>
  <si>
    <t>C00004</t>
  </si>
  <si>
    <t>Tier 1</t>
  </si>
  <si>
    <t>Fashion</t>
  </si>
  <si>
    <t>C00005</t>
  </si>
  <si>
    <t>Grocery</t>
  </si>
  <si>
    <t>C00006</t>
  </si>
  <si>
    <t>C00007</t>
  </si>
  <si>
    <t>Debit Card</t>
  </si>
  <si>
    <t>C00008</t>
  </si>
  <si>
    <t>Credit Card</t>
  </si>
  <si>
    <t>C00009</t>
  </si>
  <si>
    <t>C00010</t>
  </si>
  <si>
    <t>C00011</t>
  </si>
  <si>
    <t>C00012</t>
  </si>
  <si>
    <t>C00013</t>
  </si>
  <si>
    <t>C00014</t>
  </si>
  <si>
    <t>Desktop</t>
  </si>
  <si>
    <t>C00015</t>
  </si>
  <si>
    <t>C00016</t>
  </si>
  <si>
    <t>Sports</t>
  </si>
  <si>
    <t>C00017</t>
  </si>
  <si>
    <t>C00018</t>
  </si>
  <si>
    <t>Home &amp; Kitchen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</si>
  <si>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</si>
  <si>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</si>
  <si>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</si>
  <si>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</si>
  <si>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</si>
  <si>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</si>
  <si>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</si>
  <si>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</si>
  <si>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</si>
  <si>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</si>
  <si>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</si>
  <si>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</si>
  <si>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</si>
  <si>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</si>
  <si>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</si>
  <si>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</si>
  <si>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</si>
  <si>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</si>
  <si>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</si>
  <si>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Prefer not to say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</si>
  <si>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</si>
  <si>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</si>
  <si>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</si>
  <si>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</si>
  <si>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</si>
  <si>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</si>
  <si>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</si>
  <si>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</si>
  <si>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</si>
  <si>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</si>
  <si>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</si>
  <si>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</si>
  <si>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</si>
  <si>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</si>
  <si>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</si>
  <si>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</si>
  <si>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</si>
  <si>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</si>
  <si>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</si>
  <si>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</si>
  <si>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</si>
  <si>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</si>
  <si>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</si>
  <si>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</si>
  <si>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</si>
  <si>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</si>
  <si>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</si>
  <si>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</si>
  <si>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</si>
  <si>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</si>
  <si>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</si>
  <si>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</si>
  <si>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</si>
  <si>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</si>
  <si>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</si>
  <si>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</si>
  <si>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</si>
  <si>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</si>
  <si>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</si>
  <si>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</si>
  <si>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</si>
  <si>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</si>
  <si>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</si>
  <si>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</si>
  <si>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</si>
  <si>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</si>
  <si>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</si>
  <si>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</si>
  <si>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</si>
  <si>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</si>
  <si>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</si>
  <si>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</si>
  <si>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</si>
  <si>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</si>
  <si>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</si>
  <si>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</si>
  <si>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</si>
  <si>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</si>
  <si>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</si>
  <si>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</si>
  <si>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</si>
  <si>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</si>
  <si>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</si>
  <si>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</si>
  <si>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</si>
  <si>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</si>
  <si>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</si>
  <si>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</si>
  <si>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</si>
  <si>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</si>
  <si>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</si>
  <si>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</si>
  <si>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</si>
  <si>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</si>
  <si>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</si>
  <si>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</si>
  <si>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</si>
  <si>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</si>
  <si>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</si>
  <si>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</si>
  <si>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</si>
  <si>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</si>
  <si>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</si>
  <si>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</si>
  <si>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</si>
  <si>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</si>
  <si>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</si>
  <si>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</si>
  <si>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</si>
  <si>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</si>
  <si>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</si>
  <si>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</si>
  <si>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</si>
  <si>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</si>
  <si>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</si>
  <si>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</si>
  <si>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</si>
  <si>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</si>
  <si>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</si>
  <si>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</si>
  <si>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</si>
  <si>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</si>
  <si>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</si>
  <si>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</si>
  <si>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</si>
  <si>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</si>
  <si>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</si>
  <si>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</si>
  <si>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</si>
  <si>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</si>
  <si>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</si>
  <si>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</si>
  <si>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</si>
  <si>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</si>
  <si>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</si>
  <si>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</si>
  <si>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</si>
  <si>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</si>
  <si>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</si>
  <si>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</si>
  <si>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</si>
  <si>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</si>
  <si>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</si>
  <si>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</si>
  <si>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</si>
  <si>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</si>
  <si>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</si>
  <si>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</si>
  <si>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</si>
  <si>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</si>
  <si>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</si>
  <si>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</si>
  <si>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</si>
  <si>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</si>
  <si>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</si>
  <si>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</si>
  <si>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</si>
  <si>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</si>
  <si>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</si>
  <si>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</si>
  <si>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</si>
  <si>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</si>
  <si>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</si>
  <si>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</si>
  <si>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</si>
  <si>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</si>
  <si>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</si>
  <si>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</si>
  <si>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</si>
  <si>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</si>
  <si>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</si>
  <si>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</si>
  <si>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</si>
  <si>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</si>
  <si>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</si>
  <si>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</si>
  <si>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</si>
  <si>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</si>
  <si>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</si>
  <si>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</si>
  <si>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</si>
  <si>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</si>
  <si>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</si>
  <si>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</si>
  <si>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</si>
  <si>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</si>
  <si>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</si>
  <si>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</si>
  <si>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</si>
  <si>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</si>
  <si>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</si>
  <si>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</si>
  <si>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</si>
  <si>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</si>
  <si>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</si>
  <si>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</si>
  <si>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</si>
  <si>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</si>
  <si>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</si>
  <si>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</si>
  <si>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</si>
  <si>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</si>
  <si>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</si>
  <si>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</si>
  <si>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</si>
  <si>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</si>
  <si>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</si>
  <si>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</si>
  <si>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</si>
  <si>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</si>
  <si>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</si>
  <si>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</si>
  <si>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</si>
  <si>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</si>
  <si>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</si>
  <si>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</si>
  <si>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</si>
  <si>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</si>
  <si>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</si>
  <si>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</si>
  <si>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</si>
  <si>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</si>
  <si>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</si>
  <si>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</si>
  <si>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</si>
  <si>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</si>
  <si>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</si>
  <si>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</si>
  <si>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</si>
  <si>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</si>
  <si>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</si>
  <si>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</si>
  <si>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</si>
  <si>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</si>
  <si>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</si>
  <si>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</si>
  <si>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</si>
  <si>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</si>
  <si>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</si>
  <si>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</si>
  <si>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</si>
  <si>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</si>
  <si>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</si>
  <si>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</si>
  <si>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</si>
  <si>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</si>
  <si>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</si>
  <si>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</si>
  <si>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</si>
  <si>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</si>
  <si>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</si>
  <si>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</si>
  <si>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</si>
  <si>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</si>
  <si>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</si>
  <si>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</si>
  <si>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</si>
  <si>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</si>
  <si>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</si>
  <si>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</si>
  <si>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</si>
  <si>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</si>
  <si>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</si>
  <si>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</si>
  <si>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</si>
  <si>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</si>
  <si>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</si>
  <si>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</si>
  <si>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</si>
  <si>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</si>
  <si>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</si>
  <si>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</si>
  <si>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</si>
  <si>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</si>
  <si>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</si>
  <si>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</si>
  <si>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</si>
  <si>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</si>
  <si>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</si>
  <si>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</si>
  <si>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</si>
  <si>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</si>
  <si>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</si>
  <si>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</si>
  <si>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</si>
  <si>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</si>
  <si>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</si>
  <si>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</si>
  <si>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</si>
  <si>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</si>
  <si>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</si>
  <si>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</si>
  <si>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</si>
  <si>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</si>
  <si>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</si>
  <si>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</si>
  <si>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</si>
  <si>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</si>
  <si>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</si>
  <si>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</si>
  <si>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</si>
  <si>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</si>
  <si>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</si>
  <si>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</si>
  <si>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</si>
  <si>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</si>
  <si>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</si>
  <si>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</si>
  <si>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</si>
  <si>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</si>
  <si>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</si>
  <si>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</si>
  <si>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</si>
  <si>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</si>
  <si>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</si>
  <si>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</si>
  <si>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</si>
  <si>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</si>
  <si>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</si>
  <si>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</si>
  <si>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</si>
  <si>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</si>
  <si>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</si>
  <si>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</si>
  <si>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</si>
  <si>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</si>
  <si>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</si>
  <si>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</si>
  <si>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</si>
  <si>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</si>
  <si>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</si>
  <si>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</si>
  <si>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</si>
  <si>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</si>
  <si>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</si>
  <si>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</si>
  <si>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</si>
  <si>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</si>
  <si>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</si>
  <si>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</si>
  <si>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</si>
  <si>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</si>
  <si>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</si>
  <si>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</si>
  <si>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</si>
  <si>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</si>
  <si>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</si>
  <si>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</si>
  <si>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</si>
  <si>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</si>
  <si>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</si>
  <si>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</si>
  <si>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</si>
  <si>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</si>
  <si>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</si>
  <si>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</si>
  <si>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</si>
  <si>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</si>
  <si>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</si>
  <si>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</si>
  <si>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</si>
  <si>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</si>
  <si>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</si>
  <si>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</si>
  <si>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</si>
  <si>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</si>
  <si>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</si>
  <si>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</si>
  <si>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</si>
  <si>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</si>
  <si>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</si>
  <si>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</si>
  <si>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</si>
  <si>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</si>
  <si>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</si>
  <si>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</si>
  <si>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</si>
  <si>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</si>
  <si>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</si>
  <si>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</si>
  <si>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</si>
  <si>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</si>
  <si>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</si>
  <si>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</si>
  <si>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</si>
  <si>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</si>
  <si>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</si>
  <si>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</si>
  <si>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</si>
  <si>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</si>
  <si>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</si>
  <si>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</si>
  <si>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</si>
  <si>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</si>
  <si>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</si>
  <si>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</si>
  <si>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</si>
  <si>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</si>
  <si>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</si>
  <si>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</si>
  <si>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</si>
  <si>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</si>
  <si>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</si>
  <si>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</si>
  <si>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</si>
  <si>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</si>
  <si>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</si>
  <si>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</si>
  <si>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</si>
  <si>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</si>
  <si>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</si>
  <si>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</si>
  <si>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</si>
  <si>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</si>
  <si>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</si>
  <si>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</si>
  <si>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</si>
  <si>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</si>
  <si>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</si>
  <si>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</si>
  <si>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</si>
  <si>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</si>
  <si>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</si>
  <si>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</si>
  <si>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</si>
  <si>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</si>
  <si>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</si>
  <si>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</si>
  <si>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</si>
  <si>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</si>
  <si>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</si>
  <si>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</si>
  <si>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</si>
  <si>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</si>
  <si>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</si>
  <si>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</si>
  <si>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</si>
  <si>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</si>
  <si>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</si>
  <si>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</si>
  <si>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</si>
  <si>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</si>
  <si>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</si>
  <si>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</si>
  <si>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</si>
  <si>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</si>
  <si>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</si>
  <si>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</si>
  <si>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</si>
  <si>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</si>
  <si>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</si>
  <si>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</si>
  <si>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</si>
  <si>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</si>
  <si>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</si>
  <si>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</si>
  <si>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</si>
  <si>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</si>
  <si>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</si>
  <si>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</si>
  <si>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</si>
  <si>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</si>
  <si>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</si>
  <si>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</si>
  <si>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</si>
  <si>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</si>
  <si>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</si>
  <si>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</si>
  <si>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</si>
  <si>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</si>
  <si>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</si>
  <si>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</si>
  <si>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</si>
  <si>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</si>
  <si>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</si>
  <si>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</si>
  <si>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</si>
  <si>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</si>
  <si>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</si>
  <si>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</si>
  <si>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</si>
  <si>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</si>
  <si>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</si>
  <si>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</si>
  <si>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</si>
  <si>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</si>
  <si>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</si>
  <si>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</si>
  <si>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</si>
  <si>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</si>
  <si>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</si>
  <si>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</si>
  <si>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</si>
  <si>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</si>
  <si>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</si>
  <si>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</si>
  <si>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</si>
  <si>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</si>
  <si>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</si>
  <si>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</si>
  <si>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</si>
  <si>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</si>
  <si>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</si>
  <si>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</si>
  <si>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</si>
  <si>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</si>
  <si>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</si>
  <si>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</si>
  <si>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</si>
  <si>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</si>
  <si>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</si>
  <si>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</si>
  <si>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</si>
  <si>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</si>
  <si>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</si>
  <si>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</si>
  <si>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</si>
  <si>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</si>
  <si>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</si>
  <si>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</si>
  <si>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</si>
  <si>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</si>
  <si>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</si>
  <si>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</si>
  <si>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</si>
  <si>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</si>
  <si>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</si>
  <si>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</si>
  <si>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</si>
  <si>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</si>
  <si>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</si>
  <si>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</si>
  <si>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</si>
  <si>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</si>
  <si>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</si>
  <si>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</si>
  <si>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</si>
  <si>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</si>
  <si>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</si>
  <si>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</si>
  <si>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</si>
  <si>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</si>
  <si>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</si>
  <si>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</si>
  <si>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</si>
  <si>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</si>
  <si>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</si>
  <si>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</si>
  <si>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</si>
  <si>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</si>
  <si>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</si>
  <si>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</si>
  <si>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</si>
  <si>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</si>
  <si>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</si>
  <si>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</si>
  <si>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</si>
  <si>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</si>
  <si>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</si>
  <si>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</si>
  <si>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</si>
  <si>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</si>
  <si>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</si>
  <si>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</si>
  <si>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</si>
  <si>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</si>
  <si>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</si>
  <si>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</si>
  <si>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</si>
  <si>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</si>
  <si>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</si>
  <si>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</si>
  <si>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</si>
  <si>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</si>
  <si>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</si>
  <si>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</si>
  <si>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</si>
  <si>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</si>
  <si>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</si>
  <si>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</si>
  <si>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</si>
  <si>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</si>
  <si>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</si>
  <si>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</si>
  <si>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</si>
  <si>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</si>
  <si>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</si>
  <si>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</si>
  <si>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</si>
  <si>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</si>
  <si>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</si>
  <si>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</si>
  <si>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</si>
  <si>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</si>
  <si>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</si>
  <si>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</si>
  <si>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</si>
  <si>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</si>
  <si>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</si>
  <si>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</si>
  <si>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</si>
  <si>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</si>
  <si>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</si>
  <si>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</si>
  <si>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</si>
  <si>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</si>
  <si>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</si>
  <si>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</si>
  <si>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</si>
  <si>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</si>
  <si>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</si>
  <si>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</si>
  <si>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</si>
  <si>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</si>
  <si>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</si>
  <si>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</si>
  <si>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</si>
  <si>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</si>
  <si>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</si>
  <si>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</si>
  <si>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</si>
  <si>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</si>
  <si>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</si>
  <si>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</si>
  <si>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</si>
  <si>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</si>
  <si>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</si>
  <si>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</si>
  <si>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</si>
  <si>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</si>
  <si>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</si>
  <si>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</si>
  <si>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</si>
  <si>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</si>
  <si>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</si>
  <si>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</si>
  <si>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</si>
  <si>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</si>
  <si>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</si>
  <si>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</si>
  <si>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</si>
  <si>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</si>
  <si>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</si>
  <si>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</si>
  <si>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</si>
  <si>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</si>
  <si>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</si>
  <si>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</si>
  <si>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</si>
  <si>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</si>
  <si>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</si>
  <si>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</si>
  <si>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</si>
  <si>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</si>
  <si>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</si>
  <si>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</si>
  <si>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</si>
  <si>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</si>
  <si>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</si>
  <si>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</si>
  <si>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</si>
  <si>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</si>
  <si>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</si>
  <si>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</si>
  <si>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</si>
  <si>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</si>
  <si>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</si>
  <si>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</si>
  <si>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</si>
  <si>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</si>
  <si>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</si>
  <si>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</si>
  <si>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</si>
  <si>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</si>
  <si>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</si>
  <si>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</si>
  <si>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</si>
  <si>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</si>
  <si>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</si>
  <si>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</si>
  <si>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</si>
  <si>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</si>
  <si>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</si>
  <si>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</si>
  <si>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</si>
  <si>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</si>
  <si>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</si>
  <si>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</si>
  <si>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</si>
  <si>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</si>
  <si>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</si>
  <si>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</si>
  <si>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</si>
  <si>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</si>
  <si>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</si>
  <si>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</si>
  <si>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</si>
  <si>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</si>
  <si>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</si>
  <si>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</si>
  <si>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</si>
  <si>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</si>
  <si>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</si>
  <si>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</si>
  <si>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</si>
  <si>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</si>
  <si>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</si>
  <si>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</si>
  <si>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</si>
  <si>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</si>
  <si>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</si>
  <si>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</si>
  <si>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</si>
  <si>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</si>
  <si>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</si>
  <si>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</si>
  <si>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</si>
  <si>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</si>
  <si>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</si>
  <si>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</si>
  <si>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</si>
  <si>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</si>
  <si>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</si>
  <si>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</si>
  <si>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</si>
  <si>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</si>
  <si>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</si>
  <si>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</si>
  <si>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</si>
  <si>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</si>
  <si>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</si>
  <si>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</si>
  <si>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</si>
  <si>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</si>
  <si>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</si>
  <si>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</si>
  <si>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</si>
  <si>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</si>
  <si>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</si>
  <si>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</si>
  <si>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</si>
  <si>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</si>
  <si>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</si>
  <si>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</si>
  <si>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</si>
  <si>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</si>
  <si>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</si>
  <si>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</si>
  <si>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</si>
  <si>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</si>
  <si>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</si>
  <si>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</si>
  <si>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</si>
  <si>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</si>
  <si>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</si>
  <si>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</si>
  <si>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</si>
  <si>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</si>
  <si>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</si>
  <si>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</si>
  <si>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</si>
  <si>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</si>
  <si>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</si>
  <si>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</si>
  <si>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</si>
  <si>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</si>
  <si>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</si>
  <si>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</si>
  <si>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</si>
  <si>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</si>
  <si>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</si>
  <si>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</si>
  <si>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</si>
  <si>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</si>
  <si>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</si>
  <si>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</si>
  <si>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</si>
  <si>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</si>
  <si>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</si>
  <si>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</si>
  <si>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</si>
  <si>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</si>
  <si>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</si>
  <si>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</si>
  <si>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</si>
  <si>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</si>
  <si>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</si>
  <si>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</si>
  <si>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</si>
  <si>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</si>
  <si>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</si>
  <si>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</si>
  <si>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</si>
  <si>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</si>
  <si>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</si>
  <si>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</si>
  <si>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</si>
  <si>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</si>
  <si>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</si>
  <si>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</si>
  <si>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</si>
  <si>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</si>
  <si>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</si>
  <si>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</si>
  <si>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</si>
  <si>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</si>
  <si>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</si>
  <si>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</si>
  <si>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</si>
  <si>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</si>
  <si>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</si>
  <si>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</si>
  <si>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</si>
  <si>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</si>
  <si>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</si>
  <si>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</si>
  <si>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</si>
  <si>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</si>
  <si>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</si>
  <si>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</si>
  <si>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</si>
  <si>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</si>
  <si>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</si>
  <si>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</si>
  <si>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</si>
  <si>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</si>
  <si>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</si>
  <si>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</si>
  <si>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</si>
  <si>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</si>
  <si>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</si>
  <si>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</si>
  <si>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</si>
  <si>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</si>
  <si>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</si>
  <si>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</si>
  <si>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</si>
  <si>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</si>
  <si>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</si>
  <si>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</si>
  <si>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</si>
  <si>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</si>
  <si>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</si>
  <si>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</si>
  <si>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</si>
  <si>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</si>
  <si>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</si>
  <si>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</si>
  <si>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</si>
  <si>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</si>
  <si>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</si>
  <si>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</si>
  <si>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</si>
  <si>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</si>
  <si>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</si>
  <si>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</si>
  <si>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</si>
  <si>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</si>
  <si>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</si>
  <si>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</si>
  <si>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</si>
  <si>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</si>
  <si>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</si>
  <si>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</si>
  <si>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</si>
  <si>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</si>
  <si>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</si>
  <si>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</si>
  <si>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</si>
  <si>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</si>
  <si>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</si>
  <si>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</si>
  <si>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</si>
  <si>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</si>
  <si>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</si>
  <si>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</si>
  <si>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</si>
  <si>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</si>
  <si>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</si>
  <si>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</si>
  <si>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</si>
  <si>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</si>
  <si>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</si>
  <si>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</si>
  <si>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</si>
  <si>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</si>
  <si>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</si>
  <si>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</si>
  <si>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</si>
  <si>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</si>
  <si>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</si>
  <si>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</si>
  <si>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</si>
  <si>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</si>
  <si>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</si>
  <si>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</si>
  <si>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</si>
  <si>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</si>
  <si>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</si>
  <si>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</si>
  <si>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</si>
  <si>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</si>
  <si>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</si>
  <si>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</si>
  <si>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</si>
  <si>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</si>
  <si>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</si>
  <si>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</si>
  <si>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</si>
  <si>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</si>
  <si>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</si>
  <si>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</si>
  <si>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</si>
  <si>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</si>
  <si>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</si>
  <si>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</si>
  <si>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</si>
  <si>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</si>
  <si>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</si>
  <si>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</si>
  <si>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</si>
  <si>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</si>
  <si>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</si>
  <si>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</si>
  <si>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</si>
  <si>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</si>
  <si>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</si>
  <si>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</si>
  <si>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</si>
  <si>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</si>
  <si>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</si>
  <si>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</si>
  <si>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</si>
  <si>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</si>
  <si>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</si>
  <si>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</si>
  <si>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</si>
  <si>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</si>
  <si>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</si>
  <si>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</si>
  <si>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</si>
  <si>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</si>
  <si>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</si>
  <si>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</si>
  <si>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</si>
  <si>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</si>
  <si>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</si>
  <si>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</si>
  <si>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</si>
  <si>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</si>
  <si>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</si>
  <si>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</si>
  <si>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</si>
  <si>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</si>
  <si>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</si>
  <si>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</si>
  <si>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</si>
  <si>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</si>
  <si>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</si>
  <si>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</si>
  <si>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</si>
  <si>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</si>
  <si>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</si>
  <si>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</si>
  <si>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</si>
  <si>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</si>
  <si>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</si>
  <si>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</si>
  <si>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</si>
  <si>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</si>
  <si>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</si>
  <si>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</si>
  <si>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</si>
  <si>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</si>
  <si>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</si>
  <si>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</si>
  <si>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</si>
  <si>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</si>
  <si>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</si>
  <si>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</si>
  <si>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</si>
  <si>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</si>
  <si>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</si>
  <si>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</si>
  <si>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</si>
  <si>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</si>
  <si>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</si>
  <si>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</si>
  <si>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</si>
  <si>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</si>
  <si>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</si>
  <si>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</si>
  <si>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</si>
  <si>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</si>
  <si>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</si>
  <si>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</si>
  <si>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</si>
  <si>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</si>
  <si>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</si>
  <si>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</si>
  <si>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</si>
  <si>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</si>
  <si>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</si>
  <si>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</si>
  <si>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</si>
  <si>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</si>
  <si>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</si>
  <si>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</si>
  <si>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</si>
  <si>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</si>
  <si>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</si>
  <si>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</si>
  <si>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</si>
  <si>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</si>
  <si>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</si>
  <si>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</si>
  <si>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</si>
  <si>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</si>
  <si>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</si>
  <si>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</si>
  <si>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</si>
  <si>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</si>
  <si>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</si>
  <si>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</si>
  <si>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</si>
  <si>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</si>
  <si>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</si>
  <si>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</si>
  <si>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</si>
  <si>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</si>
  <si>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</si>
  <si>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</si>
  <si>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</si>
  <si>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</si>
  <si>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</si>
  <si>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</si>
  <si>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</si>
  <si>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</si>
  <si>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</si>
  <si>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</si>
  <si>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</si>
  <si>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</si>
  <si>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</si>
  <si>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</si>
  <si>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</si>
  <si>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</si>
  <si>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</si>
  <si>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</si>
  <si>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</si>
  <si>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</si>
  <si>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</si>
  <si>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</si>
  <si>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</si>
  <si>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</si>
  <si>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</si>
  <si>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</si>
  <si>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</si>
  <si>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</si>
  <si>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</si>
  <si>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</si>
  <si>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</si>
  <si>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</si>
  <si>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</si>
  <si>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</si>
  <si>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</si>
  <si>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</si>
  <si>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</si>
  <si>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</si>
  <si>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</si>
  <si>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</si>
  <si>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</si>
  <si>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</si>
  <si>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</si>
  <si>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</si>
  <si>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</si>
  <si>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</si>
  <si>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</si>
  <si>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</si>
  <si>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</si>
  <si>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</si>
  <si>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</si>
  <si>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</si>
  <si>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</si>
  <si>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</si>
  <si>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</si>
  <si>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</si>
  <si>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</si>
  <si>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</si>
  <si>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</si>
  <si>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</si>
  <si>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</si>
  <si>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</si>
  <si>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</si>
  <si>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</si>
  <si>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</si>
  <si>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</si>
  <si>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</si>
  <si>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</si>
  <si>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</si>
  <si>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</si>
  <si>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</si>
  <si>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</si>
  <si>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</si>
  <si>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</si>
  <si>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</si>
  <si>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</si>
  <si>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</si>
  <si>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</si>
  <si>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</si>
  <si>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</si>
  <si>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</si>
  <si>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</si>
  <si>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</si>
  <si>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</si>
  <si>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</si>
  <si>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</si>
  <si>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</si>
  <si>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</si>
  <si>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</si>
  <si>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</si>
  <si>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</si>
  <si>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</si>
  <si>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</si>
  <si>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</si>
  <si>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</si>
  <si>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</si>
  <si>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</si>
  <si>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</si>
  <si>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</si>
  <si>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</si>
  <si>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</si>
  <si>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</si>
  <si>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</si>
  <si>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</si>
  <si>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</si>
  <si>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</si>
  <si>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</si>
  <si>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</si>
  <si>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</si>
  <si>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</si>
  <si>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</si>
  <si>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</si>
  <si>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</si>
  <si>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</si>
  <si>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</si>
  <si>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</si>
  <si>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</si>
  <si>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</si>
  <si>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</si>
  <si>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</si>
  <si>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</si>
  <si>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</si>
  <si>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</si>
  <si>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</si>
  <si>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</si>
  <si>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</si>
  <si>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</si>
  <si>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</si>
  <si>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</si>
  <si>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</si>
  <si>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</si>
  <si>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</si>
  <si>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</si>
  <si>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</si>
  <si>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</si>
  <si>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</si>
  <si>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</si>
  <si>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</si>
  <si>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</si>
  <si>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</si>
  <si>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</si>
  <si>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</si>
  <si>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</si>
  <si>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</si>
  <si>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</si>
  <si>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</si>
  <si>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</si>
  <si>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</si>
  <si>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</si>
  <si>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</si>
  <si>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</si>
  <si>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</si>
  <si>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</si>
  <si>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</si>
  <si>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</si>
  <si>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</si>
  <si>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</si>
  <si>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</si>
  <si>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</si>
  <si>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</si>
  <si>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</si>
  <si>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</si>
  <si>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</si>
  <si>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</si>
  <si>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</si>
  <si>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</si>
  <si>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</si>
  <si>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</si>
  <si>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</si>
  <si>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</si>
  <si>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</si>
  <si>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</si>
  <si>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</si>
  <si>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</si>
  <si>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</si>
  <si>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</si>
  <si>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</si>
  <si>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</si>
  <si>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</si>
  <si>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</si>
  <si>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</si>
  <si>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</si>
  <si>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</si>
  <si>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</si>
  <si>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</si>
  <si>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</si>
  <si>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</si>
  <si>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</si>
  <si>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</si>
  <si>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</si>
  <si>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</si>
  <si>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</si>
  <si>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</si>
  <si>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</si>
  <si>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</si>
  <si>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</si>
  <si>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</si>
  <si>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</si>
  <si>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</si>
  <si>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</si>
  <si>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</si>
  <si>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</si>
  <si>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</si>
  <si>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</si>
  <si>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</si>
  <si>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</si>
  <si>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</si>
  <si>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</si>
  <si>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</si>
  <si>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</si>
  <si>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</si>
  <si>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</si>
  <si>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</si>
  <si>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</si>
  <si>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</si>
  <si>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</si>
  <si>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</si>
  <si>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</si>
  <si>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</si>
  <si>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</si>
  <si>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</si>
  <si>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</si>
  <si>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</si>
  <si>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</si>
  <si>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</si>
  <si>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</si>
  <si>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</si>
  <si>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</si>
  <si>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</si>
  <si>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</si>
  <si>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</si>
  <si>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</si>
  <si>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</si>
  <si>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</si>
  <si>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</si>
  <si>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</si>
  <si>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</si>
  <si>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</si>
  <si>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</si>
  <si>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</si>
  <si>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</si>
  <si>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</si>
  <si>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</si>
  <si>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</si>
  <si>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</si>
  <si>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</si>
  <si>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</si>
  <si>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</si>
  <si>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</si>
  <si>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</si>
  <si>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</si>
  <si>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</si>
  <si>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</si>
  <si>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</si>
  <si>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</si>
  <si>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</si>
  <si>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</si>
  <si>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</si>
  <si>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</si>
  <si>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</si>
  <si>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</si>
  <si>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</si>
  <si>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</si>
  <si>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</si>
  <si>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</si>
  <si>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</si>
  <si>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</si>
  <si>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</si>
  <si>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</si>
  <si>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</si>
  <si>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</si>
  <si>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</si>
  <si>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</si>
  <si>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</si>
  <si>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</si>
  <si>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</si>
  <si>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</si>
  <si>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</si>
  <si>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</si>
  <si>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</si>
  <si>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</si>
  <si>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</si>
  <si>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</si>
  <si>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</si>
  <si>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</si>
  <si>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</si>
  <si>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</si>
  <si>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</si>
  <si>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</si>
  <si>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</si>
  <si>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</si>
  <si>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</si>
  <si>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</si>
  <si>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</si>
  <si>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</si>
  <si>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</si>
  <si>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</si>
  <si>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</si>
  <si>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</si>
  <si>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</si>
  <si>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</si>
  <si>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</si>
  <si>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</si>
  <si>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</si>
  <si>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</si>
  <si>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</si>
  <si>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</si>
  <si>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</si>
  <si>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</si>
  <si>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</si>
  <si>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</si>
  <si>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</si>
  <si>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</si>
  <si>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</si>
  <si>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</si>
  <si>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</si>
  <si>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</si>
  <si>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</si>
  <si>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</si>
  <si>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</si>
  <si>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</si>
  <si>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</si>
  <si>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</si>
  <si>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</si>
  <si>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</si>
  <si>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</si>
  <si>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</si>
  <si>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</si>
  <si>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</si>
  <si>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</si>
  <si>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</si>
  <si>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</si>
  <si>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</si>
  <si>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</si>
  <si>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</si>
  <si>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</si>
  <si>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</si>
  <si>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</si>
  <si>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</si>
  <si>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</si>
  <si>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</si>
  <si>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</si>
  <si>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</si>
  <si>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</si>
  <si>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</si>
  <si>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</si>
  <si>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</si>
  <si>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</si>
  <si>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</si>
  <si>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</si>
  <si>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</si>
  <si>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</si>
  <si>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</si>
  <si>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</si>
  <si>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</si>
  <si>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</si>
  <si>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</si>
  <si>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</si>
  <si>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</si>
  <si>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</si>
  <si>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</si>
  <si>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</si>
  <si>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</si>
  <si>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</si>
  <si>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</si>
  <si>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</si>
  <si>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</si>
  <si>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</si>
  <si>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</si>
  <si>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</si>
  <si>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</si>
  <si>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</si>
  <si>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</si>
  <si>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</si>
  <si>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</si>
  <si>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</si>
  <si>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</si>
  <si>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</si>
  <si>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</si>
  <si>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</si>
  <si>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</si>
  <si>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</si>
  <si>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</si>
  <si>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</si>
  <si>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</si>
  <si>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</si>
  <si>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</si>
  <si>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</si>
  <si>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</si>
  <si>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</si>
  <si>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</si>
  <si>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</si>
  <si>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</si>
  <si>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</si>
  <si>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</si>
  <si>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</si>
  <si>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</si>
  <si>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</si>
  <si>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</si>
  <si>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</si>
  <si>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</si>
  <si>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</si>
  <si>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</si>
  <si>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</si>
  <si>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</si>
  <si>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</si>
  <si>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</si>
  <si>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</si>
  <si>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</si>
  <si>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</si>
  <si>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</si>
  <si>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</si>
  <si>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</si>
  <si>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</si>
  <si>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</si>
  <si>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</si>
  <si>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</si>
  <si>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</si>
  <si>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</si>
  <si>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</si>
  <si>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</si>
  <si>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</si>
  <si>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</si>
  <si>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</si>
  <si>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</si>
  <si>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</si>
  <si>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</si>
  <si>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</si>
  <si>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</si>
  <si>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</si>
  <si>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</si>
  <si>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</si>
  <si>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</si>
  <si>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</si>
  <si>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</si>
  <si>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</si>
  <si>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</si>
  <si>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</si>
  <si>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</si>
  <si>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</si>
  <si>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</si>
  <si>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</si>
  <si>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</si>
  <si>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</si>
  <si>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</si>
  <si>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</si>
  <si>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</si>
  <si>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</si>
  <si>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</si>
  <si>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</si>
  <si>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</si>
  <si>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</si>
  <si>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</si>
  <si>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</si>
  <si>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</si>
  <si>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</si>
  <si>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</si>
  <si>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</si>
  <si>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</si>
  <si>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</si>
  <si>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</si>
  <si>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</si>
  <si>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</si>
  <si>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</si>
  <si>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</si>
  <si>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</si>
  <si>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</si>
  <si>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</si>
  <si>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</si>
  <si>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</si>
  <si>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</si>
  <si>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</si>
  <si>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</si>
  <si>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</si>
  <si>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</si>
  <si>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</si>
  <si>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</si>
  <si>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</si>
  <si>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</si>
  <si>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</si>
  <si>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</si>
  <si>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</si>
  <si>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</si>
  <si>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</si>
  <si>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</si>
  <si>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</si>
  <si>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</si>
  <si>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</si>
  <si>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</si>
  <si>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</si>
  <si>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</si>
  <si>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</si>
  <si>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</si>
  <si>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</si>
  <si>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</si>
  <si>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</si>
  <si>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</si>
  <si>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</si>
  <si>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</si>
  <si>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</si>
  <si>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</si>
  <si>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</si>
  <si>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</si>
  <si>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</si>
  <si>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</si>
  <si>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</si>
  <si>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</si>
  <si>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</si>
  <si>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</si>
  <si>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</si>
  <si>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</si>
  <si>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</si>
  <si>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</si>
  <si>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</si>
  <si>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</si>
  <si>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</si>
  <si>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</si>
  <si>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</si>
  <si>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</si>
  <si>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</si>
  <si>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</si>
  <si>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</si>
  <si>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</si>
  <si>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</si>
  <si>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</si>
  <si>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</si>
  <si>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</si>
  <si>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</si>
  <si>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</si>
  <si>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</si>
  <si>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</si>
  <si>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</si>
  <si>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</si>
  <si>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</si>
  <si>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</si>
  <si>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</si>
  <si>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</si>
  <si>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</si>
  <si>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</si>
  <si>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</si>
  <si>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</si>
  <si>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</si>
  <si>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</si>
  <si>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</si>
  <si>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</si>
  <si>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</si>
  <si>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</si>
  <si>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</si>
  <si>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</si>
  <si>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</si>
  <si>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</si>
  <si>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</si>
  <si>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</si>
  <si>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</si>
  <si>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</si>
  <si>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</si>
  <si>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</si>
  <si>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</si>
  <si>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</si>
  <si>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</si>
  <si>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</si>
  <si>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</si>
  <si>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</si>
  <si>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</si>
  <si>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</si>
  <si>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</si>
  <si>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</si>
  <si>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</si>
  <si>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</si>
  <si>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</si>
  <si>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</si>
  <si>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</si>
  <si>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</si>
  <si>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</si>
  <si>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</si>
  <si>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</si>
  <si>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</si>
  <si>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</si>
  <si>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</si>
  <si>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</si>
  <si>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</si>
  <si>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</si>
  <si>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</si>
  <si>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</si>
  <si>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</si>
  <si>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</si>
  <si>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</si>
  <si>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</si>
  <si>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</si>
  <si>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</si>
  <si>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</si>
  <si>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</si>
  <si>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</si>
  <si>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</si>
  <si>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</si>
  <si>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</si>
  <si>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</si>
  <si>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</si>
  <si>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</si>
  <si>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</si>
  <si>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</si>
  <si>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</si>
  <si>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</si>
  <si>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</si>
  <si>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</si>
  <si>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</si>
  <si>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</si>
  <si>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</si>
  <si>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</si>
  <si>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</si>
  <si>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</si>
  <si>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</si>
  <si>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</si>
  <si>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</si>
  <si>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</si>
  <si>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</si>
  <si>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</si>
  <si>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</si>
  <si>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</si>
  <si>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</si>
  <si>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</si>
  <si>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</si>
  <si>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</si>
  <si>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</si>
  <si>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</si>
  <si>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</si>
  <si>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</si>
  <si>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</si>
  <si>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</si>
  <si>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</si>
  <si>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</si>
  <si>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</si>
  <si>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</si>
  <si>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</si>
  <si>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</si>
  <si>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</si>
  <si>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</si>
  <si>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</si>
  <si>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</si>
  <si>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</si>
  <si>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</si>
  <si>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</si>
  <si>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</si>
  <si>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</si>
  <si>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</si>
  <si>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</si>
  <si>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</si>
  <si>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</si>
  <si>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</si>
  <si>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</si>
  <si>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</si>
  <si>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</si>
  <si>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</si>
  <si>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</si>
  <si>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</si>
  <si>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=((T1703-X1703)*2)/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</si>
  <si>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</si>
  <si>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</si>
  <si>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</si>
  <si>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</si>
  <si>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</si>
  <si>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</si>
  <si>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</si>
  <si>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</si>
  <si>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</si>
  <si>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</si>
  <si>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</si>
  <si>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</si>
  <si>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</si>
  <si>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</si>
  <si>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</si>
  <si>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</si>
  <si>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</si>
  <si>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</si>
  <si>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</si>
  <si>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</si>
  <si>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</si>
  <si>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</si>
  <si>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</si>
  <si>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</si>
  <si>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</si>
  <si>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</si>
  <si>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</si>
  <si>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</si>
  <si>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</si>
  <si>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</si>
  <si>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</si>
  <si>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</si>
  <si>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</si>
  <si>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</si>
  <si>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</si>
  <si>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</si>
  <si>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</si>
  <si>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</si>
  <si>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</si>
  <si>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</si>
  <si>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</si>
  <si>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</si>
  <si>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</si>
  <si>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</si>
  <si>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</si>
  <si>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</si>
  <si>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</si>
  <si>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</si>
  <si>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</si>
  <si>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</si>
  <si>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</si>
  <si>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</si>
  <si>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</si>
  <si>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</si>
  <si>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</si>
  <si>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</si>
  <si>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</si>
  <si>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</si>
  <si>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</si>
  <si>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</si>
  <si>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</si>
  <si>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</si>
  <si>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</si>
  <si>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</si>
  <si>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</si>
  <si>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</si>
  <si>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</si>
  <si>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</si>
  <si>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</si>
  <si>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</si>
  <si>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</si>
  <si>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</si>
  <si>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</si>
  <si>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</si>
  <si>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</si>
  <si>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</si>
  <si>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</si>
  <si>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</si>
  <si>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</si>
  <si>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</si>
  <si>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</si>
  <si>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</si>
  <si>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</si>
  <si>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</si>
  <si>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</si>
  <si>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</si>
  <si>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</si>
  <si>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</si>
  <si>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=((T1791-X1791)*2)/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</si>
  <si>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</si>
  <si>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</si>
  <si>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</si>
  <si>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</si>
  <si>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</si>
  <si>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</si>
  <si>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</si>
  <si>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</si>
  <si>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</si>
  <si>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</si>
  <si>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</si>
  <si>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</si>
  <si>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</si>
  <si>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</si>
  <si>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</si>
  <si>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</si>
  <si>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</si>
  <si>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</si>
  <si>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</si>
  <si>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</si>
  <si>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</si>
  <si>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</si>
  <si>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</si>
  <si>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</si>
  <si>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</si>
  <si>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</si>
  <si>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</si>
  <si>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</si>
  <si>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</si>
  <si>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</si>
  <si>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</si>
  <si>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</si>
  <si>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</si>
  <si>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</si>
  <si>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</si>
  <si>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</si>
  <si>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</si>
  <si>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</si>
  <si>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</si>
  <si>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</si>
  <si>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</si>
  <si>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</si>
  <si>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</si>
  <si>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</si>
  <si>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</si>
  <si>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</si>
  <si>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</si>
  <si>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=((T1838-X1838)*2)/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</si>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</sst>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5001"/>
  <sheetViews>
    <sheetView tabSelected="1" zoomScale="90" zoomScaleNormal="90" zoomScaleSheetLayoutView="60" topLeftCell="AJ1" workbookViewId="0">
      <selection activeCell="AQ3" sqref="AQ3"/>
    </sheetView>
  </sheetViews>
  <sheetFormatPr defaultColWidth="9.81818181818182" defaultRowHeight="14.5"/>
  <cols>
    <col min="1" max="1" width="14.5454545454545" customWidth="1"/>
    <col min="3" max="3" width="22.3636363636364" customWidth="1"/>
    <col min="4" max="4" width="15.8181818181818" customWidth="1"/>
    <col min="5" max="5" width="22.9090909090909" customWidth="1"/>
    <col min="6" max="6" width="14.1818181818182" customWidth="1"/>
    <col min="7" max="7" width="22.5454545454545" customWidth="1"/>
    <col min="8" max="8" width="22.0909090909091" customWidth="1"/>
    <col min="9" max="9" width="25.2727272727273" customWidth="1"/>
    <col min="10" max="10" width="24.6363636363636" customWidth="1"/>
    <col min="11" max="11" width="32" customWidth="1"/>
    <col min="12" max="12" width="24.0909090909091" customWidth="1"/>
    <col min="13" max="13" width="21.2727272727273" customWidth="1"/>
    <col min="14" max="14" width="19.9090909090909" customWidth="1"/>
    <col min="15" max="15" width="14.2727272727273" customWidth="1"/>
    <col min="16" max="16" width="24.0909090909091" customWidth="1"/>
    <col min="17" max="17" width="24.9090909090909" customWidth="1"/>
    <col min="18" max="18" width="22.5454545454545" customWidth="1"/>
    <col min="19" max="19" width="21.5272727272727" style="1" customWidth="1"/>
    <col min="20" max="20" width="21.4545454545455" customWidth="1"/>
    <col min="21" max="21" width="21.5454545454545" customWidth="1"/>
    <col min="22" max="22" width="25.3545454545455" customWidth="1"/>
    <col min="23" max="23" width="31.8090909090909" customWidth="1"/>
    <col min="24" max="24" width="29.2909090909091" customWidth="1"/>
    <col min="25" max="25" width="30.8" customWidth="1"/>
    <col min="26" max="26" width="27.6727272727273" customWidth="1"/>
    <col min="27" max="27" width="27.6636363636364" customWidth="1"/>
    <col min="28" max="28" width="20.8" customWidth="1"/>
    <col min="29" max="29" width="23.0272727272727" customWidth="1"/>
    <col min="30" max="30" width="21.2" customWidth="1"/>
    <col min="31" max="31" width="26.6545454545455" customWidth="1"/>
    <col min="32" max="32" width="27.2636363636364" customWidth="1"/>
    <col min="33" max="33" width="26.8545454545455" customWidth="1"/>
    <col min="34" max="34" width="22.9272727272727" customWidth="1"/>
    <col min="35" max="35" width="27.3636363636364" customWidth="1"/>
    <col min="36" max="36" width="25.5454545454545" customWidth="1"/>
    <col min="37" max="37" width="20.5909090909091" customWidth="1"/>
    <col min="38" max="38" width="19.0818181818182" customWidth="1"/>
    <col min="39" max="39" width="19.9" customWidth="1"/>
    <col min="40" max="40" width="24.5363636363636" customWidth="1"/>
    <col min="41" max="41" width="23.1181818181818" customWidth="1"/>
    <col min="42" max="42" width="20.9" customWidth="1"/>
    <col min="43" max="43" width="21.4090909090909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>
        <v>29</v>
      </c>
      <c r="C2" t="s">
        <v>44</v>
      </c>
      <c r="D2" t="s">
        <v>45</v>
      </c>
      <c r="E2">
        <v>628</v>
      </c>
      <c r="F2">
        <v>16</v>
      </c>
      <c r="G2">
        <v>3</v>
      </c>
      <c r="H2">
        <v>758.25</v>
      </c>
      <c r="I2">
        <v>2265.11</v>
      </c>
      <c r="J2">
        <v>19</v>
      </c>
      <c r="K2">
        <v>0</v>
      </c>
      <c r="L2">
        <v>28.4</v>
      </c>
      <c r="M2">
        <v>47.1</v>
      </c>
      <c r="N2" t="s">
        <v>46</v>
      </c>
      <c r="O2" t="s">
        <v>47</v>
      </c>
      <c r="P2" t="s">
        <v>48</v>
      </c>
      <c r="Q2">
        <f>AVERAGE(H2:H5000)</f>
        <v>4408.1196739348</v>
      </c>
      <c r="R2">
        <f>SUMIF(A2:A5001,"C00001",I2:I5001)</f>
        <v>2265.11</v>
      </c>
      <c r="S2" s="2" cm="1">
        <f t="array" ref="S2:S4995">_xlfn.UNIQUE(I2:I5000)</f>
        <v>2265.11</v>
      </c>
      <c r="T2">
        <f>I2/J2</f>
        <v>119.216315789474</v>
      </c>
      <c r="U2">
        <f>J2*M2</f>
        <v>894.9</v>
      </c>
      <c r="V2">
        <f>U2/12</f>
        <v>74.575</v>
      </c>
      <c r="W2">
        <f>(H2+I2+1)/3</f>
        <v>1008.12</v>
      </c>
      <c r="X2">
        <f>E2/H2</f>
        <v>0.828222881635345</v>
      </c>
      <c r="Y2">
        <f>MAX(W2:W4996)</f>
        <v>1396440.82</v>
      </c>
      <c r="Z2">
        <f>MIN(W2:W4996)</f>
        <v>157.643333333333</v>
      </c>
      <c r="AA2">
        <f>AVERAGE(W2:W4996)</f>
        <v>12550.3903063063</v>
      </c>
      <c r="AB2">
        <f>MAX(B2:B4996)</f>
        <v>70</v>
      </c>
      <c r="AC2">
        <f>MIN(B2:B4996)</f>
        <v>18</v>
      </c>
      <c r="AD2">
        <f>AVERAGE(B2:B4996)</f>
        <v>33.7441441441441</v>
      </c>
      <c r="AE2">
        <f>MAX(E2:E4996)</f>
        <v>1460</v>
      </c>
      <c r="AF2">
        <f>MIN(E2:E4996)</f>
        <v>370</v>
      </c>
      <c r="AG2">
        <f>AVERAGE(E2:E4996)</f>
        <v>915.920920920921</v>
      </c>
      <c r="AH2" t="str">
        <f>IF(AND(W2&gt;=12550,B2&lt;=33,E2&gt;=915),"1st Quality",IF(AND(W2&gt;=6275,B2&lt;=43,E2&gt;=457),"2nd Quality","3rd Quality"))</f>
        <v>3rd Quality</v>
      </c>
      <c r="AI2">
        <f>MIN(I2:I4996)</f>
        <v>235.96</v>
      </c>
      <c r="AJ2">
        <f>((T2-X2)*2)/28.4</f>
        <v>8.33718964139709</v>
      </c>
      <c r="AK2">
        <f>I2/J2*E2</f>
        <v>74867.8463157895</v>
      </c>
      <c r="AL2">
        <f>MAX(AJ2:AJ4996)</f>
        <v>632463.198433778</v>
      </c>
      <c r="AM2">
        <f>MIN(AJ2:AJ4996)</f>
        <v>0.622472249655887</v>
      </c>
      <c r="AN2">
        <f>AVERAGE(AJ2:AJ4996)</f>
        <v>529.541349242271</v>
      </c>
      <c r="AO2">
        <f>MAX(AK2:AK4996)</f>
        <v>216492262.388889</v>
      </c>
      <c r="AP2">
        <f>MIN(AK2:AK4996)</f>
        <v>13717.4888888889</v>
      </c>
      <c r="AQ2">
        <f>AVERAGE(AK2:AK4996)</f>
        <v>602862.669977424</v>
      </c>
    </row>
    <row r="3" spans="1:43">
      <c r="A3" t="s">
        <v>49</v>
      </c>
      <c r="B3">
        <v>28</v>
      </c>
      <c r="C3" t="s">
        <v>50</v>
      </c>
      <c r="D3" t="s">
        <v>51</v>
      </c>
      <c r="E3">
        <v>678</v>
      </c>
      <c r="F3">
        <v>18</v>
      </c>
      <c r="G3">
        <v>8</v>
      </c>
      <c r="H3">
        <v>1801.45</v>
      </c>
      <c r="I3">
        <v>13421.51</v>
      </c>
      <c r="J3">
        <v>43</v>
      </c>
      <c r="K3">
        <v>0</v>
      </c>
      <c r="L3">
        <v>24.5</v>
      </c>
      <c r="M3">
        <v>16.8</v>
      </c>
      <c r="N3" t="s">
        <v>52</v>
      </c>
      <c r="O3" t="s">
        <v>53</v>
      </c>
      <c r="P3" t="s">
        <v>54</v>
      </c>
      <c r="R3">
        <f>SUMIF(A3:A5002,"C00002",I3:I5002)</f>
        <v>13421.51</v>
      </c>
      <c r="S3" s="1">
        <v>13421.51</v>
      </c>
      <c r="T3">
        <f t="shared" ref="T3:T66" si="0">I3/J3</f>
        <v>312.128139534884</v>
      </c>
      <c r="U3">
        <f t="shared" ref="U3:U66" si="1">J3*M3</f>
        <v>722.4</v>
      </c>
      <c r="V3">
        <f t="shared" ref="V3:V66" si="2">U3/12</f>
        <v>60.2</v>
      </c>
      <c r="W3">
        <f t="shared" ref="W3:W66" si="3">(H3+I3+1)/3</f>
        <v>5074.65333333333</v>
      </c>
      <c r="X3">
        <f t="shared" ref="X3:X66" si="4">E3/H3</f>
        <v>0.37636348497044</v>
      </c>
      <c r="AH3" t="str">
        <f t="shared" ref="AH3:AH13" si="5">IF(AND(W3&gt;=12550,B3&lt;=33,E3&gt;=915),"1st Quality",IF(AND(W3&gt;=6275,B3&lt;=43,E3&gt;=457),"2nd Quality","3rd Quality"))</f>
        <v>3rd Quality</v>
      </c>
      <c r="AJ3">
        <f>((T3-X3)*2)/24.5</f>
        <v>25.4491245755031</v>
      </c>
      <c r="AK3">
        <f t="shared" ref="AK3:AK66" si="6">I3/J3*E3</f>
        <v>211622.878604651</v>
      </c>
    </row>
    <row r="4" spans="1:43">
      <c r="A4" t="s">
        <v>55</v>
      </c>
      <c r="B4">
        <v>29</v>
      </c>
      <c r="C4" t="s">
        <v>56</v>
      </c>
      <c r="D4" t="s">
        <v>45</v>
      </c>
      <c r="E4">
        <v>1385</v>
      </c>
      <c r="F4">
        <v>80</v>
      </c>
      <c r="G4">
        <v>2</v>
      </c>
      <c r="H4">
        <v>1009.26</v>
      </c>
      <c r="I4">
        <v>209304</v>
      </c>
      <c r="J4">
        <v>15</v>
      </c>
      <c r="K4">
        <v>0</v>
      </c>
      <c r="L4">
        <v>23.8</v>
      </c>
      <c r="M4">
        <v>27.9</v>
      </c>
      <c r="N4" t="s">
        <v>57</v>
      </c>
      <c r="O4" t="s">
        <v>47</v>
      </c>
      <c r="P4" t="s">
        <v>58</v>
      </c>
      <c r="R4">
        <f>SUMIF(A4:A5003,"C00003",I4:I5003)</f>
        <v>209304</v>
      </c>
      <c r="S4" s="1">
        <v>209304</v>
      </c>
      <c r="T4">
        <f t="shared" si="0"/>
        <v>13953.6</v>
      </c>
      <c r="U4">
        <f t="shared" si="1"/>
        <v>418.5</v>
      </c>
      <c r="V4">
        <f t="shared" si="2"/>
        <v>34.875</v>
      </c>
      <c r="W4">
        <f t="shared" si="3"/>
        <v>70104.7533333333</v>
      </c>
      <c r="X4">
        <f t="shared" si="4"/>
        <v>1.37229257079444</v>
      </c>
      <c r="AH4" t="str">
        <f t="shared" si="5"/>
        <v>1st Quality</v>
      </c>
      <c r="AJ4">
        <f>((T4-X4)*2)/23.8</f>
        <v>1172.456109868</v>
      </c>
      <c r="AK4">
        <f t="shared" si="6"/>
        <v>19325736</v>
      </c>
    </row>
    <row r="5" spans="1:43">
      <c r="A5" t="s">
        <v>59</v>
      </c>
      <c r="B5">
        <v>21</v>
      </c>
      <c r="C5" t="s">
        <v>44</v>
      </c>
      <c r="D5" t="s">
        <v>60</v>
      </c>
      <c r="E5">
        <v>691</v>
      </c>
      <c r="F5">
        <v>76</v>
      </c>
      <c r="G5">
        <v>6</v>
      </c>
      <c r="H5">
        <v>76804</v>
      </c>
      <c r="I5">
        <v>5129.39</v>
      </c>
      <c r="J5">
        <v>28</v>
      </c>
      <c r="K5">
        <v>0</v>
      </c>
      <c r="L5">
        <v>20.6</v>
      </c>
      <c r="M5">
        <v>22.5</v>
      </c>
      <c r="N5" t="s">
        <v>61</v>
      </c>
      <c r="O5" t="s">
        <v>47</v>
      </c>
      <c r="P5" t="s">
        <v>58</v>
      </c>
      <c r="R5">
        <f>SUMIF(A5:A5004,"C00004",I5:I5004)</f>
        <v>5129.39</v>
      </c>
      <c r="S5" s="1">
        <v>5129.39</v>
      </c>
      <c r="T5">
        <f t="shared" si="0"/>
        <v>183.1925</v>
      </c>
      <c r="U5">
        <f t="shared" si="1"/>
        <v>630</v>
      </c>
      <c r="V5">
        <f t="shared" si="2"/>
        <v>52.5</v>
      </c>
      <c r="W5">
        <f t="shared" si="3"/>
        <v>27311.4633333333</v>
      </c>
      <c r="X5">
        <f t="shared" si="4"/>
        <v>0.00899692724337274</v>
      </c>
      <c r="AH5" t="str">
        <f t="shared" si="5"/>
        <v>2nd Quality</v>
      </c>
      <c r="AJ5">
        <f>((T5-X5)*2)/20.6</f>
        <v>17.7848061235686</v>
      </c>
      <c r="AK5">
        <f t="shared" si="6"/>
        <v>126586.0175</v>
      </c>
    </row>
    <row r="6" spans="1:43">
      <c r="A6" t="s">
        <v>62</v>
      </c>
      <c r="B6">
        <v>23</v>
      </c>
      <c r="C6" t="s">
        <v>50</v>
      </c>
      <c r="D6" t="s">
        <v>60</v>
      </c>
      <c r="E6">
        <v>1158</v>
      </c>
      <c r="F6">
        <v>5</v>
      </c>
      <c r="G6">
        <v>27</v>
      </c>
      <c r="H6">
        <v>10201.16</v>
      </c>
      <c r="I6">
        <v>276964.95</v>
      </c>
      <c r="J6">
        <v>114</v>
      </c>
      <c r="K6">
        <v>0</v>
      </c>
      <c r="L6">
        <v>10.3</v>
      </c>
      <c r="M6">
        <v>6.9</v>
      </c>
      <c r="N6" t="s">
        <v>63</v>
      </c>
      <c r="O6" t="s">
        <v>47</v>
      </c>
      <c r="P6" t="s">
        <v>58</v>
      </c>
      <c r="R6">
        <f>SUMIF(A6:A5005,"C00005",I6:I5005)</f>
        <v>276964.95</v>
      </c>
      <c r="S6" s="1">
        <v>276964.95</v>
      </c>
      <c r="T6">
        <f t="shared" si="0"/>
        <v>2429.51710526316</v>
      </c>
      <c r="U6">
        <f t="shared" si="1"/>
        <v>786.6</v>
      </c>
      <c r="V6">
        <f t="shared" si="2"/>
        <v>65.55</v>
      </c>
      <c r="W6">
        <f t="shared" si="3"/>
        <v>95722.37</v>
      </c>
      <c r="X6">
        <f t="shared" si="4"/>
        <v>0.113516502044865</v>
      </c>
      <c r="AH6" t="str">
        <f t="shared" si="5"/>
        <v>1st Quality</v>
      </c>
      <c r="AJ6">
        <f>((T6-X6)*2)/10.3</f>
        <v>471.728852186624</v>
      </c>
      <c r="AK6">
        <f t="shared" si="6"/>
        <v>2813380.80789474</v>
      </c>
    </row>
    <row r="7" spans="1:43">
      <c r="A7" t="s">
        <v>64</v>
      </c>
      <c r="B7">
        <v>48</v>
      </c>
      <c r="C7" t="s">
        <v>44</v>
      </c>
      <c r="D7" t="s">
        <v>45</v>
      </c>
      <c r="E7">
        <v>1313</v>
      </c>
      <c r="F7">
        <v>336</v>
      </c>
      <c r="G7">
        <v>1</v>
      </c>
      <c r="H7">
        <v>2502.93</v>
      </c>
      <c r="I7">
        <v>2351.62</v>
      </c>
      <c r="J7">
        <v>15</v>
      </c>
      <c r="K7">
        <v>1</v>
      </c>
      <c r="L7">
        <v>3.5</v>
      </c>
      <c r="M7">
        <v>20.8</v>
      </c>
      <c r="N7" t="s">
        <v>63</v>
      </c>
      <c r="O7" t="s">
        <v>53</v>
      </c>
      <c r="P7" t="s">
        <v>58</v>
      </c>
      <c r="R7">
        <f>SUMIF(A7:A5006,"C00006",I7:I5006)</f>
        <v>2351.62</v>
      </c>
      <c r="S7" s="1">
        <v>2351.62</v>
      </c>
      <c r="T7">
        <f t="shared" si="0"/>
        <v>156.774666666667</v>
      </c>
      <c r="U7">
        <f t="shared" si="1"/>
        <v>312</v>
      </c>
      <c r="V7">
        <f>U7*1</f>
        <v>312</v>
      </c>
      <c r="W7">
        <f t="shared" si="3"/>
        <v>1618.51666666667</v>
      </c>
      <c r="X7">
        <f t="shared" si="4"/>
        <v>0.524585186161818</v>
      </c>
      <c r="AH7" t="str">
        <f t="shared" si="5"/>
        <v>3rd Quality</v>
      </c>
      <c r="AJ7">
        <f>((T7-X7)*2)/3.5</f>
        <v>89.285760846003</v>
      </c>
      <c r="AK7">
        <f t="shared" si="6"/>
        <v>205845.137333333</v>
      </c>
    </row>
    <row r="8" spans="1:43">
      <c r="A8" t="s">
        <v>65</v>
      </c>
      <c r="B8">
        <v>52</v>
      </c>
      <c r="C8" t="s">
        <v>50</v>
      </c>
      <c r="D8" t="s">
        <v>60</v>
      </c>
      <c r="E8">
        <v>1056</v>
      </c>
      <c r="F8">
        <v>42</v>
      </c>
      <c r="G8">
        <v>2</v>
      </c>
      <c r="H8">
        <v>2152.23</v>
      </c>
      <c r="I8">
        <v>3829.78</v>
      </c>
      <c r="J8">
        <v>26</v>
      </c>
      <c r="K8">
        <v>0</v>
      </c>
      <c r="L8">
        <v>38.4</v>
      </c>
      <c r="M8">
        <v>28.9</v>
      </c>
      <c r="N8" t="s">
        <v>52</v>
      </c>
      <c r="O8" t="s">
        <v>47</v>
      </c>
      <c r="P8" t="s">
        <v>66</v>
      </c>
      <c r="R8">
        <f>SUMIF(A8:A5007,"C00007",I8:I5007)</f>
        <v>3829.78</v>
      </c>
      <c r="S8" s="1">
        <v>3829.78</v>
      </c>
      <c r="T8">
        <f t="shared" si="0"/>
        <v>147.299230769231</v>
      </c>
      <c r="U8">
        <f t="shared" si="1"/>
        <v>751.4</v>
      </c>
      <c r="V8">
        <f t="shared" si="2"/>
        <v>62.6166666666667</v>
      </c>
      <c r="W8">
        <f t="shared" si="3"/>
        <v>1994.33666666667</v>
      </c>
      <c r="X8">
        <f t="shared" si="4"/>
        <v>0.49065387992919</v>
      </c>
      <c r="AH8" t="str">
        <f t="shared" si="5"/>
        <v>3rd Quality</v>
      </c>
      <c r="AJ8">
        <f>((T8-X8)*2)/38.4</f>
        <v>7.6462800463178</v>
      </c>
      <c r="AK8">
        <f t="shared" si="6"/>
        <v>155547.987692308</v>
      </c>
    </row>
    <row r="9" spans="1:43">
      <c r="A9" t="s">
        <v>67</v>
      </c>
      <c r="B9">
        <v>27</v>
      </c>
      <c r="C9" t="s">
        <v>44</v>
      </c>
      <c r="D9" t="s">
        <v>51</v>
      </c>
      <c r="E9">
        <v>436</v>
      </c>
      <c r="F9">
        <v>52</v>
      </c>
      <c r="G9">
        <v>1</v>
      </c>
      <c r="H9">
        <v>726</v>
      </c>
      <c r="I9">
        <v>65702</v>
      </c>
      <c r="J9">
        <v>13</v>
      </c>
      <c r="K9">
        <v>0</v>
      </c>
      <c r="L9">
        <v>28</v>
      </c>
      <c r="M9">
        <v>44.5</v>
      </c>
      <c r="N9" t="s">
        <v>52</v>
      </c>
      <c r="O9" t="s">
        <v>47</v>
      </c>
      <c r="P9" t="s">
        <v>68</v>
      </c>
      <c r="R9">
        <f>SUMIF(A9:A5008,"C00008",I9:I5008)</f>
        <v>65702</v>
      </c>
      <c r="S9" s="1">
        <v>65702</v>
      </c>
      <c r="T9">
        <f t="shared" si="0"/>
        <v>5054</v>
      </c>
      <c r="U9">
        <f t="shared" si="1"/>
        <v>578.5</v>
      </c>
      <c r="V9">
        <f t="shared" si="2"/>
        <v>48.2083333333333</v>
      </c>
      <c r="W9">
        <f t="shared" si="3"/>
        <v>22143</v>
      </c>
      <c r="X9">
        <f t="shared" si="4"/>
        <v>0.600550964187328</v>
      </c>
      <c r="AH9" t="str">
        <f t="shared" si="5"/>
        <v>3rd Quality</v>
      </c>
      <c r="AJ9">
        <f>((T9-X9)*2)/28</f>
        <v>360.957103502558</v>
      </c>
      <c r="AK9">
        <f t="shared" si="6"/>
        <v>2203544</v>
      </c>
    </row>
    <row r="10" spans="1:43">
      <c r="A10" t="s">
        <v>69</v>
      </c>
      <c r="B10">
        <v>42</v>
      </c>
      <c r="C10" t="s">
        <v>44</v>
      </c>
      <c r="D10" t="s">
        <v>60</v>
      </c>
      <c r="E10">
        <v>1407</v>
      </c>
      <c r="F10">
        <v>10</v>
      </c>
      <c r="G10">
        <v>31</v>
      </c>
      <c r="H10">
        <v>3518.51</v>
      </c>
      <c r="I10">
        <v>116330.9</v>
      </c>
      <c r="J10">
        <v>105</v>
      </c>
      <c r="K10">
        <v>6</v>
      </c>
      <c r="L10">
        <v>0</v>
      </c>
      <c r="M10">
        <v>47.2</v>
      </c>
      <c r="N10" t="s">
        <v>46</v>
      </c>
      <c r="O10" t="s">
        <v>47</v>
      </c>
      <c r="P10" t="s">
        <v>58</v>
      </c>
      <c r="R10">
        <f>SUMIF(A10:A5009,"C00009",I10:I5009)</f>
        <v>116330.9</v>
      </c>
      <c r="S10" s="1">
        <v>116330.9</v>
      </c>
      <c r="T10">
        <f t="shared" si="0"/>
        <v>1107.91333333333</v>
      </c>
      <c r="U10">
        <f t="shared" si="1"/>
        <v>4956</v>
      </c>
      <c r="V10">
        <f>U10*6</f>
        <v>29736</v>
      </c>
      <c r="W10">
        <f t="shared" si="3"/>
        <v>39950.1366666667</v>
      </c>
      <c r="X10">
        <f t="shared" si="4"/>
        <v>0.39988517866938</v>
      </c>
      <c r="AH10" t="str">
        <f t="shared" si="5"/>
        <v>2nd Quality</v>
      </c>
      <c r="AJ10">
        <f>((T10-X10)*2)/28.4</f>
        <v>77.993904799624</v>
      </c>
      <c r="AK10">
        <f t="shared" si="6"/>
        <v>1558834.06</v>
      </c>
    </row>
    <row r="11" spans="1:43">
      <c r="A11" t="s">
        <v>70</v>
      </c>
      <c r="B11">
        <v>34</v>
      </c>
      <c r="C11" t="s">
        <v>44</v>
      </c>
      <c r="D11" t="s">
        <v>45</v>
      </c>
      <c r="E11">
        <v>628</v>
      </c>
      <c r="F11">
        <v>37</v>
      </c>
      <c r="G11">
        <v>9</v>
      </c>
      <c r="H11">
        <v>8433</v>
      </c>
      <c r="I11">
        <v>7562.85</v>
      </c>
      <c r="J11">
        <v>71</v>
      </c>
      <c r="K11">
        <v>2</v>
      </c>
      <c r="L11">
        <v>20.1</v>
      </c>
      <c r="M11">
        <v>18.3</v>
      </c>
      <c r="N11" t="s">
        <v>52</v>
      </c>
      <c r="O11" t="s">
        <v>53</v>
      </c>
      <c r="P11" t="s">
        <v>48</v>
      </c>
      <c r="R11">
        <f>SUMIF(A11:A5010,"C00010",I11:I5010)</f>
        <v>7562.85</v>
      </c>
      <c r="S11" s="1">
        <v>7562.85</v>
      </c>
      <c r="T11">
        <f t="shared" si="0"/>
        <v>106.519014084507</v>
      </c>
      <c r="U11">
        <f t="shared" si="1"/>
        <v>1299.3</v>
      </c>
      <c r="V11">
        <f>U11*2</f>
        <v>2598.6</v>
      </c>
      <c r="W11">
        <f t="shared" si="3"/>
        <v>5332.28333333333</v>
      </c>
      <c r="X11">
        <f t="shared" si="4"/>
        <v>0.0744693466144907</v>
      </c>
      <c r="AH11" t="str">
        <f t="shared" si="5"/>
        <v>3rd Quality</v>
      </c>
      <c r="AJ11">
        <f>((T11-X11)*2)/20.1</f>
        <v>10.591496988845</v>
      </c>
      <c r="AK11">
        <f t="shared" si="6"/>
        <v>66893.9408450704</v>
      </c>
    </row>
    <row r="12" spans="1:43">
      <c r="A12" t="s">
        <v>71</v>
      </c>
      <c r="B12">
        <v>26</v>
      </c>
      <c r="C12" t="s">
        <v>44</v>
      </c>
      <c r="D12" t="s">
        <v>45</v>
      </c>
      <c r="E12">
        <v>1451</v>
      </c>
      <c r="F12">
        <v>11</v>
      </c>
      <c r="G12">
        <v>10</v>
      </c>
      <c r="H12">
        <v>1190.68</v>
      </c>
      <c r="I12">
        <v>11074.26</v>
      </c>
      <c r="J12">
        <v>27</v>
      </c>
      <c r="K12">
        <v>4</v>
      </c>
      <c r="L12">
        <v>26</v>
      </c>
      <c r="M12">
        <v>31.5</v>
      </c>
      <c r="N12" t="s">
        <v>63</v>
      </c>
      <c r="O12" t="s">
        <v>47</v>
      </c>
      <c r="P12" t="s">
        <v>68</v>
      </c>
      <c r="R12">
        <f>SUMIF(A12:A5011,"C00011",I12:I5011)</f>
        <v>11074.26</v>
      </c>
      <c r="S12" s="1">
        <v>11074.26</v>
      </c>
      <c r="T12">
        <f t="shared" si="0"/>
        <v>410.157777777778</v>
      </c>
      <c r="U12">
        <f t="shared" si="1"/>
        <v>850.5</v>
      </c>
      <c r="V12">
        <f>U12*4</f>
        <v>3402</v>
      </c>
      <c r="W12">
        <f t="shared" si="3"/>
        <v>4088.64666666667</v>
      </c>
      <c r="X12">
        <f t="shared" si="4"/>
        <v>1.2186313703094</v>
      </c>
      <c r="AH12" t="str">
        <f t="shared" si="5"/>
        <v>3rd Quality</v>
      </c>
      <c r="AJ12">
        <f>((T12-X12)*2)/26</f>
        <v>31.4568574159591</v>
      </c>
      <c r="AK12">
        <f t="shared" si="6"/>
        <v>595138.935555556</v>
      </c>
    </row>
    <row r="13" spans="1:43">
      <c r="A13" t="s">
        <v>72</v>
      </c>
      <c r="B13">
        <v>43</v>
      </c>
      <c r="C13" t="s">
        <v>44</v>
      </c>
      <c r="D13" t="s">
        <v>45</v>
      </c>
      <c r="E13">
        <v>551</v>
      </c>
      <c r="F13">
        <v>208</v>
      </c>
      <c r="G13">
        <v>1</v>
      </c>
      <c r="H13">
        <v>1361.69</v>
      </c>
      <c r="I13">
        <v>1479.37</v>
      </c>
      <c r="J13">
        <v>9</v>
      </c>
      <c r="K13">
        <v>0</v>
      </c>
      <c r="L13">
        <v>11.3</v>
      </c>
      <c r="M13">
        <v>35.4</v>
      </c>
      <c r="N13" t="s">
        <v>52</v>
      </c>
      <c r="O13" t="s">
        <v>53</v>
      </c>
      <c r="P13" t="s">
        <v>68</v>
      </c>
      <c r="R13">
        <f>SUMIF(A13:A5012,"C00012",I13:I5012)</f>
        <v>1479.37</v>
      </c>
      <c r="S13" s="1">
        <v>1479.37</v>
      </c>
      <c r="T13">
        <f t="shared" si="0"/>
        <v>164.374444444444</v>
      </c>
      <c r="U13">
        <f t="shared" si="1"/>
        <v>318.6</v>
      </c>
      <c r="V13">
        <f t="shared" si="2"/>
        <v>26.55</v>
      </c>
      <c r="W13">
        <f t="shared" si="3"/>
        <v>947.353333333333</v>
      </c>
      <c r="X13">
        <f t="shared" si="4"/>
        <v>0.404644228862663</v>
      </c>
      <c r="AH13" t="str">
        <f t="shared" si="5"/>
        <v>3rd Quality</v>
      </c>
      <c r="AJ13">
        <f>((T13-X13)*2)/11.3</f>
        <v>29.021203577979</v>
      </c>
      <c r="AK13">
        <f t="shared" si="6"/>
        <v>90570.3188888889</v>
      </c>
    </row>
    <row r="14" spans="1:43">
      <c r="A14" t="s">
        <v>73</v>
      </c>
      <c r="B14">
        <v>30</v>
      </c>
      <c r="C14" t="s">
        <v>50</v>
      </c>
      <c r="D14" t="s">
        <v>60</v>
      </c>
      <c r="E14">
        <v>747</v>
      </c>
      <c r="F14">
        <v>18</v>
      </c>
      <c r="G14">
        <v>3</v>
      </c>
      <c r="H14">
        <v>29653.61</v>
      </c>
      <c r="I14">
        <v>87596.02</v>
      </c>
      <c r="J14">
        <v>12</v>
      </c>
      <c r="K14">
        <v>0</v>
      </c>
      <c r="L14">
        <v>0</v>
      </c>
      <c r="M14">
        <v>1.6</v>
      </c>
      <c r="N14" t="s">
        <v>52</v>
      </c>
      <c r="O14" t="s">
        <v>53</v>
      </c>
      <c r="P14" t="s">
        <v>58</v>
      </c>
      <c r="R14">
        <f>SUMIF(A14:A5013,"C00013",I14:I5013)</f>
        <v>87596.02</v>
      </c>
      <c r="S14" s="1">
        <v>87596.02</v>
      </c>
      <c r="T14">
        <f t="shared" si="0"/>
        <v>7299.66833333333</v>
      </c>
      <c r="U14">
        <f t="shared" si="1"/>
        <v>19.2</v>
      </c>
      <c r="V14">
        <f t="shared" si="2"/>
        <v>1.6</v>
      </c>
      <c r="W14">
        <f t="shared" si="3"/>
        <v>39083.5433333333</v>
      </c>
      <c r="X14">
        <f t="shared" si="4"/>
        <v>0.0251908620906527</v>
      </c>
      <c r="AH14" t="str">
        <f t="shared" ref="AH14:AH77" si="7">IF(AND(W14&gt;=12550,B14&lt;=33,E14&gt;=915),"1st Quality",IF(AND(W14&gt;=6275,B14&lt;=43,E14&gt;=457),"2nd Quality","3rd Quality"))</f>
        <v>2nd Quality</v>
      </c>
      <c r="AJ14">
        <f>((T14-X14)*2)/28.4</f>
        <v>514.059376230369</v>
      </c>
      <c r="AK14">
        <f t="shared" si="6"/>
        <v>5452852.245</v>
      </c>
    </row>
    <row r="15" spans="1:43">
      <c r="A15" t="s">
        <v>74</v>
      </c>
      <c r="B15">
        <v>45</v>
      </c>
      <c r="C15" t="s">
        <v>44</v>
      </c>
      <c r="D15" t="s">
        <v>60</v>
      </c>
      <c r="E15">
        <v>1151</v>
      </c>
      <c r="F15">
        <v>54</v>
      </c>
      <c r="G15">
        <v>1</v>
      </c>
      <c r="H15">
        <v>653.34</v>
      </c>
      <c r="I15">
        <v>699.71</v>
      </c>
      <c r="J15">
        <v>14</v>
      </c>
      <c r="K15">
        <v>0</v>
      </c>
      <c r="L15">
        <v>28.1</v>
      </c>
      <c r="M15">
        <v>1.3</v>
      </c>
      <c r="N15" t="s">
        <v>63</v>
      </c>
      <c r="O15" t="s">
        <v>75</v>
      </c>
      <c r="P15" t="s">
        <v>58</v>
      </c>
      <c r="R15">
        <f>SUMIF(A15:A5014,"C00014",I15:I5014)</f>
        <v>699.71</v>
      </c>
      <c r="S15" s="1">
        <v>699.71</v>
      </c>
      <c r="T15">
        <f t="shared" si="0"/>
        <v>49.9792857142857</v>
      </c>
      <c r="U15">
        <f t="shared" si="1"/>
        <v>18.2</v>
      </c>
      <c r="V15">
        <f t="shared" si="2"/>
        <v>1.51666666666667</v>
      </c>
      <c r="W15">
        <f t="shared" si="3"/>
        <v>451.35</v>
      </c>
      <c r="X15">
        <f t="shared" si="4"/>
        <v>1.76171671717636</v>
      </c>
      <c r="AH15" t="str">
        <f t="shared" si="7"/>
        <v>3rd Quality</v>
      </c>
      <c r="AJ15">
        <f>((T15-X15)*2)/28.1</f>
        <v>3.43185544463412</v>
      </c>
      <c r="AK15">
        <f t="shared" si="6"/>
        <v>57526.1578571429</v>
      </c>
    </row>
    <row r="16" spans="1:43">
      <c r="A16" t="s">
        <v>76</v>
      </c>
      <c r="B16">
        <v>30</v>
      </c>
      <c r="C16" t="s">
        <v>50</v>
      </c>
      <c r="D16" t="s">
        <v>51</v>
      </c>
      <c r="E16">
        <v>428</v>
      </c>
      <c r="F16">
        <v>42</v>
      </c>
      <c r="G16">
        <v>9</v>
      </c>
      <c r="H16">
        <v>1235.12</v>
      </c>
      <c r="I16">
        <v>11946.56</v>
      </c>
      <c r="J16">
        <v>39</v>
      </c>
      <c r="K16">
        <v>1</v>
      </c>
      <c r="L16">
        <v>27.3</v>
      </c>
      <c r="M16">
        <v>8.7</v>
      </c>
      <c r="N16" t="s">
        <v>63</v>
      </c>
      <c r="O16" t="s">
        <v>47</v>
      </c>
      <c r="P16" t="s">
        <v>58</v>
      </c>
      <c r="R16">
        <f>SUMIF(A16:A5015,"C00015",I16:I5015)</f>
        <v>11946.56</v>
      </c>
      <c r="S16" s="1">
        <v>11946.56</v>
      </c>
      <c r="T16">
        <f t="shared" si="0"/>
        <v>306.322051282051</v>
      </c>
      <c r="U16">
        <f t="shared" si="1"/>
        <v>339.3</v>
      </c>
      <c r="V16">
        <f>U16*1</f>
        <v>339.3</v>
      </c>
      <c r="W16">
        <f t="shared" si="3"/>
        <v>4394.22666666667</v>
      </c>
      <c r="X16">
        <f t="shared" si="4"/>
        <v>0.346525034004793</v>
      </c>
      <c r="AH16" t="str">
        <f t="shared" si="7"/>
        <v>3rd Quality</v>
      </c>
      <c r="AJ16">
        <f>((T16-X16)*2)/27.3</f>
        <v>22.4157894687213</v>
      </c>
      <c r="AK16">
        <f t="shared" si="6"/>
        <v>131105.837948718</v>
      </c>
    </row>
    <row r="17" spans="1:37">
      <c r="A17" t="s">
        <v>77</v>
      </c>
      <c r="B17">
        <v>40</v>
      </c>
      <c r="C17" t="s">
        <v>50</v>
      </c>
      <c r="D17" t="s">
        <v>45</v>
      </c>
      <c r="E17">
        <v>786</v>
      </c>
      <c r="F17">
        <v>14</v>
      </c>
      <c r="G17">
        <v>9</v>
      </c>
      <c r="H17">
        <v>77702</v>
      </c>
      <c r="I17">
        <v>7358.92</v>
      </c>
      <c r="J17">
        <v>35</v>
      </c>
      <c r="K17">
        <v>1</v>
      </c>
      <c r="L17">
        <v>23.6</v>
      </c>
      <c r="M17">
        <v>17.7</v>
      </c>
      <c r="N17" t="s">
        <v>78</v>
      </c>
      <c r="O17" t="s">
        <v>47</v>
      </c>
      <c r="P17" t="s">
        <v>68</v>
      </c>
      <c r="R17">
        <f>SUMIF(A17:A5016,"C00016",I17:I5016)</f>
        <v>7358.92</v>
      </c>
      <c r="S17" s="1">
        <v>7358.92</v>
      </c>
      <c r="T17">
        <f t="shared" si="0"/>
        <v>210.254857142857</v>
      </c>
      <c r="U17">
        <f t="shared" si="1"/>
        <v>619.5</v>
      </c>
      <c r="V17">
        <f>U17*1</f>
        <v>619.5</v>
      </c>
      <c r="W17">
        <f t="shared" si="3"/>
        <v>28353.9733333333</v>
      </c>
      <c r="X17">
        <f t="shared" si="4"/>
        <v>0.0101155697408046</v>
      </c>
      <c r="AH17" t="str">
        <f t="shared" si="7"/>
        <v>2nd Quality</v>
      </c>
      <c r="AJ17">
        <f>((T17-X17)*2)/23.6</f>
        <v>17.8173509807726</v>
      </c>
      <c r="AK17">
        <f t="shared" si="6"/>
        <v>165260.317714286</v>
      </c>
    </row>
    <row r="18" spans="1:37">
      <c r="A18" t="s">
        <v>79</v>
      </c>
      <c r="B18">
        <v>31</v>
      </c>
      <c r="C18" t="s">
        <v>44</v>
      </c>
      <c r="D18" t="s">
        <v>60</v>
      </c>
      <c r="E18">
        <v>1353</v>
      </c>
      <c r="F18">
        <v>23</v>
      </c>
      <c r="G18">
        <v>3</v>
      </c>
      <c r="H18">
        <v>1163603</v>
      </c>
      <c r="I18">
        <v>38867.29</v>
      </c>
      <c r="J18">
        <v>15</v>
      </c>
      <c r="K18">
        <v>0</v>
      </c>
      <c r="L18">
        <v>8.8</v>
      </c>
      <c r="M18">
        <v>45.6</v>
      </c>
      <c r="N18" t="s">
        <v>78</v>
      </c>
      <c r="O18" t="s">
        <v>47</v>
      </c>
      <c r="P18" t="s">
        <v>54</v>
      </c>
      <c r="R18">
        <f>SUMIF(A18:A5017,"C00017",I18:I5017)</f>
        <v>38867.29</v>
      </c>
      <c r="S18" s="1">
        <v>38867.29</v>
      </c>
      <c r="T18">
        <f t="shared" si="0"/>
        <v>2591.15266666667</v>
      </c>
      <c r="U18">
        <f t="shared" si="1"/>
        <v>684</v>
      </c>
      <c r="V18">
        <f t="shared" si="2"/>
        <v>57</v>
      </c>
      <c r="W18">
        <f t="shared" si="3"/>
        <v>400823.763333333</v>
      </c>
      <c r="X18">
        <f t="shared" si="4"/>
        <v>0.00116276771373054</v>
      </c>
      <c r="AH18" t="str">
        <f t="shared" si="7"/>
        <v>1st Quality</v>
      </c>
      <c r="AJ18">
        <f>((T18-X18)*2)/8.8</f>
        <v>588.898069067945</v>
      </c>
      <c r="AK18">
        <f t="shared" si="6"/>
        <v>3505829.558</v>
      </c>
    </row>
    <row r="19" spans="1:37">
      <c r="A19" t="s">
        <v>80</v>
      </c>
      <c r="B19">
        <v>41</v>
      </c>
      <c r="C19" t="s">
        <v>44</v>
      </c>
      <c r="D19" t="s">
        <v>60</v>
      </c>
      <c r="E19">
        <v>1369</v>
      </c>
      <c r="F19">
        <v>9</v>
      </c>
      <c r="G19">
        <v>30</v>
      </c>
      <c r="H19">
        <v>2272.92</v>
      </c>
      <c r="I19">
        <v>74682.89</v>
      </c>
      <c r="J19">
        <v>62</v>
      </c>
      <c r="K19">
        <v>2</v>
      </c>
      <c r="L19">
        <v>15.7</v>
      </c>
      <c r="M19">
        <v>61.8</v>
      </c>
      <c r="N19" t="s">
        <v>81</v>
      </c>
      <c r="O19" t="s">
        <v>47</v>
      </c>
      <c r="P19" t="s">
        <v>58</v>
      </c>
      <c r="R19">
        <f>SUMIF(A19:A5018,"C00018",I19:I5018)</f>
        <v>74682.89</v>
      </c>
      <c r="S19" s="1">
        <v>74682.89</v>
      </c>
      <c r="T19">
        <f t="shared" si="0"/>
        <v>1204.56274193548</v>
      </c>
      <c r="U19">
        <f t="shared" si="1"/>
        <v>3831.6</v>
      </c>
      <c r="V19">
        <f>U19*2</f>
        <v>7663.2</v>
      </c>
      <c r="W19">
        <f t="shared" si="3"/>
        <v>25652.27</v>
      </c>
      <c r="X19">
        <f t="shared" si="4"/>
        <v>0.602308924203228</v>
      </c>
      <c r="AH19" t="str">
        <f t="shared" si="7"/>
        <v>2nd Quality</v>
      </c>
      <c r="AJ19">
        <f>((T19-X19)*2)/15.7</f>
        <v>153.370755797615</v>
      </c>
      <c r="AK19">
        <f t="shared" si="6"/>
        <v>1649046.39370968</v>
      </c>
    </row>
    <row r="20" spans="1:37">
      <c r="A20" t="s">
        <v>82</v>
      </c>
      <c r="B20">
        <v>20</v>
      </c>
      <c r="C20" t="s">
        <v>50</v>
      </c>
      <c r="D20" t="s">
        <v>60</v>
      </c>
      <c r="E20">
        <v>961</v>
      </c>
      <c r="F20">
        <v>111</v>
      </c>
      <c r="G20">
        <v>4</v>
      </c>
      <c r="H20">
        <v>1205.06</v>
      </c>
      <c r="I20">
        <v>4386.93</v>
      </c>
      <c r="J20">
        <v>14</v>
      </c>
      <c r="K20">
        <v>0</v>
      </c>
      <c r="L20">
        <v>40.1</v>
      </c>
      <c r="M20">
        <v>22.2</v>
      </c>
      <c r="N20" t="s">
        <v>52</v>
      </c>
      <c r="O20" t="s">
        <v>47</v>
      </c>
      <c r="P20" t="s">
        <v>58</v>
      </c>
      <c r="R20">
        <f>SUMIF(A20:A5019,"C00019",I20:I5019)</f>
        <v>4386.93</v>
      </c>
      <c r="S20" s="1">
        <v>4386.93</v>
      </c>
      <c r="T20">
        <f t="shared" si="0"/>
        <v>313.352142857143</v>
      </c>
      <c r="U20">
        <f t="shared" si="1"/>
        <v>310.8</v>
      </c>
      <c r="V20">
        <f t="shared" si="2"/>
        <v>25.9</v>
      </c>
      <c r="W20">
        <f t="shared" si="3"/>
        <v>1864.33</v>
      </c>
      <c r="X20">
        <f t="shared" si="4"/>
        <v>0.797470665361061</v>
      </c>
      <c r="AH20" t="str">
        <f t="shared" si="7"/>
        <v>3rd Quality</v>
      </c>
      <c r="AJ20">
        <f>((T20-X20)*2)/40.1</f>
        <v>15.5887617053258</v>
      </c>
      <c r="AK20">
        <f t="shared" si="6"/>
        <v>301131.409285714</v>
      </c>
    </row>
    <row r="21" spans="1:37">
      <c r="A21" t="s">
        <v>83</v>
      </c>
      <c r="B21">
        <v>20</v>
      </c>
      <c r="C21" t="s">
        <v>50</v>
      </c>
      <c r="D21" t="s">
        <v>51</v>
      </c>
      <c r="E21">
        <v>1245</v>
      </c>
      <c r="F21">
        <v>15</v>
      </c>
      <c r="G21">
        <v>8</v>
      </c>
      <c r="H21">
        <v>4814.96</v>
      </c>
      <c r="I21">
        <v>37075.21</v>
      </c>
      <c r="J21">
        <v>22</v>
      </c>
      <c r="K21">
        <v>1</v>
      </c>
      <c r="L21">
        <v>0</v>
      </c>
      <c r="M21">
        <v>26.6</v>
      </c>
      <c r="N21" t="s">
        <v>78</v>
      </c>
      <c r="O21" t="s">
        <v>47</v>
      </c>
      <c r="P21" t="s">
        <v>58</v>
      </c>
      <c r="R21">
        <f>SUMIF(A21:A5020,"C00020",I21:I5020)</f>
        <v>37075.21</v>
      </c>
      <c r="S21" s="1">
        <v>37075.21</v>
      </c>
      <c r="T21">
        <f t="shared" si="0"/>
        <v>1685.23681818182</v>
      </c>
      <c r="U21">
        <f t="shared" si="1"/>
        <v>585.2</v>
      </c>
      <c r="V21">
        <f>U21*1</f>
        <v>585.2</v>
      </c>
      <c r="W21">
        <f t="shared" si="3"/>
        <v>13963.7233333333</v>
      </c>
      <c r="X21">
        <f t="shared" si="4"/>
        <v>0.258569126223271</v>
      </c>
      <c r="AH21" t="str">
        <f t="shared" si="7"/>
        <v>1st Quality</v>
      </c>
      <c r="AJ21">
        <f>((T21-X21)*2)/28.4</f>
        <v>118.660440074338</v>
      </c>
      <c r="AK21">
        <f t="shared" si="6"/>
        <v>2098119.83863636</v>
      </c>
    </row>
    <row r="22" spans="1:37">
      <c r="A22" t="s">
        <v>84</v>
      </c>
      <c r="B22">
        <v>42</v>
      </c>
      <c r="C22" t="s">
        <v>50</v>
      </c>
      <c r="D22" t="s">
        <v>60</v>
      </c>
      <c r="E22">
        <v>1235</v>
      </c>
      <c r="F22">
        <v>129</v>
      </c>
      <c r="G22">
        <v>1</v>
      </c>
      <c r="H22">
        <v>811.61</v>
      </c>
      <c r="I22">
        <v>900.09</v>
      </c>
      <c r="J22">
        <v>12</v>
      </c>
      <c r="K22">
        <v>0</v>
      </c>
      <c r="L22">
        <v>19.7</v>
      </c>
      <c r="M22">
        <v>50</v>
      </c>
      <c r="N22" t="s">
        <v>57</v>
      </c>
      <c r="O22" t="s">
        <v>53</v>
      </c>
      <c r="P22" t="s">
        <v>58</v>
      </c>
      <c r="R22">
        <f>SUMIF(A22:A5021,"C00021",I22:I5021)</f>
        <v>900.09</v>
      </c>
      <c r="S22" s="1">
        <v>900.09</v>
      </c>
      <c r="T22">
        <f t="shared" si="0"/>
        <v>75.0075</v>
      </c>
      <c r="U22">
        <f t="shared" si="1"/>
        <v>600</v>
      </c>
      <c r="V22">
        <f t="shared" si="2"/>
        <v>50</v>
      </c>
      <c r="W22">
        <f t="shared" si="3"/>
        <v>570.9</v>
      </c>
      <c r="X22">
        <f t="shared" si="4"/>
        <v>1.52166681041387</v>
      </c>
      <c r="AH22" t="str">
        <f t="shared" si="7"/>
        <v>3rd Quality</v>
      </c>
      <c r="AJ22">
        <f>((T22-X22)*2)/19.7</f>
        <v>7.4604906791458</v>
      </c>
      <c r="AK22">
        <f t="shared" si="6"/>
        <v>92634.2625</v>
      </c>
    </row>
    <row r="23" spans="1:37">
      <c r="A23" t="s">
        <v>85</v>
      </c>
      <c r="B23">
        <v>35</v>
      </c>
      <c r="C23" t="s">
        <v>50</v>
      </c>
      <c r="D23" t="s">
        <v>45</v>
      </c>
      <c r="E23">
        <v>1444</v>
      </c>
      <c r="F23">
        <v>59</v>
      </c>
      <c r="G23">
        <v>11</v>
      </c>
      <c r="H23">
        <v>669.45</v>
      </c>
      <c r="I23">
        <v>7638.89</v>
      </c>
      <c r="J23">
        <v>40</v>
      </c>
      <c r="K23">
        <v>0</v>
      </c>
      <c r="L23">
        <v>23.2</v>
      </c>
      <c r="M23">
        <v>38.4</v>
      </c>
      <c r="N23" t="s">
        <v>63</v>
      </c>
      <c r="O23" t="s">
        <v>53</v>
      </c>
      <c r="P23" t="s">
        <v>58</v>
      </c>
      <c r="R23">
        <f>SUMIF(A23:A5022,"C00022",I23:I5022)</f>
        <v>7638.89</v>
      </c>
      <c r="S23" s="1">
        <v>7638.89</v>
      </c>
      <c r="T23">
        <f t="shared" si="0"/>
        <v>190.97225</v>
      </c>
      <c r="U23">
        <f t="shared" si="1"/>
        <v>1536</v>
      </c>
      <c r="V23">
        <f t="shared" si="2"/>
        <v>128</v>
      </c>
      <c r="W23">
        <f t="shared" si="3"/>
        <v>2769.78</v>
      </c>
      <c r="X23">
        <f t="shared" si="4"/>
        <v>2.15699454776309</v>
      </c>
      <c r="AH23" t="str">
        <f t="shared" si="7"/>
        <v>3rd Quality</v>
      </c>
      <c r="AJ23">
        <f>((T23-X23)*2)/23.2</f>
        <v>16.2771771941584</v>
      </c>
      <c r="AK23">
        <f t="shared" si="6"/>
        <v>275763.929</v>
      </c>
    </row>
    <row r="24" spans="1:37">
      <c r="A24" t="s">
        <v>86</v>
      </c>
      <c r="B24">
        <v>29</v>
      </c>
      <c r="C24" t="s">
        <v>50</v>
      </c>
      <c r="D24" t="s">
        <v>45</v>
      </c>
      <c r="E24">
        <v>841</v>
      </c>
      <c r="F24">
        <v>340</v>
      </c>
      <c r="G24">
        <v>3</v>
      </c>
      <c r="H24">
        <v>1410.91</v>
      </c>
      <c r="I24">
        <v>4175.57</v>
      </c>
      <c r="J24">
        <v>37</v>
      </c>
      <c r="K24">
        <v>0</v>
      </c>
      <c r="L24">
        <v>18.9</v>
      </c>
      <c r="M24">
        <v>21</v>
      </c>
      <c r="N24" t="s">
        <v>63</v>
      </c>
      <c r="O24" t="s">
        <v>47</v>
      </c>
      <c r="P24" t="s">
        <v>58</v>
      </c>
      <c r="R24">
        <f>SUMIF(A24:A5023,"C00023",I24:I5023)</f>
        <v>4175.57</v>
      </c>
      <c r="S24" s="1">
        <v>4175.57</v>
      </c>
      <c r="T24">
        <f t="shared" si="0"/>
        <v>112.853243243243</v>
      </c>
      <c r="U24">
        <f t="shared" si="1"/>
        <v>777</v>
      </c>
      <c r="V24">
        <f t="shared" si="2"/>
        <v>64.75</v>
      </c>
      <c r="W24">
        <f t="shared" si="3"/>
        <v>1862.49333333333</v>
      </c>
      <c r="X24">
        <f t="shared" si="4"/>
        <v>0.596069203563657</v>
      </c>
      <c r="AH24" t="str">
        <f t="shared" si="7"/>
        <v>3rd Quality</v>
      </c>
      <c r="AJ24">
        <f>((T24-X24)*2)/18.9</f>
        <v>11.8790660359449</v>
      </c>
      <c r="AK24">
        <f t="shared" si="6"/>
        <v>94909.5775675676</v>
      </c>
    </row>
    <row r="25" spans="1:37">
      <c r="A25" t="s">
        <v>87</v>
      </c>
      <c r="B25">
        <v>37</v>
      </c>
      <c r="C25" t="s">
        <v>44</v>
      </c>
      <c r="D25" t="s">
        <v>45</v>
      </c>
      <c r="E25">
        <v>696</v>
      </c>
      <c r="F25">
        <v>62</v>
      </c>
      <c r="G25">
        <v>1</v>
      </c>
      <c r="H25">
        <v>1524.23</v>
      </c>
      <c r="I25">
        <v>1656.7</v>
      </c>
      <c r="J25">
        <v>11</v>
      </c>
      <c r="K25">
        <v>0</v>
      </c>
      <c r="L25">
        <v>6.2</v>
      </c>
      <c r="M25">
        <v>47.4</v>
      </c>
      <c r="N25" t="s">
        <v>61</v>
      </c>
      <c r="O25" t="s">
        <v>47</v>
      </c>
      <c r="P25" t="s">
        <v>58</v>
      </c>
      <c r="R25">
        <f>SUMIF(A25:A5024,"C00024",I25:I5024)</f>
        <v>1656.7</v>
      </c>
      <c r="S25" s="1">
        <v>1656.7</v>
      </c>
      <c r="T25">
        <f t="shared" si="0"/>
        <v>150.609090909091</v>
      </c>
      <c r="U25">
        <f t="shared" si="1"/>
        <v>521.4</v>
      </c>
      <c r="V25">
        <f t="shared" si="2"/>
        <v>43.45</v>
      </c>
      <c r="W25">
        <f t="shared" si="3"/>
        <v>1060.64333333333</v>
      </c>
      <c r="X25">
        <f t="shared" si="4"/>
        <v>0.456624000314913</v>
      </c>
      <c r="AH25" t="str">
        <f t="shared" si="7"/>
        <v>3rd Quality</v>
      </c>
      <c r="AJ25">
        <f>((T25-X25)*2)/6.2</f>
        <v>48.4362796479923</v>
      </c>
      <c r="AK25">
        <f t="shared" si="6"/>
        <v>104823.927272727</v>
      </c>
    </row>
    <row r="26" spans="1:37">
      <c r="A26" t="s">
        <v>88</v>
      </c>
      <c r="B26">
        <v>20</v>
      </c>
      <c r="C26" t="s">
        <v>44</v>
      </c>
      <c r="D26" t="s">
        <v>45</v>
      </c>
      <c r="E26">
        <v>1327</v>
      </c>
      <c r="F26">
        <v>149</v>
      </c>
      <c r="G26">
        <v>3</v>
      </c>
      <c r="H26">
        <v>676.95</v>
      </c>
      <c r="I26">
        <v>2098.55</v>
      </c>
      <c r="J26">
        <v>15</v>
      </c>
      <c r="K26">
        <v>0</v>
      </c>
      <c r="L26">
        <v>23.5</v>
      </c>
      <c r="M26">
        <v>11.2</v>
      </c>
      <c r="N26" t="s">
        <v>52</v>
      </c>
      <c r="O26" t="s">
        <v>53</v>
      </c>
      <c r="P26" t="s">
        <v>66</v>
      </c>
      <c r="R26">
        <f>SUMIF(A26:A5025,"C00025",I26:I5025)</f>
        <v>2098.55</v>
      </c>
      <c r="S26" s="1">
        <v>2098.55</v>
      </c>
      <c r="T26">
        <f t="shared" si="0"/>
        <v>139.903333333333</v>
      </c>
      <c r="U26">
        <f t="shared" si="1"/>
        <v>168</v>
      </c>
      <c r="V26">
        <f t="shared" si="2"/>
        <v>14</v>
      </c>
      <c r="W26">
        <f t="shared" si="3"/>
        <v>925.5</v>
      </c>
      <c r="X26">
        <f t="shared" si="4"/>
        <v>1.96026294408745</v>
      </c>
      <c r="AH26" t="str">
        <f t="shared" si="7"/>
        <v>3rd Quality</v>
      </c>
      <c r="AJ26">
        <f>((T26-X26)*2)/23.5</f>
        <v>11.7398357778081</v>
      </c>
      <c r="AK26">
        <f t="shared" si="6"/>
        <v>185651.723333333</v>
      </c>
    </row>
    <row r="27" spans="1:37">
      <c r="A27" t="s">
        <v>89</v>
      </c>
      <c r="B27">
        <v>45</v>
      </c>
      <c r="C27" t="s">
        <v>50</v>
      </c>
      <c r="D27" t="s">
        <v>51</v>
      </c>
      <c r="E27">
        <v>888</v>
      </c>
      <c r="F27">
        <v>16</v>
      </c>
      <c r="G27">
        <v>13</v>
      </c>
      <c r="H27">
        <v>2646.05</v>
      </c>
      <c r="I27">
        <v>33330.14</v>
      </c>
      <c r="J27">
        <v>45</v>
      </c>
      <c r="K27">
        <v>0</v>
      </c>
      <c r="L27">
        <v>21.1</v>
      </c>
      <c r="M27">
        <v>31.7</v>
      </c>
      <c r="N27" t="s">
        <v>63</v>
      </c>
      <c r="O27" t="s">
        <v>75</v>
      </c>
      <c r="P27" t="s">
        <v>58</v>
      </c>
      <c r="R27">
        <f>SUMIF(A27:A5026,"C00026",I27:I5026)</f>
        <v>33330.14</v>
      </c>
      <c r="S27" s="1">
        <v>33330.14</v>
      </c>
      <c r="T27">
        <f t="shared" si="0"/>
        <v>740.669777777778</v>
      </c>
      <c r="U27">
        <f t="shared" si="1"/>
        <v>1426.5</v>
      </c>
      <c r="V27">
        <f t="shared" si="2"/>
        <v>118.875</v>
      </c>
      <c r="W27">
        <f t="shared" si="3"/>
        <v>11992.3966666667</v>
      </c>
      <c r="X27">
        <f t="shared" si="4"/>
        <v>0.335594565484401</v>
      </c>
      <c r="AH27" t="str">
        <f t="shared" si="7"/>
        <v>3rd Quality</v>
      </c>
      <c r="AJ27">
        <f>((T27-X27)*2)/21.1</f>
        <v>70.1738562286534</v>
      </c>
      <c r="AK27">
        <f t="shared" si="6"/>
        <v>657714.762666667</v>
      </c>
    </row>
    <row r="28" spans="1:37">
      <c r="A28" t="s">
        <v>90</v>
      </c>
      <c r="B28">
        <v>24</v>
      </c>
      <c r="C28" t="s">
        <v>50</v>
      </c>
      <c r="D28" t="s">
        <v>60</v>
      </c>
      <c r="E28">
        <v>1023</v>
      </c>
      <c r="F28">
        <v>102</v>
      </c>
      <c r="G28">
        <v>9</v>
      </c>
      <c r="H28">
        <v>1952.57</v>
      </c>
      <c r="I28">
        <v>16608.35</v>
      </c>
      <c r="J28">
        <v>44</v>
      </c>
      <c r="K28">
        <v>1</v>
      </c>
      <c r="L28">
        <v>19.5</v>
      </c>
      <c r="M28">
        <v>23.6</v>
      </c>
      <c r="N28" t="s">
        <v>81</v>
      </c>
      <c r="O28" t="s">
        <v>53</v>
      </c>
      <c r="P28" t="s">
        <v>66</v>
      </c>
      <c r="R28">
        <f>SUMIF(A28:A5027,"C00027",I28:I5027)</f>
        <v>16608.35</v>
      </c>
      <c r="S28" s="1">
        <v>16608.35</v>
      </c>
      <c r="T28">
        <f t="shared" si="0"/>
        <v>377.4625</v>
      </c>
      <c r="U28">
        <f t="shared" si="1"/>
        <v>1038.4</v>
      </c>
      <c r="V28">
        <f>U28*1</f>
        <v>1038.4</v>
      </c>
      <c r="W28">
        <f t="shared" si="3"/>
        <v>6187.30666666667</v>
      </c>
      <c r="X28">
        <f t="shared" si="4"/>
        <v>0.523924878493473</v>
      </c>
      <c r="AH28" t="str">
        <f t="shared" si="7"/>
        <v>3rd Quality</v>
      </c>
      <c r="AJ28">
        <f>((T28-X28)*2)/19.5</f>
        <v>38.6603666791289</v>
      </c>
      <c r="AK28">
        <f t="shared" si="6"/>
        <v>386144.1375</v>
      </c>
    </row>
    <row r="29" spans="1:37">
      <c r="A29" t="s">
        <v>91</v>
      </c>
      <c r="B29">
        <v>33</v>
      </c>
      <c r="C29" t="s">
        <v>50</v>
      </c>
      <c r="D29" t="s">
        <v>60</v>
      </c>
      <c r="E29">
        <v>1089</v>
      </c>
      <c r="F29">
        <v>3</v>
      </c>
      <c r="G29">
        <v>12</v>
      </c>
      <c r="H29">
        <v>7311.46</v>
      </c>
      <c r="I29">
        <v>95130.7</v>
      </c>
      <c r="J29">
        <v>43</v>
      </c>
      <c r="K29">
        <v>0</v>
      </c>
      <c r="L29">
        <v>10.5</v>
      </c>
      <c r="M29">
        <v>49.9</v>
      </c>
      <c r="N29" t="s">
        <v>52</v>
      </c>
      <c r="O29" t="s">
        <v>75</v>
      </c>
      <c r="P29" t="s">
        <v>68</v>
      </c>
      <c r="R29">
        <f>SUMIF(A29:A5028,"C00028",I29:I5028)</f>
        <v>95130.7</v>
      </c>
      <c r="S29" s="1">
        <v>95130.7</v>
      </c>
      <c r="T29">
        <f t="shared" si="0"/>
        <v>2212.34186046512</v>
      </c>
      <c r="U29">
        <f t="shared" si="1"/>
        <v>2145.7</v>
      </c>
      <c r="V29">
        <f t="shared" si="2"/>
        <v>178.808333333333</v>
      </c>
      <c r="W29">
        <f t="shared" si="3"/>
        <v>34147.72</v>
      </c>
      <c r="X29">
        <f t="shared" si="4"/>
        <v>0.148944260106737</v>
      </c>
      <c r="AH29" t="str">
        <f t="shared" si="7"/>
        <v>1st Quality</v>
      </c>
      <c r="AJ29">
        <f>((T29-X29)*2)/10.5</f>
        <v>421.370079277145</v>
      </c>
      <c r="AK29">
        <f t="shared" si="6"/>
        <v>2409240.28604651</v>
      </c>
    </row>
    <row r="30" spans="1:37">
      <c r="A30" t="s">
        <v>92</v>
      </c>
      <c r="B30">
        <v>31</v>
      </c>
      <c r="C30" t="s">
        <v>50</v>
      </c>
      <c r="D30" t="s">
        <v>60</v>
      </c>
      <c r="E30">
        <v>1244</v>
      </c>
      <c r="F30">
        <v>23</v>
      </c>
      <c r="G30">
        <v>31</v>
      </c>
      <c r="H30">
        <v>3640.38</v>
      </c>
      <c r="I30">
        <v>122243.74</v>
      </c>
      <c r="J30">
        <v>256</v>
      </c>
      <c r="K30">
        <v>4</v>
      </c>
      <c r="L30">
        <v>21.5</v>
      </c>
      <c r="M30">
        <v>40</v>
      </c>
      <c r="N30" t="s">
        <v>57</v>
      </c>
      <c r="O30" t="s">
        <v>53</v>
      </c>
      <c r="P30" t="s">
        <v>58</v>
      </c>
      <c r="R30">
        <f>SUMIF(A30:A5029,"C00029",I30:I5029)</f>
        <v>122243.74</v>
      </c>
      <c r="S30" s="1">
        <v>122243.74</v>
      </c>
      <c r="T30">
        <f t="shared" si="0"/>
        <v>477.514609375</v>
      </c>
      <c r="U30">
        <f t="shared" si="1"/>
        <v>10240</v>
      </c>
      <c r="V30">
        <f>U30*4</f>
        <v>40960</v>
      </c>
      <c r="W30">
        <f t="shared" si="3"/>
        <v>41961.7066666667</v>
      </c>
      <c r="X30">
        <f t="shared" si="4"/>
        <v>0.34172256742428</v>
      </c>
      <c r="AH30" t="str">
        <f t="shared" si="7"/>
        <v>1st Quality</v>
      </c>
      <c r="AJ30">
        <f>((T30-X30)*2)/21.5</f>
        <v>44.3881755169838</v>
      </c>
      <c r="AK30">
        <f t="shared" si="6"/>
        <v>594028.1740625</v>
      </c>
    </row>
    <row r="31" spans="1:37">
      <c r="A31" t="s">
        <v>93</v>
      </c>
      <c r="B31">
        <v>50</v>
      </c>
      <c r="C31" t="s">
        <v>50</v>
      </c>
      <c r="D31" t="s">
        <v>45</v>
      </c>
      <c r="E31">
        <v>1433</v>
      </c>
      <c r="F31">
        <v>16</v>
      </c>
      <c r="G31">
        <v>4</v>
      </c>
      <c r="H31">
        <v>61303</v>
      </c>
      <c r="I31">
        <v>2698.3</v>
      </c>
      <c r="J31">
        <v>39</v>
      </c>
      <c r="K31">
        <v>1</v>
      </c>
      <c r="L31">
        <v>29.7</v>
      </c>
      <c r="M31">
        <v>17.7</v>
      </c>
      <c r="N31" t="s">
        <v>78</v>
      </c>
      <c r="O31" t="s">
        <v>47</v>
      </c>
      <c r="P31" t="s">
        <v>48</v>
      </c>
      <c r="R31">
        <f>SUMIF(A31:A5030,"C00030",I31:I5030)</f>
        <v>2698.3</v>
      </c>
      <c r="S31" s="1">
        <v>2698.3</v>
      </c>
      <c r="T31">
        <f t="shared" si="0"/>
        <v>69.1871794871795</v>
      </c>
      <c r="U31">
        <f t="shared" si="1"/>
        <v>690.3</v>
      </c>
      <c r="V31">
        <f>U31*1</f>
        <v>690.3</v>
      </c>
      <c r="W31">
        <f t="shared" si="3"/>
        <v>21334.1</v>
      </c>
      <c r="X31">
        <f t="shared" si="4"/>
        <v>0.0233756912386017</v>
      </c>
      <c r="AH31" t="str">
        <f t="shared" si="7"/>
        <v>3rd Quality</v>
      </c>
      <c r="AJ31">
        <f>((T31-X31)*2)/29.7</f>
        <v>4.65749520511387</v>
      </c>
      <c r="AK31">
        <f t="shared" si="6"/>
        <v>99145.2282051282</v>
      </c>
    </row>
    <row r="32" spans="1:37">
      <c r="A32" t="s">
        <v>94</v>
      </c>
      <c r="B32">
        <v>18</v>
      </c>
      <c r="C32" t="s">
        <v>50</v>
      </c>
      <c r="D32" t="s">
        <v>45</v>
      </c>
      <c r="E32">
        <v>772</v>
      </c>
      <c r="F32">
        <v>158</v>
      </c>
      <c r="G32">
        <v>5</v>
      </c>
      <c r="H32">
        <v>870.95</v>
      </c>
      <c r="I32">
        <v>4652.14</v>
      </c>
      <c r="J32">
        <v>16</v>
      </c>
      <c r="K32">
        <v>0</v>
      </c>
      <c r="L32">
        <v>34.5</v>
      </c>
      <c r="M32">
        <v>34.3</v>
      </c>
      <c r="N32" t="s">
        <v>46</v>
      </c>
      <c r="O32" t="s">
        <v>47</v>
      </c>
      <c r="P32" t="s">
        <v>58</v>
      </c>
      <c r="R32">
        <f>SUMIF(A32:A5031,"C00031",I32:I5031)</f>
        <v>4652.14</v>
      </c>
      <c r="S32" s="1">
        <v>4652.14</v>
      </c>
      <c r="T32">
        <f t="shared" si="0"/>
        <v>290.75875</v>
      </c>
      <c r="U32">
        <f t="shared" si="1"/>
        <v>548.8</v>
      </c>
      <c r="V32">
        <f t="shared" si="2"/>
        <v>45.7333333333333</v>
      </c>
      <c r="W32">
        <f t="shared" si="3"/>
        <v>1841.36333333333</v>
      </c>
      <c r="X32">
        <f t="shared" si="4"/>
        <v>0.886388426430909</v>
      </c>
      <c r="AH32" t="str">
        <f t="shared" si="7"/>
        <v>3rd Quality</v>
      </c>
      <c r="AJ32">
        <f>((T32-X32)*2)/34.5</f>
        <v>16.8041948738301</v>
      </c>
      <c r="AK32">
        <f t="shared" si="6"/>
        <v>224465.755</v>
      </c>
    </row>
    <row r="33" spans="1:37">
      <c r="A33" t="s">
        <v>95</v>
      </c>
      <c r="B33">
        <v>18</v>
      </c>
      <c r="C33" t="s">
        <v>44</v>
      </c>
      <c r="D33" t="s">
        <v>60</v>
      </c>
      <c r="E33">
        <v>746</v>
      </c>
      <c r="F33">
        <v>365</v>
      </c>
      <c r="G33">
        <v>1</v>
      </c>
      <c r="H33">
        <v>1485.88</v>
      </c>
      <c r="I33">
        <v>1373.47</v>
      </c>
      <c r="J33">
        <v>19</v>
      </c>
      <c r="K33">
        <v>0</v>
      </c>
      <c r="L33">
        <v>21</v>
      </c>
      <c r="M33">
        <v>13.7</v>
      </c>
      <c r="N33" t="s">
        <v>57</v>
      </c>
      <c r="O33" t="s">
        <v>75</v>
      </c>
      <c r="P33" t="s">
        <v>58</v>
      </c>
      <c r="R33">
        <f>SUMIF(A33:A5032,"C00032",I33:I5032)</f>
        <v>1373.47</v>
      </c>
      <c r="S33" s="1">
        <v>1373.47</v>
      </c>
      <c r="T33">
        <f t="shared" si="0"/>
        <v>72.2878947368421</v>
      </c>
      <c r="U33">
        <f t="shared" si="1"/>
        <v>260.3</v>
      </c>
      <c r="V33">
        <f t="shared" si="2"/>
        <v>21.6916666666667</v>
      </c>
      <c r="W33">
        <f t="shared" si="3"/>
        <v>953.45</v>
      </c>
      <c r="X33">
        <f t="shared" si="4"/>
        <v>0.502059385683904</v>
      </c>
      <c r="AH33" t="str">
        <f t="shared" si="7"/>
        <v>3rd Quality</v>
      </c>
      <c r="AJ33">
        <f>((T33-X33)*2)/21</f>
        <v>6.83674622391983</v>
      </c>
      <c r="AK33">
        <f t="shared" si="6"/>
        <v>53926.7694736842</v>
      </c>
    </row>
    <row r="34" spans="1:37">
      <c r="A34" t="s">
        <v>96</v>
      </c>
      <c r="B34">
        <v>18</v>
      </c>
      <c r="C34" t="s">
        <v>50</v>
      </c>
      <c r="D34" t="s">
        <v>60</v>
      </c>
      <c r="E34">
        <v>1329</v>
      </c>
      <c r="F34">
        <v>58</v>
      </c>
      <c r="G34">
        <v>2</v>
      </c>
      <c r="H34">
        <v>1892.83</v>
      </c>
      <c r="I34">
        <v>3684.34</v>
      </c>
      <c r="J34">
        <v>26</v>
      </c>
      <c r="K34">
        <v>0</v>
      </c>
      <c r="L34">
        <v>19.6</v>
      </c>
      <c r="M34">
        <v>33.4</v>
      </c>
      <c r="N34" t="s">
        <v>46</v>
      </c>
      <c r="O34" t="s">
        <v>47</v>
      </c>
      <c r="P34" t="s">
        <v>58</v>
      </c>
      <c r="R34">
        <f>SUMIF(A34:A5033,"C00033",I34:I5033)</f>
        <v>3684.34</v>
      </c>
      <c r="S34" s="1">
        <v>3684.34</v>
      </c>
      <c r="T34">
        <f t="shared" si="0"/>
        <v>141.705384615385</v>
      </c>
      <c r="U34">
        <f t="shared" si="1"/>
        <v>868.4</v>
      </c>
      <c r="V34">
        <f t="shared" si="2"/>
        <v>72.3666666666667</v>
      </c>
      <c r="W34">
        <f t="shared" si="3"/>
        <v>1859.39</v>
      </c>
      <c r="X34">
        <f t="shared" si="4"/>
        <v>0.702123275729992</v>
      </c>
      <c r="AH34" t="str">
        <f t="shared" si="7"/>
        <v>3rd Quality</v>
      </c>
      <c r="AJ34">
        <f>((T34-X34)*2)/19.6</f>
        <v>14.3880878918015</v>
      </c>
      <c r="AK34">
        <f t="shared" si="6"/>
        <v>188326.456153846</v>
      </c>
    </row>
    <row r="35" spans="1:37">
      <c r="A35" t="s">
        <v>97</v>
      </c>
      <c r="B35">
        <v>36</v>
      </c>
      <c r="C35" t="s">
        <v>44</v>
      </c>
      <c r="D35" t="s">
        <v>60</v>
      </c>
      <c r="E35">
        <v>726</v>
      </c>
      <c r="F35">
        <v>8</v>
      </c>
      <c r="G35">
        <v>11</v>
      </c>
      <c r="H35">
        <v>1506.05</v>
      </c>
      <c r="I35">
        <v>15883</v>
      </c>
      <c r="J35">
        <v>92</v>
      </c>
      <c r="K35">
        <v>1</v>
      </c>
      <c r="L35">
        <v>19.2</v>
      </c>
      <c r="M35">
        <v>20.1</v>
      </c>
      <c r="N35" t="s">
        <v>78</v>
      </c>
      <c r="O35" t="s">
        <v>47</v>
      </c>
      <c r="P35" t="s">
        <v>58</v>
      </c>
      <c r="R35">
        <f>SUMIF(A35:A5034,"C00034",I35:I5034)</f>
        <v>15883</v>
      </c>
      <c r="S35" s="1">
        <v>15883</v>
      </c>
      <c r="T35">
        <f t="shared" si="0"/>
        <v>172.641304347826</v>
      </c>
      <c r="U35">
        <f t="shared" si="1"/>
        <v>1849.2</v>
      </c>
      <c r="V35">
        <f>U35*1</f>
        <v>1849.2</v>
      </c>
      <c r="W35">
        <f t="shared" si="3"/>
        <v>5796.68333333333</v>
      </c>
      <c r="X35">
        <f t="shared" si="4"/>
        <v>0.482055708641811</v>
      </c>
      <c r="AH35" t="str">
        <f t="shared" si="7"/>
        <v>3rd Quality</v>
      </c>
      <c r="AJ35">
        <f>((T35-X35)*2)/19.2</f>
        <v>17.9332550665817</v>
      </c>
      <c r="AK35">
        <f t="shared" si="6"/>
        <v>125337.586956522</v>
      </c>
    </row>
    <row r="36" spans="1:37">
      <c r="A36" t="s">
        <v>98</v>
      </c>
      <c r="B36">
        <v>30</v>
      </c>
      <c r="C36" t="s">
        <v>50</v>
      </c>
      <c r="D36" t="s">
        <v>51</v>
      </c>
      <c r="E36">
        <v>1078</v>
      </c>
      <c r="F36">
        <v>79</v>
      </c>
      <c r="G36">
        <v>6</v>
      </c>
      <c r="H36">
        <v>741.22</v>
      </c>
      <c r="I36">
        <v>4188.89</v>
      </c>
      <c r="J36">
        <v>55</v>
      </c>
      <c r="K36">
        <v>0</v>
      </c>
      <c r="L36">
        <v>30.3</v>
      </c>
      <c r="M36">
        <v>49.7</v>
      </c>
      <c r="N36" t="s">
        <v>61</v>
      </c>
      <c r="O36" t="s">
        <v>47</v>
      </c>
      <c r="P36" t="s">
        <v>66</v>
      </c>
      <c r="R36">
        <f>SUMIF(A36:A5035,"C00035",I36:I5035)</f>
        <v>4188.89</v>
      </c>
      <c r="S36" s="1">
        <v>4188.89</v>
      </c>
      <c r="T36">
        <f t="shared" si="0"/>
        <v>76.1616363636364</v>
      </c>
      <c r="U36">
        <f t="shared" si="1"/>
        <v>2733.5</v>
      </c>
      <c r="V36">
        <f t="shared" si="2"/>
        <v>227.791666666667</v>
      </c>
      <c r="W36">
        <f t="shared" si="3"/>
        <v>1643.70333333333</v>
      </c>
      <c r="X36">
        <f t="shared" si="4"/>
        <v>1.45435902970778</v>
      </c>
      <c r="AH36" t="str">
        <f t="shared" si="7"/>
        <v>3rd Quality</v>
      </c>
      <c r="AJ36">
        <f>((T36-X36)*2)/30.3</f>
        <v>4.93117342138143</v>
      </c>
      <c r="AK36">
        <f t="shared" si="6"/>
        <v>82102.244</v>
      </c>
    </row>
    <row r="37" spans="1:37">
      <c r="A37" t="s">
        <v>99</v>
      </c>
      <c r="B37">
        <v>52</v>
      </c>
      <c r="C37" t="s">
        <v>50</v>
      </c>
      <c r="D37" t="s">
        <v>60</v>
      </c>
      <c r="E37">
        <v>1053</v>
      </c>
      <c r="F37">
        <v>42</v>
      </c>
      <c r="G37">
        <v>20</v>
      </c>
      <c r="H37">
        <v>4856.73</v>
      </c>
      <c r="I37">
        <v>104005.34</v>
      </c>
      <c r="J37">
        <v>149</v>
      </c>
      <c r="K37">
        <v>2</v>
      </c>
      <c r="L37">
        <v>8.9</v>
      </c>
      <c r="M37">
        <v>8.9</v>
      </c>
      <c r="N37" t="s">
        <v>78</v>
      </c>
      <c r="O37" t="s">
        <v>75</v>
      </c>
      <c r="P37" t="s">
        <v>48</v>
      </c>
      <c r="R37">
        <f>SUMIF(A37:A5036,"C00036",I37:I5036)</f>
        <v>104005.34</v>
      </c>
      <c r="S37" s="1">
        <v>104005.34</v>
      </c>
      <c r="T37">
        <f t="shared" si="0"/>
        <v>698.022416107383</v>
      </c>
      <c r="U37">
        <f t="shared" si="1"/>
        <v>1326.1</v>
      </c>
      <c r="V37">
        <f>U37*2</f>
        <v>2652.2</v>
      </c>
      <c r="W37">
        <f t="shared" si="3"/>
        <v>36287.69</v>
      </c>
      <c r="X37">
        <f t="shared" si="4"/>
        <v>0.216812546713529</v>
      </c>
      <c r="AH37" t="str">
        <f t="shared" si="7"/>
        <v>3rd Quality</v>
      </c>
      <c r="AJ37">
        <f>((T37-X37)*2)/8.9</f>
        <v>156.810247991162</v>
      </c>
      <c r="AK37">
        <f t="shared" si="6"/>
        <v>735017.604161074</v>
      </c>
    </row>
    <row r="38" spans="1:37">
      <c r="A38" t="s">
        <v>100</v>
      </c>
      <c r="B38">
        <v>39</v>
      </c>
      <c r="C38" t="s">
        <v>101</v>
      </c>
      <c r="D38" t="s">
        <v>60</v>
      </c>
      <c r="E38">
        <v>848</v>
      </c>
      <c r="F38">
        <v>3</v>
      </c>
      <c r="G38">
        <v>25</v>
      </c>
      <c r="H38">
        <v>4620.72</v>
      </c>
      <c r="I38">
        <v>105111.41</v>
      </c>
      <c r="J38">
        <v>81</v>
      </c>
      <c r="K38">
        <v>1</v>
      </c>
      <c r="L38">
        <v>1.9</v>
      </c>
      <c r="M38">
        <v>30.5</v>
      </c>
      <c r="N38" t="s">
        <v>81</v>
      </c>
      <c r="O38" t="s">
        <v>53</v>
      </c>
      <c r="P38" t="s">
        <v>58</v>
      </c>
      <c r="R38">
        <f>SUMIF(A38:A5037,"C00037",I38:I5037)</f>
        <v>105111.41</v>
      </c>
      <c r="S38" s="1">
        <v>105111.41</v>
      </c>
      <c r="T38">
        <f t="shared" si="0"/>
        <v>1297.67172839506</v>
      </c>
      <c r="U38">
        <f t="shared" si="1"/>
        <v>2470.5</v>
      </c>
      <c r="V38">
        <f>U38*1</f>
        <v>2470.5</v>
      </c>
      <c r="W38">
        <f t="shared" si="3"/>
        <v>36577.71</v>
      </c>
      <c r="X38">
        <f t="shared" si="4"/>
        <v>0.183521182845963</v>
      </c>
      <c r="AH38" t="str">
        <f t="shared" si="7"/>
        <v>2nd Quality</v>
      </c>
      <c r="AJ38">
        <f>((T38-X38)*2)/1.9</f>
        <v>1365.77706022338</v>
      </c>
      <c r="AK38">
        <f t="shared" si="6"/>
        <v>1100425.62567901</v>
      </c>
    </row>
    <row r="39" spans="1:37">
      <c r="A39" t="s">
        <v>102</v>
      </c>
      <c r="B39">
        <v>18</v>
      </c>
      <c r="C39" t="s">
        <v>44</v>
      </c>
      <c r="D39" t="s">
        <v>51</v>
      </c>
      <c r="E39">
        <v>1095</v>
      </c>
      <c r="F39">
        <v>26</v>
      </c>
      <c r="G39">
        <v>4</v>
      </c>
      <c r="H39">
        <v>2382.66</v>
      </c>
      <c r="I39">
        <v>9483.08</v>
      </c>
      <c r="J39">
        <v>35</v>
      </c>
      <c r="K39">
        <v>2</v>
      </c>
      <c r="L39">
        <v>29.6</v>
      </c>
      <c r="M39">
        <v>4.2</v>
      </c>
      <c r="N39" t="s">
        <v>81</v>
      </c>
      <c r="O39" t="s">
        <v>53</v>
      </c>
      <c r="P39" t="s">
        <v>48</v>
      </c>
      <c r="R39">
        <f>SUMIF(A39:A5038,"C00038",I39:I5038)</f>
        <v>9483.08</v>
      </c>
      <c r="S39" s="1">
        <v>9483.08</v>
      </c>
      <c r="T39">
        <f t="shared" si="0"/>
        <v>270.945142857143</v>
      </c>
      <c r="U39">
        <f t="shared" si="1"/>
        <v>147</v>
      </c>
      <c r="V39">
        <f>U39*2</f>
        <v>294</v>
      </c>
      <c r="W39">
        <f t="shared" si="3"/>
        <v>3955.58</v>
      </c>
      <c r="X39">
        <f t="shared" si="4"/>
        <v>0.459570396111909</v>
      </c>
      <c r="AH39" t="str">
        <f t="shared" si="7"/>
        <v>3rd Quality</v>
      </c>
      <c r="AJ39">
        <f>((T39-X39)*2)/29.6</f>
        <v>18.2760521933129</v>
      </c>
      <c r="AK39">
        <f t="shared" si="6"/>
        <v>296684.931428571</v>
      </c>
    </row>
    <row r="40" spans="1:37">
      <c r="A40" t="s">
        <v>103</v>
      </c>
      <c r="B40">
        <v>31</v>
      </c>
      <c r="C40" t="s">
        <v>50</v>
      </c>
      <c r="D40" t="s">
        <v>51</v>
      </c>
      <c r="E40">
        <v>1156</v>
      </c>
      <c r="F40">
        <v>18</v>
      </c>
      <c r="G40">
        <v>11</v>
      </c>
      <c r="H40">
        <v>1109.44</v>
      </c>
      <c r="I40">
        <v>13274.77</v>
      </c>
      <c r="J40">
        <v>40</v>
      </c>
      <c r="K40">
        <v>1</v>
      </c>
      <c r="L40">
        <v>2</v>
      </c>
      <c r="M40">
        <v>42.1</v>
      </c>
      <c r="N40" t="s">
        <v>63</v>
      </c>
      <c r="O40" t="s">
        <v>47</v>
      </c>
      <c r="P40" t="s">
        <v>66</v>
      </c>
      <c r="R40">
        <f>SUMIF(A40:A5039,"C00039",I40:I5039)</f>
        <v>13274.77</v>
      </c>
      <c r="S40" s="1">
        <v>13274.77</v>
      </c>
      <c r="T40">
        <f t="shared" si="0"/>
        <v>331.86925</v>
      </c>
      <c r="U40">
        <f t="shared" si="1"/>
        <v>1684</v>
      </c>
      <c r="V40">
        <f>U40*1</f>
        <v>1684</v>
      </c>
      <c r="W40">
        <f t="shared" si="3"/>
        <v>4795.07</v>
      </c>
      <c r="X40">
        <f t="shared" si="4"/>
        <v>1.04196711854629</v>
      </c>
      <c r="AH40" t="str">
        <f t="shared" si="7"/>
        <v>3rd Quality</v>
      </c>
      <c r="AJ40">
        <f>((T40-X40)*2)/2</f>
        <v>330.827282881454</v>
      </c>
      <c r="AK40">
        <f t="shared" si="6"/>
        <v>383640.853</v>
      </c>
    </row>
    <row r="41" spans="1:37">
      <c r="A41" t="s">
        <v>104</v>
      </c>
      <c r="B41">
        <v>41</v>
      </c>
      <c r="C41" t="s">
        <v>44</v>
      </c>
      <c r="D41" t="s">
        <v>51</v>
      </c>
      <c r="E41">
        <v>576</v>
      </c>
      <c r="F41">
        <v>135</v>
      </c>
      <c r="G41">
        <v>3</v>
      </c>
      <c r="H41">
        <v>952.99</v>
      </c>
      <c r="I41">
        <v>3057.25</v>
      </c>
      <c r="J41">
        <v>26</v>
      </c>
      <c r="K41">
        <v>0</v>
      </c>
      <c r="L41">
        <v>40</v>
      </c>
      <c r="M41">
        <v>12.4</v>
      </c>
      <c r="N41" t="s">
        <v>46</v>
      </c>
      <c r="O41" t="s">
        <v>47</v>
      </c>
      <c r="P41" t="s">
        <v>58</v>
      </c>
      <c r="R41">
        <f>SUMIF(A41:A5040,"C00040",I41:I5040)</f>
        <v>3057.25</v>
      </c>
      <c r="S41" s="1">
        <v>3057.25</v>
      </c>
      <c r="T41">
        <f t="shared" si="0"/>
        <v>117.586538461538</v>
      </c>
      <c r="U41">
        <f t="shared" si="1"/>
        <v>322.4</v>
      </c>
      <c r="V41">
        <f t="shared" si="2"/>
        <v>26.8666666666667</v>
      </c>
      <c r="W41">
        <f t="shared" si="3"/>
        <v>1337.08</v>
      </c>
      <c r="X41">
        <f t="shared" si="4"/>
        <v>0.604413477581087</v>
      </c>
      <c r="AH41" t="str">
        <f t="shared" si="7"/>
        <v>3rd Quality</v>
      </c>
      <c r="AJ41">
        <f>((T41-X41)*2)/40</f>
        <v>5.84910624919785</v>
      </c>
      <c r="AK41">
        <f t="shared" si="6"/>
        <v>67729.8461538462</v>
      </c>
    </row>
    <row r="42" spans="1:37">
      <c r="A42" t="s">
        <v>105</v>
      </c>
      <c r="B42">
        <v>33</v>
      </c>
      <c r="C42" t="s">
        <v>44</v>
      </c>
      <c r="D42" t="s">
        <v>45</v>
      </c>
      <c r="E42">
        <v>573</v>
      </c>
      <c r="F42">
        <v>23</v>
      </c>
      <c r="G42">
        <v>4</v>
      </c>
      <c r="H42">
        <v>860.61</v>
      </c>
      <c r="I42">
        <v>3250.25</v>
      </c>
      <c r="J42">
        <v>13</v>
      </c>
      <c r="K42">
        <v>1</v>
      </c>
      <c r="L42">
        <v>20.7</v>
      </c>
      <c r="M42">
        <v>54</v>
      </c>
      <c r="N42" t="s">
        <v>57</v>
      </c>
      <c r="O42" t="s">
        <v>47</v>
      </c>
      <c r="P42" t="s">
        <v>58</v>
      </c>
      <c r="R42">
        <f>SUMIF(A42:A5041,"C00041",I42:I5041)</f>
        <v>3250.25</v>
      </c>
      <c r="S42" s="1">
        <v>3250.25</v>
      </c>
      <c r="T42">
        <f t="shared" si="0"/>
        <v>250.019230769231</v>
      </c>
      <c r="U42">
        <f t="shared" si="1"/>
        <v>702</v>
      </c>
      <c r="V42">
        <f>U42*1</f>
        <v>702</v>
      </c>
      <c r="W42">
        <f t="shared" si="3"/>
        <v>1370.62</v>
      </c>
      <c r="X42">
        <f t="shared" si="4"/>
        <v>0.665806811447694</v>
      </c>
      <c r="AH42" t="str">
        <f t="shared" si="7"/>
        <v>3rd Quality</v>
      </c>
      <c r="AJ42">
        <f>((T42-X42)*2)/20.7</f>
        <v>24.0921182567907</v>
      </c>
      <c r="AK42">
        <f t="shared" si="6"/>
        <v>143261.019230769</v>
      </c>
    </row>
    <row r="43" spans="1:37">
      <c r="A43" t="s">
        <v>106</v>
      </c>
      <c r="B43">
        <v>30</v>
      </c>
      <c r="C43" t="s">
        <v>50</v>
      </c>
      <c r="D43" t="s">
        <v>45</v>
      </c>
      <c r="E43">
        <v>865</v>
      </c>
      <c r="F43">
        <v>141</v>
      </c>
      <c r="G43">
        <v>1</v>
      </c>
      <c r="H43">
        <v>833.61</v>
      </c>
      <c r="I43">
        <v>740.69</v>
      </c>
      <c r="J43">
        <v>19</v>
      </c>
      <c r="K43">
        <v>0</v>
      </c>
      <c r="L43">
        <v>29.1</v>
      </c>
      <c r="M43">
        <v>33.2</v>
      </c>
      <c r="N43" t="s">
        <v>61</v>
      </c>
      <c r="O43" t="s">
        <v>47</v>
      </c>
      <c r="P43" t="s">
        <v>66</v>
      </c>
      <c r="R43">
        <f>SUMIF(A43:A5042,"C00042",I43:I5042)</f>
        <v>740.69</v>
      </c>
      <c r="S43" s="1">
        <v>740.69</v>
      </c>
      <c r="T43">
        <f t="shared" si="0"/>
        <v>38.9836842105263</v>
      </c>
      <c r="U43">
        <f t="shared" si="1"/>
        <v>630.8</v>
      </c>
      <c r="V43">
        <f t="shared" si="2"/>
        <v>52.5666666666667</v>
      </c>
      <c r="W43">
        <f t="shared" si="3"/>
        <v>525.1</v>
      </c>
      <c r="X43">
        <f t="shared" si="4"/>
        <v>1.03765549837454</v>
      </c>
      <c r="AH43" t="str">
        <f t="shared" si="7"/>
        <v>3rd Quality</v>
      </c>
      <c r="AJ43">
        <f>((T43-X43)*2)/29.1</f>
        <v>2.60797448193483</v>
      </c>
      <c r="AK43">
        <f t="shared" si="6"/>
        <v>33720.8868421053</v>
      </c>
    </row>
    <row r="44" spans="1:37">
      <c r="A44" t="s">
        <v>107</v>
      </c>
      <c r="B44">
        <v>28</v>
      </c>
      <c r="C44" t="s">
        <v>50</v>
      </c>
      <c r="D44" t="s">
        <v>60</v>
      </c>
      <c r="E44">
        <v>1309</v>
      </c>
      <c r="F44">
        <v>77</v>
      </c>
      <c r="G44">
        <v>1</v>
      </c>
      <c r="H44">
        <v>9884</v>
      </c>
      <c r="I44">
        <v>967.97</v>
      </c>
      <c r="J44">
        <v>12</v>
      </c>
      <c r="K44">
        <v>0</v>
      </c>
      <c r="L44">
        <v>29.6</v>
      </c>
      <c r="M44">
        <v>17.8</v>
      </c>
      <c r="N44" t="s">
        <v>46</v>
      </c>
      <c r="O44" t="s">
        <v>47</v>
      </c>
      <c r="P44" t="s">
        <v>58</v>
      </c>
      <c r="R44">
        <f>SUMIF(A44:A5043,"C00043",I44:I5043)</f>
        <v>967.97</v>
      </c>
      <c r="S44" s="1">
        <v>967.97</v>
      </c>
      <c r="T44">
        <f t="shared" si="0"/>
        <v>80.6641666666667</v>
      </c>
      <c r="U44">
        <f t="shared" si="1"/>
        <v>213.6</v>
      </c>
      <c r="V44">
        <f t="shared" si="2"/>
        <v>17.8</v>
      </c>
      <c r="W44">
        <f t="shared" si="3"/>
        <v>3617.65666666667</v>
      </c>
      <c r="X44">
        <f t="shared" si="4"/>
        <v>0.132436260623229</v>
      </c>
      <c r="AH44" t="str">
        <f t="shared" si="7"/>
        <v>3rd Quality</v>
      </c>
      <c r="AJ44">
        <f>((T44-X44)*2)/29.6</f>
        <v>5.44133313554348</v>
      </c>
      <c r="AK44">
        <f t="shared" si="6"/>
        <v>105589.394166667</v>
      </c>
    </row>
    <row r="45" spans="1:37">
      <c r="A45" t="s">
        <v>108</v>
      </c>
      <c r="B45">
        <v>33</v>
      </c>
      <c r="C45" t="s">
        <v>44</v>
      </c>
      <c r="D45" t="s">
        <v>60</v>
      </c>
      <c r="E45">
        <v>781</v>
      </c>
      <c r="F45">
        <v>37</v>
      </c>
      <c r="G45">
        <v>8</v>
      </c>
      <c r="H45">
        <v>1060.14</v>
      </c>
      <c r="I45">
        <v>8671.45</v>
      </c>
      <c r="J45">
        <v>40</v>
      </c>
      <c r="K45">
        <v>0</v>
      </c>
      <c r="L45">
        <v>31.3</v>
      </c>
      <c r="M45">
        <v>27.2</v>
      </c>
      <c r="N45" t="s">
        <v>57</v>
      </c>
      <c r="O45" t="s">
        <v>47</v>
      </c>
      <c r="P45" t="s">
        <v>68</v>
      </c>
      <c r="R45">
        <f>SUMIF(A45:A5044,"C00044",I45:I5044)</f>
        <v>8671.45</v>
      </c>
      <c r="S45" s="1">
        <v>8671.45</v>
      </c>
      <c r="T45">
        <f t="shared" si="0"/>
        <v>216.78625</v>
      </c>
      <c r="U45">
        <f t="shared" si="1"/>
        <v>1088</v>
      </c>
      <c r="V45">
        <f t="shared" si="2"/>
        <v>90.6666666666667</v>
      </c>
      <c r="W45">
        <f t="shared" si="3"/>
        <v>3244.19666666667</v>
      </c>
      <c r="X45">
        <f t="shared" si="4"/>
        <v>0.736695153470296</v>
      </c>
      <c r="AH45" t="str">
        <f t="shared" si="7"/>
        <v>3rd Quality</v>
      </c>
      <c r="AJ45">
        <f>((T45-X45)*2)/31.3</f>
        <v>13.8050833767751</v>
      </c>
      <c r="AK45">
        <f t="shared" si="6"/>
        <v>169310.06125</v>
      </c>
    </row>
    <row r="46" spans="1:37">
      <c r="A46" t="s">
        <v>109</v>
      </c>
      <c r="B46">
        <v>22</v>
      </c>
      <c r="C46" t="s">
        <v>50</v>
      </c>
      <c r="D46" t="s">
        <v>60</v>
      </c>
      <c r="E46">
        <v>880</v>
      </c>
      <c r="F46">
        <v>87</v>
      </c>
      <c r="G46">
        <v>1</v>
      </c>
      <c r="H46">
        <v>968.09</v>
      </c>
      <c r="I46">
        <v>1050.51</v>
      </c>
      <c r="J46">
        <v>9</v>
      </c>
      <c r="K46">
        <v>0</v>
      </c>
      <c r="L46">
        <v>30.2</v>
      </c>
      <c r="M46">
        <v>8.2</v>
      </c>
      <c r="N46" t="s">
        <v>52</v>
      </c>
      <c r="O46" t="s">
        <v>47</v>
      </c>
      <c r="P46" t="s">
        <v>58</v>
      </c>
      <c r="R46">
        <f>SUMIF(A46:A5045,"C00045",I46:I5045)</f>
        <v>1050.51</v>
      </c>
      <c r="S46" s="1">
        <v>1050.51</v>
      </c>
      <c r="T46">
        <f t="shared" si="0"/>
        <v>116.723333333333</v>
      </c>
      <c r="U46">
        <f t="shared" si="1"/>
        <v>73.8</v>
      </c>
      <c r="V46">
        <f t="shared" si="2"/>
        <v>6.15</v>
      </c>
      <c r="W46">
        <f t="shared" si="3"/>
        <v>673.2</v>
      </c>
      <c r="X46">
        <f t="shared" si="4"/>
        <v>0.909006394033612</v>
      </c>
      <c r="AH46" t="str">
        <f t="shared" si="7"/>
        <v>3rd Quality</v>
      </c>
      <c r="AJ46">
        <f>((T46-X46)*2)/30.2</f>
        <v>7.66982297611254</v>
      </c>
      <c r="AK46">
        <f t="shared" si="6"/>
        <v>102716.533333333</v>
      </c>
    </row>
    <row r="47" spans="1:37">
      <c r="A47" t="s">
        <v>110</v>
      </c>
      <c r="B47">
        <v>34</v>
      </c>
      <c r="C47" t="s">
        <v>50</v>
      </c>
      <c r="D47" t="s">
        <v>60</v>
      </c>
      <c r="E47">
        <v>829</v>
      </c>
      <c r="F47">
        <v>16</v>
      </c>
      <c r="G47">
        <v>2</v>
      </c>
      <c r="H47">
        <v>90603</v>
      </c>
      <c r="I47">
        <v>1824.35</v>
      </c>
      <c r="J47">
        <v>26</v>
      </c>
      <c r="K47">
        <v>0</v>
      </c>
      <c r="L47">
        <v>28.8</v>
      </c>
      <c r="M47">
        <v>31.9</v>
      </c>
      <c r="N47" t="s">
        <v>78</v>
      </c>
      <c r="O47" t="s">
        <v>47</v>
      </c>
      <c r="P47" t="s">
        <v>58</v>
      </c>
      <c r="R47">
        <f>SUMIF(A47:A5046,"C00046",I47:I5046)</f>
        <v>1824.35</v>
      </c>
      <c r="S47" s="1">
        <v>1824.35</v>
      </c>
      <c r="T47">
        <f t="shared" si="0"/>
        <v>70.1673076923077</v>
      </c>
      <c r="U47">
        <f t="shared" si="1"/>
        <v>829.4</v>
      </c>
      <c r="V47">
        <f t="shared" si="2"/>
        <v>69.1166666666667</v>
      </c>
      <c r="W47">
        <f t="shared" si="3"/>
        <v>30809.45</v>
      </c>
      <c r="X47">
        <f t="shared" si="4"/>
        <v>0.00914980740152092</v>
      </c>
      <c r="AH47" t="str">
        <f t="shared" si="7"/>
        <v>2nd Quality</v>
      </c>
      <c r="AJ47">
        <f>((T47-X47)*2)/28.8</f>
        <v>4.87209429756293</v>
      </c>
      <c r="AK47">
        <f t="shared" si="6"/>
        <v>58168.6980769231</v>
      </c>
    </row>
    <row r="48" spans="1:37">
      <c r="A48" t="s">
        <v>111</v>
      </c>
      <c r="B48">
        <v>38</v>
      </c>
      <c r="C48" t="s">
        <v>50</v>
      </c>
      <c r="D48" t="s">
        <v>45</v>
      </c>
      <c r="E48">
        <v>1231</v>
      </c>
      <c r="F48">
        <v>35</v>
      </c>
      <c r="G48">
        <v>4</v>
      </c>
      <c r="H48">
        <v>1137.88</v>
      </c>
      <c r="I48">
        <v>4295.7</v>
      </c>
      <c r="J48">
        <v>36</v>
      </c>
      <c r="K48">
        <v>0</v>
      </c>
      <c r="L48">
        <v>15.3</v>
      </c>
      <c r="M48">
        <v>46.4</v>
      </c>
      <c r="N48" t="s">
        <v>57</v>
      </c>
      <c r="O48" t="s">
        <v>47</v>
      </c>
      <c r="P48" t="s">
        <v>58</v>
      </c>
      <c r="R48">
        <f>SUMIF(A48:A5047,"C00047",I48:I5047)</f>
        <v>4295.7</v>
      </c>
      <c r="S48" s="1">
        <v>4295.7</v>
      </c>
      <c r="T48">
        <f t="shared" si="0"/>
        <v>119.325</v>
      </c>
      <c r="U48">
        <f t="shared" si="1"/>
        <v>1670.4</v>
      </c>
      <c r="V48">
        <f t="shared" si="2"/>
        <v>139.2</v>
      </c>
      <c r="W48">
        <f t="shared" si="3"/>
        <v>1811.52666666667</v>
      </c>
      <c r="X48">
        <f t="shared" si="4"/>
        <v>1.08183639751116</v>
      </c>
      <c r="AH48" t="str">
        <f t="shared" si="7"/>
        <v>3rd Quality</v>
      </c>
      <c r="AJ48">
        <f>((T48-X48)*2)/15.3</f>
        <v>15.4566226931358</v>
      </c>
      <c r="AK48">
        <f t="shared" si="6"/>
        <v>146889.075</v>
      </c>
    </row>
    <row r="49" spans="1:37">
      <c r="A49" t="s">
        <v>112</v>
      </c>
      <c r="B49">
        <v>30</v>
      </c>
      <c r="C49" t="s">
        <v>50</v>
      </c>
      <c r="D49" t="s">
        <v>60</v>
      </c>
      <c r="E49">
        <v>523</v>
      </c>
      <c r="F49">
        <v>8</v>
      </c>
      <c r="G49">
        <v>9</v>
      </c>
      <c r="H49">
        <v>2295.94</v>
      </c>
      <c r="I49">
        <v>21609.47</v>
      </c>
      <c r="J49">
        <v>23</v>
      </c>
      <c r="K49">
        <v>0</v>
      </c>
      <c r="L49">
        <v>17</v>
      </c>
      <c r="M49">
        <v>29.9</v>
      </c>
      <c r="N49" t="s">
        <v>81</v>
      </c>
      <c r="O49" t="s">
        <v>75</v>
      </c>
      <c r="P49" t="s">
        <v>48</v>
      </c>
      <c r="R49">
        <f>SUMIF(A49:A5048,"C00048",I49:I5048)</f>
        <v>21609.47</v>
      </c>
      <c r="S49" s="1">
        <v>21609.47</v>
      </c>
      <c r="T49">
        <f t="shared" si="0"/>
        <v>939.542173913043</v>
      </c>
      <c r="U49">
        <f t="shared" si="1"/>
        <v>687.7</v>
      </c>
      <c r="V49">
        <f t="shared" si="2"/>
        <v>57.3083333333333</v>
      </c>
      <c r="W49">
        <f t="shared" si="3"/>
        <v>7968.80333333333</v>
      </c>
      <c r="X49">
        <f t="shared" si="4"/>
        <v>0.227793409235433</v>
      </c>
      <c r="AH49" t="str">
        <f t="shared" si="7"/>
        <v>2nd Quality</v>
      </c>
      <c r="AJ49">
        <f>((T49-X49)*2)/17</f>
        <v>110.507574176919</v>
      </c>
      <c r="AK49">
        <f t="shared" si="6"/>
        <v>491380.556956522</v>
      </c>
    </row>
    <row r="50" spans="1:37">
      <c r="A50" t="s">
        <v>113</v>
      </c>
      <c r="B50">
        <v>35</v>
      </c>
      <c r="C50" t="s">
        <v>44</v>
      </c>
      <c r="D50" t="s">
        <v>60</v>
      </c>
      <c r="E50">
        <v>1028</v>
      </c>
      <c r="F50">
        <v>26</v>
      </c>
      <c r="G50">
        <v>2</v>
      </c>
      <c r="H50">
        <v>777.55</v>
      </c>
      <c r="I50">
        <v>1518.4</v>
      </c>
      <c r="J50">
        <v>19</v>
      </c>
      <c r="K50">
        <v>0</v>
      </c>
      <c r="L50">
        <v>33.5</v>
      </c>
      <c r="M50">
        <v>15</v>
      </c>
      <c r="N50" t="s">
        <v>61</v>
      </c>
      <c r="O50" t="s">
        <v>53</v>
      </c>
      <c r="P50" t="s">
        <v>68</v>
      </c>
      <c r="R50">
        <f>SUMIF(A50:A5049,"C00049",I50:I5049)</f>
        <v>1518.4</v>
      </c>
      <c r="S50" s="1">
        <v>1518.4</v>
      </c>
      <c r="T50">
        <f t="shared" si="0"/>
        <v>79.9157894736842</v>
      </c>
      <c r="U50">
        <f t="shared" si="1"/>
        <v>285</v>
      </c>
      <c r="V50">
        <f t="shared" si="2"/>
        <v>23.75</v>
      </c>
      <c r="W50">
        <f t="shared" si="3"/>
        <v>765.65</v>
      </c>
      <c r="X50">
        <f t="shared" si="4"/>
        <v>1.32210147257411</v>
      </c>
      <c r="AH50" t="str">
        <f t="shared" si="7"/>
        <v>3rd Quality</v>
      </c>
      <c r="AJ50">
        <f>((T50-X50)*2)/33.5</f>
        <v>4.69216047767821</v>
      </c>
      <c r="AK50">
        <f t="shared" si="6"/>
        <v>82153.4315789474</v>
      </c>
    </row>
    <row r="51" spans="1:37">
      <c r="A51" t="s">
        <v>114</v>
      </c>
      <c r="B51">
        <v>34</v>
      </c>
      <c r="C51" t="s">
        <v>50</v>
      </c>
      <c r="D51" t="s">
        <v>51</v>
      </c>
      <c r="E51">
        <v>1077</v>
      </c>
      <c r="F51">
        <v>22</v>
      </c>
      <c r="G51">
        <v>22</v>
      </c>
      <c r="H51">
        <v>3365.69</v>
      </c>
      <c r="I51">
        <v>79824.91</v>
      </c>
      <c r="J51">
        <v>51</v>
      </c>
      <c r="K51">
        <v>0</v>
      </c>
      <c r="L51">
        <v>10.6</v>
      </c>
      <c r="M51">
        <v>26.2</v>
      </c>
      <c r="N51" t="s">
        <v>57</v>
      </c>
      <c r="O51" t="s">
        <v>47</v>
      </c>
      <c r="P51" t="s">
        <v>48</v>
      </c>
      <c r="R51">
        <f>SUMIF(A51:A5050,"C00050",I51:I5050)</f>
        <v>79824.91</v>
      </c>
      <c r="S51" s="1">
        <v>79824.91</v>
      </c>
      <c r="T51">
        <f t="shared" si="0"/>
        <v>1565.19431372549</v>
      </c>
      <c r="U51">
        <f t="shared" si="1"/>
        <v>1336.2</v>
      </c>
      <c r="V51">
        <f t="shared" si="2"/>
        <v>111.35</v>
      </c>
      <c r="W51">
        <f t="shared" si="3"/>
        <v>27730.5333333333</v>
      </c>
      <c r="X51">
        <f t="shared" si="4"/>
        <v>0.319993819989363</v>
      </c>
      <c r="AH51" t="str">
        <f t="shared" si="7"/>
        <v>2nd Quality</v>
      </c>
      <c r="AJ51">
        <f>((T51-X51)*2)/10.6</f>
        <v>295.259305642547</v>
      </c>
      <c r="AK51">
        <f t="shared" si="6"/>
        <v>1685714.27588235</v>
      </c>
    </row>
    <row r="52" spans="1:37">
      <c r="A52" t="s">
        <v>115</v>
      </c>
      <c r="B52">
        <v>30</v>
      </c>
      <c r="C52" t="s">
        <v>44</v>
      </c>
      <c r="D52" t="s">
        <v>45</v>
      </c>
      <c r="E52">
        <v>593</v>
      </c>
      <c r="F52">
        <v>14</v>
      </c>
      <c r="G52">
        <v>24</v>
      </c>
      <c r="H52">
        <v>1832.59</v>
      </c>
      <c r="I52">
        <v>38954.74</v>
      </c>
      <c r="J52">
        <v>148</v>
      </c>
      <c r="K52">
        <v>0</v>
      </c>
      <c r="L52">
        <v>20.8</v>
      </c>
      <c r="M52">
        <v>28</v>
      </c>
      <c r="N52" t="s">
        <v>63</v>
      </c>
      <c r="O52" t="s">
        <v>75</v>
      </c>
      <c r="P52" t="s">
        <v>48</v>
      </c>
      <c r="R52">
        <f>SUMIF(A52:A5051,"C00051",I52:I5051)</f>
        <v>38954.74</v>
      </c>
      <c r="S52" s="1">
        <v>38954.74</v>
      </c>
      <c r="T52">
        <f t="shared" si="0"/>
        <v>263.207702702703</v>
      </c>
      <c r="U52">
        <f t="shared" si="1"/>
        <v>4144</v>
      </c>
      <c r="V52">
        <f t="shared" si="2"/>
        <v>345.333333333333</v>
      </c>
      <c r="W52">
        <f t="shared" si="3"/>
        <v>13596.11</v>
      </c>
      <c r="X52">
        <f t="shared" si="4"/>
        <v>0.323585744765605</v>
      </c>
      <c r="AH52" t="str">
        <f t="shared" si="7"/>
        <v>2nd Quality</v>
      </c>
      <c r="AJ52">
        <f>((T52-X52)*2)/20.8</f>
        <v>25.2773189382632</v>
      </c>
      <c r="AK52">
        <f t="shared" si="6"/>
        <v>156082.167702703</v>
      </c>
    </row>
    <row r="53" spans="1:37">
      <c r="A53" t="s">
        <v>116</v>
      </c>
      <c r="B53">
        <v>45</v>
      </c>
      <c r="C53" t="s">
        <v>50</v>
      </c>
      <c r="D53" t="s">
        <v>60</v>
      </c>
      <c r="E53">
        <v>574</v>
      </c>
      <c r="F53">
        <v>13</v>
      </c>
      <c r="G53">
        <v>25</v>
      </c>
      <c r="H53">
        <v>3897.92</v>
      </c>
      <c r="I53">
        <v>95553.87</v>
      </c>
      <c r="J53">
        <v>156</v>
      </c>
      <c r="K53">
        <v>1</v>
      </c>
      <c r="L53">
        <v>3.3</v>
      </c>
      <c r="M53">
        <v>33.3</v>
      </c>
      <c r="N53" t="s">
        <v>52</v>
      </c>
      <c r="O53" t="s">
        <v>47</v>
      </c>
      <c r="P53" t="s">
        <v>58</v>
      </c>
      <c r="R53">
        <f>SUMIF(A53:A5052,"C00052",I53:I5052)</f>
        <v>95553.87</v>
      </c>
      <c r="S53" s="1">
        <v>95553.87</v>
      </c>
      <c r="T53">
        <f t="shared" si="0"/>
        <v>612.524807692308</v>
      </c>
      <c r="U53">
        <f t="shared" si="1"/>
        <v>5194.8</v>
      </c>
      <c r="V53">
        <f>U53*1</f>
        <v>5194.8</v>
      </c>
      <c r="W53">
        <f t="shared" si="3"/>
        <v>33150.93</v>
      </c>
      <c r="X53">
        <f t="shared" si="4"/>
        <v>0.14725802479271</v>
      </c>
      <c r="AH53" t="str">
        <f t="shared" si="7"/>
        <v>3rd Quality</v>
      </c>
      <c r="AJ53">
        <f>((T53-X53)*2)/3.3</f>
        <v>371.137908889403</v>
      </c>
      <c r="AK53">
        <f t="shared" si="6"/>
        <v>351589.239615385</v>
      </c>
    </row>
    <row r="54" spans="1:37">
      <c r="A54" t="s">
        <v>117</v>
      </c>
      <c r="B54">
        <v>18</v>
      </c>
      <c r="C54" t="s">
        <v>101</v>
      </c>
      <c r="D54" t="s">
        <v>60</v>
      </c>
      <c r="E54">
        <v>1140</v>
      </c>
      <c r="F54">
        <v>95</v>
      </c>
      <c r="G54">
        <v>2</v>
      </c>
      <c r="H54">
        <v>709.11</v>
      </c>
      <c r="I54">
        <v>1391.72</v>
      </c>
      <c r="J54">
        <v>13</v>
      </c>
      <c r="K54">
        <v>0</v>
      </c>
      <c r="L54">
        <v>20.9</v>
      </c>
      <c r="M54">
        <v>34.6</v>
      </c>
      <c r="N54" t="s">
        <v>52</v>
      </c>
      <c r="O54" t="s">
        <v>75</v>
      </c>
      <c r="P54" t="s">
        <v>58</v>
      </c>
      <c r="R54">
        <f>SUMIF(A54:A5053,"C00053",I54:I5053)</f>
        <v>1391.72</v>
      </c>
      <c r="S54" s="1">
        <v>1391.72</v>
      </c>
      <c r="T54">
        <f t="shared" si="0"/>
        <v>107.055384615385</v>
      </c>
      <c r="U54">
        <f t="shared" si="1"/>
        <v>449.8</v>
      </c>
      <c r="V54">
        <f t="shared" si="2"/>
        <v>37.4833333333333</v>
      </c>
      <c r="W54">
        <f t="shared" si="3"/>
        <v>700.61</v>
      </c>
      <c r="X54">
        <f t="shared" si="4"/>
        <v>1.60764902483395</v>
      </c>
      <c r="AH54" t="str">
        <f t="shared" si="7"/>
        <v>3rd Quality</v>
      </c>
      <c r="AJ54">
        <f>((T54-X54)*2)/20.9</f>
        <v>10.0906924010097</v>
      </c>
      <c r="AK54">
        <f t="shared" si="6"/>
        <v>122043.138461538</v>
      </c>
    </row>
    <row r="55" spans="1:37">
      <c r="A55" t="s">
        <v>118</v>
      </c>
      <c r="B55">
        <v>18</v>
      </c>
      <c r="C55" t="s">
        <v>101</v>
      </c>
      <c r="D55" t="s">
        <v>60</v>
      </c>
      <c r="E55">
        <v>397</v>
      </c>
      <c r="F55">
        <v>343</v>
      </c>
      <c r="G55">
        <v>1</v>
      </c>
      <c r="H55">
        <v>1222.9</v>
      </c>
      <c r="I55">
        <v>1248.59</v>
      </c>
      <c r="J55">
        <v>13</v>
      </c>
      <c r="K55">
        <v>0</v>
      </c>
      <c r="L55">
        <v>31.1</v>
      </c>
      <c r="M55">
        <v>6.8</v>
      </c>
      <c r="N55" t="s">
        <v>46</v>
      </c>
      <c r="O55" t="s">
        <v>75</v>
      </c>
      <c r="P55" t="s">
        <v>58</v>
      </c>
      <c r="R55">
        <f>SUMIF(A55:A5054,"C00054",I55:I5054)</f>
        <v>1248.59</v>
      </c>
      <c r="S55" s="1">
        <v>1248.59</v>
      </c>
      <c r="T55">
        <f t="shared" si="0"/>
        <v>96.0453846153846</v>
      </c>
      <c r="U55">
        <f t="shared" si="1"/>
        <v>88.4</v>
      </c>
      <c r="V55">
        <f t="shared" si="2"/>
        <v>7.36666666666667</v>
      </c>
      <c r="W55">
        <f t="shared" si="3"/>
        <v>824.163333333333</v>
      </c>
      <c r="X55">
        <f t="shared" si="4"/>
        <v>0.324638155204841</v>
      </c>
      <c r="AH55" t="str">
        <f t="shared" si="7"/>
        <v>3rd Quality</v>
      </c>
      <c r="AJ55">
        <f>((T55-X55)*2)/31.1</f>
        <v>6.15567501351638</v>
      </c>
      <c r="AK55">
        <f t="shared" si="6"/>
        <v>38130.0176923077</v>
      </c>
    </row>
    <row r="56" spans="1:37">
      <c r="A56" t="s">
        <v>119</v>
      </c>
      <c r="B56">
        <v>39</v>
      </c>
      <c r="C56" t="s">
        <v>44</v>
      </c>
      <c r="D56" t="s">
        <v>60</v>
      </c>
      <c r="E56">
        <v>604</v>
      </c>
      <c r="F56">
        <v>93</v>
      </c>
      <c r="G56">
        <v>6</v>
      </c>
      <c r="H56">
        <v>516.46</v>
      </c>
      <c r="I56">
        <v>2993.61</v>
      </c>
      <c r="J56">
        <v>23</v>
      </c>
      <c r="K56">
        <v>0</v>
      </c>
      <c r="L56">
        <v>28.4</v>
      </c>
      <c r="M56">
        <v>47.2</v>
      </c>
      <c r="N56" t="s">
        <v>57</v>
      </c>
      <c r="O56" t="s">
        <v>75</v>
      </c>
      <c r="P56" t="s">
        <v>58</v>
      </c>
      <c r="R56">
        <f>SUMIF(A56:A5055,"C00055",I56:I5055)</f>
        <v>2993.61</v>
      </c>
      <c r="S56" s="1">
        <v>2993.61</v>
      </c>
      <c r="T56">
        <f t="shared" si="0"/>
        <v>130.156956521739</v>
      </c>
      <c r="U56">
        <f t="shared" si="1"/>
        <v>1085.6</v>
      </c>
      <c r="V56">
        <f t="shared" si="2"/>
        <v>90.4666666666667</v>
      </c>
      <c r="W56">
        <f t="shared" si="3"/>
        <v>1170.35666666667</v>
      </c>
      <c r="X56">
        <f t="shared" si="4"/>
        <v>1.16950005808775</v>
      </c>
      <c r="AH56" t="str">
        <f t="shared" si="7"/>
        <v>3rd Quality</v>
      </c>
      <c r="AJ56">
        <f>((T56-X56)*2)/28.4</f>
        <v>9.08362369462333</v>
      </c>
      <c r="AK56">
        <f t="shared" si="6"/>
        <v>78614.8017391304</v>
      </c>
    </row>
    <row r="57" spans="1:37">
      <c r="A57" t="s">
        <v>120</v>
      </c>
      <c r="B57">
        <v>43</v>
      </c>
      <c r="C57" t="s">
        <v>50</v>
      </c>
      <c r="D57" t="s">
        <v>60</v>
      </c>
      <c r="E57">
        <v>911</v>
      </c>
      <c r="F57">
        <v>81</v>
      </c>
      <c r="G57">
        <v>4</v>
      </c>
      <c r="H57">
        <v>1001.15</v>
      </c>
      <c r="I57">
        <v>3910.58</v>
      </c>
      <c r="J57">
        <v>40</v>
      </c>
      <c r="K57">
        <v>0</v>
      </c>
      <c r="L57">
        <v>20.6</v>
      </c>
      <c r="M57">
        <v>37</v>
      </c>
      <c r="N57" t="s">
        <v>61</v>
      </c>
      <c r="O57" t="s">
        <v>47</v>
      </c>
      <c r="P57" t="s">
        <v>58</v>
      </c>
      <c r="R57">
        <f>SUMIF(A57:A5056,"C00056",I57:I5056)</f>
        <v>3910.58</v>
      </c>
      <c r="S57" s="1">
        <v>3910.58</v>
      </c>
      <c r="T57">
        <f t="shared" si="0"/>
        <v>97.7645</v>
      </c>
      <c r="U57">
        <f t="shared" si="1"/>
        <v>1480</v>
      </c>
      <c r="V57">
        <f t="shared" si="2"/>
        <v>123.333333333333</v>
      </c>
      <c r="W57">
        <f t="shared" si="3"/>
        <v>1637.57666666667</v>
      </c>
      <c r="X57">
        <f t="shared" si="4"/>
        <v>0.909953553413574</v>
      </c>
      <c r="AH57" t="str">
        <f t="shared" si="7"/>
        <v>3rd Quality</v>
      </c>
      <c r="AJ57">
        <f>((T57-X57)*2)/20.6</f>
        <v>9.40335402394043</v>
      </c>
      <c r="AK57">
        <f t="shared" si="6"/>
        <v>89063.4595</v>
      </c>
    </row>
    <row r="58" spans="1:37">
      <c r="A58" t="s">
        <v>121</v>
      </c>
      <c r="B58">
        <v>29</v>
      </c>
      <c r="C58" t="s">
        <v>50</v>
      </c>
      <c r="D58" t="s">
        <v>45</v>
      </c>
      <c r="E58">
        <v>373</v>
      </c>
      <c r="F58">
        <v>30</v>
      </c>
      <c r="G58">
        <v>13</v>
      </c>
      <c r="H58">
        <v>589.15</v>
      </c>
      <c r="I58">
        <v>8090.72</v>
      </c>
      <c r="J58">
        <v>83</v>
      </c>
      <c r="K58">
        <v>0</v>
      </c>
      <c r="L58">
        <v>18.4</v>
      </c>
      <c r="M58">
        <v>43.3</v>
      </c>
      <c r="N58" t="s">
        <v>61</v>
      </c>
      <c r="O58" t="s">
        <v>53</v>
      </c>
      <c r="P58" t="s">
        <v>68</v>
      </c>
      <c r="R58">
        <f>SUMIF(A58:A5057,"C00057",I58:I5057)</f>
        <v>8090.72</v>
      </c>
      <c r="S58" s="1">
        <v>8090.72</v>
      </c>
      <c r="T58">
        <f t="shared" si="0"/>
        <v>97.4785542168675</v>
      </c>
      <c r="U58">
        <f t="shared" si="1"/>
        <v>3593.9</v>
      </c>
      <c r="V58">
        <f t="shared" si="2"/>
        <v>299.491666666667</v>
      </c>
      <c r="W58">
        <f t="shared" si="3"/>
        <v>2893.62333333333</v>
      </c>
      <c r="X58">
        <f t="shared" si="4"/>
        <v>0.63311550538912</v>
      </c>
      <c r="AH58" t="str">
        <f t="shared" si="7"/>
        <v>3rd Quality</v>
      </c>
      <c r="AJ58">
        <f>((T58-X58)*2)/18.4</f>
        <v>10.5266781208129</v>
      </c>
      <c r="AK58">
        <f t="shared" si="6"/>
        <v>36359.5007228916</v>
      </c>
    </row>
    <row r="59" spans="1:37">
      <c r="A59" t="s">
        <v>122</v>
      </c>
      <c r="B59">
        <v>43</v>
      </c>
      <c r="C59" t="s">
        <v>50</v>
      </c>
      <c r="D59" t="s">
        <v>60</v>
      </c>
      <c r="E59">
        <v>412</v>
      </c>
      <c r="F59">
        <v>59</v>
      </c>
      <c r="G59">
        <v>5</v>
      </c>
      <c r="H59">
        <v>12004.98</v>
      </c>
      <c r="I59">
        <v>55289.41</v>
      </c>
      <c r="J59">
        <v>19</v>
      </c>
      <c r="K59">
        <v>0</v>
      </c>
      <c r="L59">
        <v>10.9</v>
      </c>
      <c r="M59">
        <v>14.1</v>
      </c>
      <c r="N59" t="s">
        <v>78</v>
      </c>
      <c r="O59" t="s">
        <v>75</v>
      </c>
      <c r="P59" t="s">
        <v>68</v>
      </c>
      <c r="R59">
        <f>SUMIF(A59:A5058,"C00058",I59:I5058)</f>
        <v>55289.41</v>
      </c>
      <c r="S59" s="1">
        <v>55289.41</v>
      </c>
      <c r="T59">
        <f t="shared" si="0"/>
        <v>2909.96894736842</v>
      </c>
      <c r="U59">
        <f t="shared" si="1"/>
        <v>267.9</v>
      </c>
      <c r="V59">
        <f t="shared" si="2"/>
        <v>22.325</v>
      </c>
      <c r="W59">
        <f t="shared" si="3"/>
        <v>22431.7966666667</v>
      </c>
      <c r="X59">
        <f t="shared" si="4"/>
        <v>0.0343190909106054</v>
      </c>
      <c r="AH59" t="str">
        <f t="shared" si="7"/>
        <v>3rd Quality</v>
      </c>
      <c r="AJ59">
        <f>((T59-X59)*2)/10.9</f>
        <v>533.932959316974</v>
      </c>
      <c r="AK59">
        <f t="shared" si="6"/>
        <v>1198907.20631579</v>
      </c>
    </row>
    <row r="60" spans="1:37">
      <c r="A60" t="s">
        <v>123</v>
      </c>
      <c r="B60">
        <v>26</v>
      </c>
      <c r="C60" t="s">
        <v>44</v>
      </c>
      <c r="D60" t="s">
        <v>45</v>
      </c>
      <c r="E60">
        <v>1057</v>
      </c>
      <c r="F60">
        <v>9</v>
      </c>
      <c r="G60">
        <v>18</v>
      </c>
      <c r="H60">
        <v>2994.35</v>
      </c>
      <c r="I60">
        <v>50513.96</v>
      </c>
      <c r="J60">
        <v>78</v>
      </c>
      <c r="K60">
        <v>0</v>
      </c>
      <c r="L60">
        <v>0</v>
      </c>
      <c r="M60">
        <v>29.7</v>
      </c>
      <c r="N60" t="s">
        <v>61</v>
      </c>
      <c r="O60" t="s">
        <v>75</v>
      </c>
      <c r="P60" t="s">
        <v>68</v>
      </c>
      <c r="R60">
        <f>SUMIF(A60:A5059,"C00059",I60:I5059)</f>
        <v>50513.96</v>
      </c>
      <c r="S60" s="1">
        <v>50513.96</v>
      </c>
      <c r="T60">
        <f t="shared" si="0"/>
        <v>647.614871794872</v>
      </c>
      <c r="U60">
        <f t="shared" si="1"/>
        <v>2316.6</v>
      </c>
      <c r="V60">
        <f t="shared" si="2"/>
        <v>193.05</v>
      </c>
      <c r="W60">
        <f t="shared" si="3"/>
        <v>17836.4366666667</v>
      </c>
      <c r="X60">
        <f t="shared" si="4"/>
        <v>0.352998146509259</v>
      </c>
      <c r="AH60" t="str">
        <f t="shared" si="7"/>
        <v>1st Quality</v>
      </c>
      <c r="AJ60">
        <f>((T60-X60)*2)/28.4</f>
        <v>45.5818220879129</v>
      </c>
      <c r="AK60">
        <f t="shared" si="6"/>
        <v>684528.919487179</v>
      </c>
    </row>
    <row r="61" spans="1:37">
      <c r="A61" t="s">
        <v>124</v>
      </c>
      <c r="B61">
        <v>26</v>
      </c>
      <c r="C61" t="s">
        <v>50</v>
      </c>
      <c r="D61" t="s">
        <v>45</v>
      </c>
      <c r="E61">
        <v>1096</v>
      </c>
      <c r="F61">
        <v>12</v>
      </c>
      <c r="G61">
        <v>26</v>
      </c>
      <c r="H61">
        <v>37244</v>
      </c>
      <c r="I61">
        <v>87593.78</v>
      </c>
      <c r="J61">
        <v>84</v>
      </c>
      <c r="K61">
        <v>3</v>
      </c>
      <c r="L61">
        <v>1</v>
      </c>
      <c r="M61">
        <v>30.8</v>
      </c>
      <c r="N61" t="s">
        <v>61</v>
      </c>
      <c r="O61" t="s">
        <v>53</v>
      </c>
      <c r="P61" t="s">
        <v>58</v>
      </c>
      <c r="R61">
        <f>SUMIF(A61:A5060,"C00060",I61:I5060)</f>
        <v>87593.78</v>
      </c>
      <c r="S61" s="1">
        <v>87593.78</v>
      </c>
      <c r="T61">
        <f t="shared" si="0"/>
        <v>1042.7830952381</v>
      </c>
      <c r="U61">
        <f t="shared" si="1"/>
        <v>2587.2</v>
      </c>
      <c r="V61">
        <f>U61*3</f>
        <v>7761.6</v>
      </c>
      <c r="W61">
        <f t="shared" si="3"/>
        <v>41612.9266666667</v>
      </c>
      <c r="X61">
        <f t="shared" si="4"/>
        <v>0.0294275588014177</v>
      </c>
      <c r="AH61" t="str">
        <f t="shared" si="7"/>
        <v>1st Quality</v>
      </c>
      <c r="AJ61">
        <f>((T61-X61)*2)/1</f>
        <v>2085.5073353586</v>
      </c>
      <c r="AK61">
        <f t="shared" si="6"/>
        <v>1142890.27238095</v>
      </c>
    </row>
    <row r="62" spans="1:37">
      <c r="A62" t="s">
        <v>125</v>
      </c>
      <c r="B62">
        <v>37</v>
      </c>
      <c r="C62" t="s">
        <v>50</v>
      </c>
      <c r="D62" t="s">
        <v>45</v>
      </c>
      <c r="E62">
        <v>1411</v>
      </c>
      <c r="F62">
        <v>197</v>
      </c>
      <c r="G62">
        <v>5</v>
      </c>
      <c r="H62">
        <v>676.66</v>
      </c>
      <c r="I62">
        <v>3186.53</v>
      </c>
      <c r="J62">
        <v>45</v>
      </c>
      <c r="K62">
        <v>0</v>
      </c>
      <c r="L62">
        <v>23.9</v>
      </c>
      <c r="M62">
        <v>37.1</v>
      </c>
      <c r="N62" t="s">
        <v>46</v>
      </c>
      <c r="O62" t="s">
        <v>75</v>
      </c>
      <c r="P62" t="s">
        <v>66</v>
      </c>
      <c r="R62">
        <f>SUMIF(A62:A5061,"C00061",I62:I5061)</f>
        <v>3186.53</v>
      </c>
      <c r="S62" s="1">
        <v>3186.53</v>
      </c>
      <c r="T62">
        <f t="shared" si="0"/>
        <v>70.8117777777778</v>
      </c>
      <c r="U62">
        <f t="shared" si="1"/>
        <v>1669.5</v>
      </c>
      <c r="V62">
        <f t="shared" si="2"/>
        <v>139.125</v>
      </c>
      <c r="W62">
        <f t="shared" si="3"/>
        <v>1288.06333333333</v>
      </c>
      <c r="X62">
        <f t="shared" si="4"/>
        <v>2.08524221913516</v>
      </c>
      <c r="AH62" t="str">
        <f t="shared" si="7"/>
        <v>3rd Quality</v>
      </c>
      <c r="AJ62">
        <f>((T62-X62)*2)/23.9</f>
        <v>5.75117452373579</v>
      </c>
      <c r="AK62">
        <f t="shared" si="6"/>
        <v>99915.4184444444</v>
      </c>
    </row>
    <row r="63" spans="1:37">
      <c r="A63" t="s">
        <v>126</v>
      </c>
      <c r="B63">
        <v>40</v>
      </c>
      <c r="C63" t="s">
        <v>44</v>
      </c>
      <c r="D63" t="s">
        <v>45</v>
      </c>
      <c r="E63">
        <v>1018</v>
      </c>
      <c r="F63">
        <v>49</v>
      </c>
      <c r="G63">
        <v>9</v>
      </c>
      <c r="H63">
        <v>941.17</v>
      </c>
      <c r="I63">
        <v>8481.49</v>
      </c>
      <c r="J63">
        <v>68</v>
      </c>
      <c r="K63">
        <v>0</v>
      </c>
      <c r="L63">
        <v>17</v>
      </c>
      <c r="M63">
        <v>23.5</v>
      </c>
      <c r="N63" t="s">
        <v>52</v>
      </c>
      <c r="O63" t="s">
        <v>47</v>
      </c>
      <c r="P63" t="s">
        <v>48</v>
      </c>
      <c r="R63">
        <f>SUMIF(A63:A5062,"C00062",I63:I5062)</f>
        <v>8481.49</v>
      </c>
      <c r="S63" s="1">
        <v>8481.49</v>
      </c>
      <c r="T63">
        <f t="shared" si="0"/>
        <v>124.727794117647</v>
      </c>
      <c r="U63">
        <f t="shared" si="1"/>
        <v>1598</v>
      </c>
      <c r="V63">
        <f t="shared" si="2"/>
        <v>133.166666666667</v>
      </c>
      <c r="W63">
        <f t="shared" si="3"/>
        <v>3141.22</v>
      </c>
      <c r="X63">
        <f t="shared" si="4"/>
        <v>1.081632436223</v>
      </c>
      <c r="AH63" t="str">
        <f t="shared" si="7"/>
        <v>3rd Quality</v>
      </c>
      <c r="AJ63">
        <f>((T63-X63)*2)/17</f>
        <v>14.5466072566381</v>
      </c>
      <c r="AK63">
        <f t="shared" si="6"/>
        <v>126972.894411765</v>
      </c>
    </row>
    <row r="64" spans="1:37">
      <c r="A64" t="s">
        <v>127</v>
      </c>
      <c r="B64">
        <v>33</v>
      </c>
      <c r="C64" t="s">
        <v>50</v>
      </c>
      <c r="D64" t="s">
        <v>51</v>
      </c>
      <c r="E64">
        <v>494</v>
      </c>
      <c r="F64">
        <v>52</v>
      </c>
      <c r="G64">
        <v>4</v>
      </c>
      <c r="H64">
        <v>8054.09</v>
      </c>
      <c r="I64">
        <v>29812.96</v>
      </c>
      <c r="J64">
        <v>26</v>
      </c>
      <c r="K64">
        <v>1</v>
      </c>
      <c r="L64">
        <v>11.6</v>
      </c>
      <c r="M64">
        <v>2.9</v>
      </c>
      <c r="N64" t="s">
        <v>63</v>
      </c>
      <c r="O64" t="s">
        <v>47</v>
      </c>
      <c r="P64" t="s">
        <v>68</v>
      </c>
      <c r="R64">
        <f>SUMIF(A64:A5063,"C00063",I64:I5063)</f>
        <v>29812.96</v>
      </c>
      <c r="S64" s="1">
        <v>29812.96</v>
      </c>
      <c r="T64">
        <f t="shared" si="0"/>
        <v>1146.65230769231</v>
      </c>
      <c r="U64">
        <f t="shared" si="1"/>
        <v>75.4</v>
      </c>
      <c r="V64">
        <f>U64*1</f>
        <v>75.4</v>
      </c>
      <c r="W64">
        <f t="shared" si="3"/>
        <v>12622.6833333333</v>
      </c>
      <c r="X64">
        <f t="shared" si="4"/>
        <v>0.061335296725018</v>
      </c>
      <c r="AH64" t="str">
        <f t="shared" si="7"/>
        <v>2nd Quality</v>
      </c>
      <c r="AJ64">
        <f>((T64-X64)*2)/11.6</f>
        <v>197.688098688894</v>
      </c>
      <c r="AK64">
        <f t="shared" si="6"/>
        <v>566446.24</v>
      </c>
    </row>
    <row r="65" spans="1:37">
      <c r="A65" t="s">
        <v>128</v>
      </c>
      <c r="B65">
        <v>51</v>
      </c>
      <c r="C65" t="s">
        <v>44</v>
      </c>
      <c r="D65" t="s">
        <v>45</v>
      </c>
      <c r="E65">
        <v>988</v>
      </c>
      <c r="F65">
        <v>48</v>
      </c>
      <c r="G65">
        <v>2</v>
      </c>
      <c r="H65">
        <v>914.34</v>
      </c>
      <c r="I65">
        <v>1641.53</v>
      </c>
      <c r="J65">
        <v>20</v>
      </c>
      <c r="K65">
        <v>0</v>
      </c>
      <c r="L65">
        <v>25.1</v>
      </c>
      <c r="M65">
        <v>4.6</v>
      </c>
      <c r="N65" t="s">
        <v>63</v>
      </c>
      <c r="O65" t="s">
        <v>47</v>
      </c>
      <c r="P65" t="s">
        <v>58</v>
      </c>
      <c r="R65">
        <f>SUMIF(A65:A5064,"C00064",I65:I5064)</f>
        <v>1641.53</v>
      </c>
      <c r="S65" s="1">
        <v>1641.53</v>
      </c>
      <c r="T65">
        <f t="shared" si="0"/>
        <v>82.0765</v>
      </c>
      <c r="U65">
        <f t="shared" si="1"/>
        <v>92</v>
      </c>
      <c r="V65">
        <f t="shared" si="2"/>
        <v>7.66666666666667</v>
      </c>
      <c r="W65">
        <f t="shared" si="3"/>
        <v>852.29</v>
      </c>
      <c r="X65">
        <f t="shared" si="4"/>
        <v>1.08056084170002</v>
      </c>
      <c r="AH65" t="str">
        <f t="shared" si="7"/>
        <v>3rd Quality</v>
      </c>
      <c r="AJ65">
        <f>((T65-X65)*2)/25.1</f>
        <v>6.45385969388844</v>
      </c>
      <c r="AK65">
        <f t="shared" si="6"/>
        <v>81091.582</v>
      </c>
    </row>
    <row r="66" spans="1:37">
      <c r="A66" t="s">
        <v>129</v>
      </c>
      <c r="B66">
        <v>41</v>
      </c>
      <c r="C66" t="s">
        <v>50</v>
      </c>
      <c r="D66" t="s">
        <v>45</v>
      </c>
      <c r="E66">
        <v>397</v>
      </c>
      <c r="F66">
        <v>10</v>
      </c>
      <c r="G66">
        <v>3</v>
      </c>
      <c r="H66">
        <v>1182704</v>
      </c>
      <c r="I66">
        <v>39707.91</v>
      </c>
      <c r="J66">
        <v>17</v>
      </c>
      <c r="K66">
        <v>0</v>
      </c>
      <c r="L66">
        <v>17.4</v>
      </c>
      <c r="M66">
        <v>53.5</v>
      </c>
      <c r="N66" t="s">
        <v>81</v>
      </c>
      <c r="O66" t="s">
        <v>47</v>
      </c>
      <c r="P66" t="s">
        <v>58</v>
      </c>
      <c r="R66">
        <f>SUMIF(A66:A5065,"C00065",I66:I5065)</f>
        <v>39707.91</v>
      </c>
      <c r="S66" s="1">
        <v>39707.91</v>
      </c>
      <c r="T66">
        <f t="shared" si="0"/>
        <v>2335.75941176471</v>
      </c>
      <c r="U66">
        <f t="shared" si="1"/>
        <v>909.5</v>
      </c>
      <c r="V66">
        <f t="shared" si="2"/>
        <v>75.7916666666667</v>
      </c>
      <c r="W66">
        <f t="shared" si="3"/>
        <v>407470.97</v>
      </c>
      <c r="X66">
        <f t="shared" si="4"/>
        <v>0.000335671478239695</v>
      </c>
      <c r="AH66" t="str">
        <f t="shared" si="7"/>
        <v>3rd Quality</v>
      </c>
      <c r="AJ66">
        <f>((T66-X66)*2)/17.4</f>
        <v>268.47805472336</v>
      </c>
      <c r="AK66">
        <f t="shared" si="6"/>
        <v>927296.486470588</v>
      </c>
    </row>
    <row r="67" spans="1:37">
      <c r="A67" t="s">
        <v>130</v>
      </c>
      <c r="B67">
        <v>18</v>
      </c>
      <c r="C67" t="s">
        <v>50</v>
      </c>
      <c r="D67" t="s">
        <v>45</v>
      </c>
      <c r="E67">
        <v>473</v>
      </c>
      <c r="F67">
        <v>76</v>
      </c>
      <c r="G67">
        <v>3</v>
      </c>
      <c r="H67">
        <v>10662.71</v>
      </c>
      <c r="I67">
        <v>31644.24</v>
      </c>
      <c r="J67">
        <v>13</v>
      </c>
      <c r="K67">
        <v>1</v>
      </c>
      <c r="L67">
        <v>0</v>
      </c>
      <c r="M67">
        <v>33.5</v>
      </c>
      <c r="N67" t="s">
        <v>78</v>
      </c>
      <c r="O67" t="s">
        <v>47</v>
      </c>
      <c r="P67" t="s">
        <v>66</v>
      </c>
      <c r="R67">
        <f>SUMIF(A67:A5066,"C00066",I67:I5066)</f>
        <v>31644.24</v>
      </c>
      <c r="S67" s="1">
        <v>31644.24</v>
      </c>
      <c r="T67">
        <f t="shared" ref="T67:T130" si="8">I67/J67</f>
        <v>2434.17230769231</v>
      </c>
      <c r="U67">
        <f t="shared" ref="U67:U130" si="9">J67*M67</f>
        <v>435.5</v>
      </c>
      <c r="V67">
        <f>U67*1</f>
        <v>435.5</v>
      </c>
      <c r="W67">
        <f t="shared" ref="W67:W130" si="10">(H67+I67+1)/3</f>
        <v>14102.65</v>
      </c>
      <c r="X67">
        <f t="shared" ref="X67:X130" si="11">E67/H67</f>
        <v>0.0443602048634916</v>
      </c>
      <c r="AH67" t="str">
        <f t="shared" si="7"/>
        <v>2nd Quality</v>
      </c>
      <c r="AJ67">
        <f>((T67-X67)*2)</f>
        <v>4868.25589497489</v>
      </c>
      <c r="AK67">
        <f t="shared" ref="AK67:AK130" si="12">I67/J67*E67</f>
        <v>1151363.50153846</v>
      </c>
    </row>
    <row r="68" spans="1:37">
      <c r="A68" t="s">
        <v>131</v>
      </c>
      <c r="B68">
        <v>34</v>
      </c>
      <c r="C68" t="s">
        <v>44</v>
      </c>
      <c r="D68" t="s">
        <v>60</v>
      </c>
      <c r="E68">
        <v>606</v>
      </c>
      <c r="F68">
        <v>51</v>
      </c>
      <c r="G68">
        <v>3</v>
      </c>
      <c r="H68">
        <v>6654.7</v>
      </c>
      <c r="I68">
        <v>21552.68</v>
      </c>
      <c r="J68">
        <v>14</v>
      </c>
      <c r="K68">
        <v>0</v>
      </c>
      <c r="L68">
        <v>8.6</v>
      </c>
      <c r="M68">
        <v>11.9</v>
      </c>
      <c r="N68" t="s">
        <v>61</v>
      </c>
      <c r="O68" t="s">
        <v>53</v>
      </c>
      <c r="P68" t="s">
        <v>58</v>
      </c>
      <c r="R68">
        <f>SUMIF(A68:A5067,"C00067",I68:I5067)</f>
        <v>21552.68</v>
      </c>
      <c r="S68" s="1">
        <v>21552.68</v>
      </c>
      <c r="T68">
        <f t="shared" si="8"/>
        <v>1539.47714285714</v>
      </c>
      <c r="U68">
        <f t="shared" si="9"/>
        <v>166.6</v>
      </c>
      <c r="V68">
        <f>U68/12</f>
        <v>13.8833333333333</v>
      </c>
      <c r="W68">
        <f t="shared" si="10"/>
        <v>9402.79333333333</v>
      </c>
      <c r="X68">
        <f t="shared" si="11"/>
        <v>0.0910634589087412</v>
      </c>
      <c r="AH68" t="str">
        <f t="shared" si="7"/>
        <v>2nd Quality</v>
      </c>
      <c r="AJ68">
        <f>((T68-X68)*2)/8.6</f>
        <v>357.996762650751</v>
      </c>
      <c r="AK68">
        <f t="shared" si="12"/>
        <v>932923.148571428</v>
      </c>
    </row>
    <row r="69" spans="1:37">
      <c r="A69" t="s">
        <v>132</v>
      </c>
      <c r="B69">
        <v>40</v>
      </c>
      <c r="C69" t="s">
        <v>101</v>
      </c>
      <c r="D69" t="s">
        <v>45</v>
      </c>
      <c r="E69">
        <v>505</v>
      </c>
      <c r="F69">
        <v>52</v>
      </c>
      <c r="G69">
        <v>9</v>
      </c>
      <c r="H69">
        <v>2714</v>
      </c>
      <c r="I69">
        <v>25825.75</v>
      </c>
      <c r="J69">
        <v>54</v>
      </c>
      <c r="K69">
        <v>1</v>
      </c>
      <c r="L69">
        <v>21.7</v>
      </c>
      <c r="M69">
        <v>54.9</v>
      </c>
      <c r="N69" t="s">
        <v>57</v>
      </c>
      <c r="O69" t="s">
        <v>53</v>
      </c>
      <c r="P69" t="s">
        <v>58</v>
      </c>
      <c r="R69">
        <f>SUMIF(A69:A5068,"C00068",I69:I5068)</f>
        <v>25825.75</v>
      </c>
      <c r="S69" s="1">
        <v>25825.75</v>
      </c>
      <c r="T69">
        <f t="shared" si="8"/>
        <v>478.25462962963</v>
      </c>
      <c r="U69">
        <f t="shared" si="9"/>
        <v>2964.6</v>
      </c>
      <c r="V69">
        <f>U69*1</f>
        <v>2964.6</v>
      </c>
      <c r="W69">
        <f t="shared" si="10"/>
        <v>9513.58333333333</v>
      </c>
      <c r="X69">
        <f t="shared" si="11"/>
        <v>0.186072218128224</v>
      </c>
      <c r="AH69" t="str">
        <f t="shared" si="7"/>
        <v>2nd Quality</v>
      </c>
      <c r="AJ69">
        <f>((T69-X69)*2)/21.7</f>
        <v>44.0616181946085</v>
      </c>
      <c r="AK69">
        <f t="shared" si="12"/>
        <v>241518.587962963</v>
      </c>
    </row>
    <row r="70" spans="1:37">
      <c r="A70" t="s">
        <v>133</v>
      </c>
      <c r="B70">
        <v>45</v>
      </c>
      <c r="C70" t="s">
        <v>44</v>
      </c>
      <c r="D70" t="s">
        <v>45</v>
      </c>
      <c r="E70">
        <v>1432</v>
      </c>
      <c r="F70">
        <v>12</v>
      </c>
      <c r="G70">
        <v>29</v>
      </c>
      <c r="H70">
        <v>3631.41</v>
      </c>
      <c r="I70">
        <v>96855.07</v>
      </c>
      <c r="J70">
        <v>78</v>
      </c>
      <c r="K70">
        <v>2</v>
      </c>
      <c r="L70">
        <v>9</v>
      </c>
      <c r="M70">
        <v>41.7</v>
      </c>
      <c r="N70" t="s">
        <v>46</v>
      </c>
      <c r="O70" t="s">
        <v>47</v>
      </c>
      <c r="P70" t="s">
        <v>66</v>
      </c>
      <c r="R70">
        <f>SUMIF(A70:A5069,"C00069",I70:I5069)</f>
        <v>96855.07</v>
      </c>
      <c r="S70" s="1">
        <v>96855.07</v>
      </c>
      <c r="T70">
        <f t="shared" si="8"/>
        <v>1241.73166666667</v>
      </c>
      <c r="U70">
        <f t="shared" si="9"/>
        <v>3252.6</v>
      </c>
      <c r="V70">
        <f>U70*2</f>
        <v>6505.2</v>
      </c>
      <c r="W70">
        <f t="shared" si="10"/>
        <v>33495.8266666667</v>
      </c>
      <c r="X70">
        <f t="shared" si="11"/>
        <v>0.394337185831399</v>
      </c>
      <c r="AH70" t="str">
        <f t="shared" si="7"/>
        <v>3rd Quality</v>
      </c>
      <c r="AJ70">
        <f>((T70-X70)*2)/9</f>
        <v>275.852739884631</v>
      </c>
      <c r="AK70">
        <f t="shared" si="12"/>
        <v>1778159.74666667</v>
      </c>
    </row>
    <row r="71" spans="1:37">
      <c r="A71" t="s">
        <v>134</v>
      </c>
      <c r="B71">
        <v>48</v>
      </c>
      <c r="C71" t="s">
        <v>101</v>
      </c>
      <c r="D71" t="s">
        <v>51</v>
      </c>
      <c r="E71">
        <v>1095</v>
      </c>
      <c r="F71">
        <v>33</v>
      </c>
      <c r="G71">
        <v>8</v>
      </c>
      <c r="H71">
        <v>1065.67</v>
      </c>
      <c r="I71">
        <v>8550.48</v>
      </c>
      <c r="J71">
        <v>72</v>
      </c>
      <c r="K71">
        <v>1</v>
      </c>
      <c r="L71">
        <v>4.8</v>
      </c>
      <c r="M71">
        <v>23.2</v>
      </c>
      <c r="N71" t="s">
        <v>61</v>
      </c>
      <c r="O71" t="s">
        <v>53</v>
      </c>
      <c r="P71" t="s">
        <v>48</v>
      </c>
      <c r="R71">
        <f>SUMIF(A71:A5070,"C00070",I71:I5070)</f>
        <v>8550.48</v>
      </c>
      <c r="S71" s="1">
        <v>8550.48</v>
      </c>
      <c r="T71">
        <f t="shared" si="8"/>
        <v>118.756666666667</v>
      </c>
      <c r="U71">
        <f t="shared" si="9"/>
        <v>1670.4</v>
      </c>
      <c r="V71">
        <f>U71*1</f>
        <v>1670.4</v>
      </c>
      <c r="W71">
        <f t="shared" si="10"/>
        <v>3205.71666666667</v>
      </c>
      <c r="X71">
        <f t="shared" si="11"/>
        <v>1.02752259142136</v>
      </c>
      <c r="AH71" t="str">
        <f t="shared" si="7"/>
        <v>3rd Quality</v>
      </c>
      <c r="AJ71">
        <f>((T71-X71)*2)/4.8</f>
        <v>49.0538100313524</v>
      </c>
      <c r="AK71">
        <f t="shared" si="12"/>
        <v>130038.55</v>
      </c>
    </row>
    <row r="72" spans="1:37">
      <c r="A72" t="s">
        <v>135</v>
      </c>
      <c r="B72">
        <v>39</v>
      </c>
      <c r="C72" t="s">
        <v>50</v>
      </c>
      <c r="D72" t="s">
        <v>60</v>
      </c>
      <c r="E72">
        <v>1008</v>
      </c>
      <c r="F72">
        <v>5</v>
      </c>
      <c r="G72">
        <v>28</v>
      </c>
      <c r="H72">
        <v>3759.76</v>
      </c>
      <c r="I72">
        <v>106987.77</v>
      </c>
      <c r="J72">
        <v>203</v>
      </c>
      <c r="K72">
        <v>3</v>
      </c>
      <c r="L72">
        <v>1.3</v>
      </c>
      <c r="M72">
        <v>52.2</v>
      </c>
      <c r="N72" t="s">
        <v>61</v>
      </c>
      <c r="O72" t="s">
        <v>53</v>
      </c>
      <c r="P72" t="s">
        <v>58</v>
      </c>
      <c r="R72">
        <f>SUMIF(A72:A5071,"C00071",I72:I5071)</f>
        <v>106987.77</v>
      </c>
      <c r="S72" s="1">
        <v>106987.77</v>
      </c>
      <c r="T72">
        <f t="shared" si="8"/>
        <v>527.033349753695</v>
      </c>
      <c r="U72">
        <f t="shared" si="9"/>
        <v>10596.6</v>
      </c>
      <c r="V72">
        <f>U72*3</f>
        <v>31789.8</v>
      </c>
      <c r="W72">
        <f t="shared" si="10"/>
        <v>36916.1766666667</v>
      </c>
      <c r="X72">
        <f t="shared" si="11"/>
        <v>0.268102219290593</v>
      </c>
      <c r="AH72" t="str">
        <f t="shared" si="7"/>
        <v>2nd Quality</v>
      </c>
      <c r="AJ72">
        <f>((T72-X72)*2)/1.3</f>
        <v>810.408073129853</v>
      </c>
      <c r="AK72">
        <f t="shared" si="12"/>
        <v>531249.616551724</v>
      </c>
    </row>
    <row r="73" spans="1:37">
      <c r="A73" t="s">
        <v>136</v>
      </c>
      <c r="B73">
        <v>35</v>
      </c>
      <c r="C73" t="s">
        <v>44</v>
      </c>
      <c r="D73" t="s">
        <v>45</v>
      </c>
      <c r="E73">
        <v>405</v>
      </c>
      <c r="F73">
        <v>18</v>
      </c>
      <c r="G73">
        <v>14</v>
      </c>
      <c r="H73">
        <v>1487.92</v>
      </c>
      <c r="I73">
        <v>19120.26</v>
      </c>
      <c r="J73">
        <v>103</v>
      </c>
      <c r="K73">
        <v>0</v>
      </c>
      <c r="L73">
        <v>20.8</v>
      </c>
      <c r="M73">
        <v>12.2</v>
      </c>
      <c r="N73" t="s">
        <v>81</v>
      </c>
      <c r="O73" t="s">
        <v>47</v>
      </c>
      <c r="P73" t="s">
        <v>58</v>
      </c>
      <c r="R73">
        <f>SUMIF(A73:A5072,"C00072",I73:I5072)</f>
        <v>19120.26</v>
      </c>
      <c r="S73" s="1">
        <v>19120.26</v>
      </c>
      <c r="T73">
        <f t="shared" si="8"/>
        <v>185.63359223301</v>
      </c>
      <c r="U73">
        <f t="shared" si="9"/>
        <v>1256.6</v>
      </c>
      <c r="V73">
        <f>U73/12</f>
        <v>104.716666666667</v>
      </c>
      <c r="W73">
        <f t="shared" si="10"/>
        <v>6869.72666666667</v>
      </c>
      <c r="X73">
        <f t="shared" si="11"/>
        <v>0.272192053336201</v>
      </c>
      <c r="AH73" t="str">
        <f t="shared" si="7"/>
        <v>3rd Quality</v>
      </c>
      <c r="AJ73">
        <f>((T73-X73)*2)/20.8</f>
        <v>17.8232115557379</v>
      </c>
      <c r="AK73">
        <f t="shared" si="12"/>
        <v>75181.6048543689</v>
      </c>
    </row>
    <row r="74" spans="1:37">
      <c r="A74" t="s">
        <v>137</v>
      </c>
      <c r="B74">
        <v>38</v>
      </c>
      <c r="C74" t="s">
        <v>50</v>
      </c>
      <c r="D74" t="s">
        <v>45</v>
      </c>
      <c r="E74">
        <v>522</v>
      </c>
      <c r="F74">
        <v>31</v>
      </c>
      <c r="G74">
        <v>7</v>
      </c>
      <c r="H74">
        <v>795.21</v>
      </c>
      <c r="I74">
        <v>5047.98</v>
      </c>
      <c r="J74">
        <v>61</v>
      </c>
      <c r="K74">
        <v>0</v>
      </c>
      <c r="L74">
        <v>15.2</v>
      </c>
      <c r="M74">
        <v>8.4</v>
      </c>
      <c r="N74" t="s">
        <v>61</v>
      </c>
      <c r="O74" t="s">
        <v>53</v>
      </c>
      <c r="P74" t="s">
        <v>68</v>
      </c>
      <c r="R74">
        <f>SUMIF(A74:A5073,"C00073",I74:I5073)</f>
        <v>5047.98</v>
      </c>
      <c r="S74" s="1">
        <v>5047.98</v>
      </c>
      <c r="T74">
        <f t="shared" si="8"/>
        <v>82.7537704918033</v>
      </c>
      <c r="U74">
        <f t="shared" si="9"/>
        <v>512.4</v>
      </c>
      <c r="V74">
        <f>U74/12</f>
        <v>42.7</v>
      </c>
      <c r="W74">
        <f t="shared" si="10"/>
        <v>1948.06333333333</v>
      </c>
      <c r="X74">
        <f t="shared" si="11"/>
        <v>0.656430376881578</v>
      </c>
      <c r="AH74" t="str">
        <f t="shared" si="7"/>
        <v>3rd Quality</v>
      </c>
      <c r="AJ74">
        <f>((T74-X74)*2)/15.2</f>
        <v>10.8022815940686</v>
      </c>
      <c r="AK74">
        <f t="shared" si="12"/>
        <v>43197.4681967213</v>
      </c>
    </row>
    <row r="75" spans="1:37">
      <c r="A75" t="s">
        <v>138</v>
      </c>
      <c r="B75">
        <v>36</v>
      </c>
      <c r="C75" t="s">
        <v>44</v>
      </c>
      <c r="D75" t="s">
        <v>60</v>
      </c>
      <c r="E75">
        <v>496</v>
      </c>
      <c r="F75">
        <v>8</v>
      </c>
      <c r="G75">
        <v>9</v>
      </c>
      <c r="H75">
        <v>1207.85</v>
      </c>
      <c r="I75">
        <v>10252.92</v>
      </c>
      <c r="J75">
        <v>86</v>
      </c>
      <c r="K75">
        <v>1</v>
      </c>
      <c r="L75">
        <v>1.5</v>
      </c>
      <c r="M75">
        <v>47.2</v>
      </c>
      <c r="N75" t="s">
        <v>52</v>
      </c>
      <c r="O75" t="s">
        <v>53</v>
      </c>
      <c r="P75" t="s">
        <v>48</v>
      </c>
      <c r="R75">
        <f>SUMIF(A75:A5074,"C00074",I75:I5074)</f>
        <v>10252.92</v>
      </c>
      <c r="S75" s="1">
        <v>10252.92</v>
      </c>
      <c r="T75">
        <f t="shared" si="8"/>
        <v>119.22</v>
      </c>
      <c r="U75">
        <f t="shared" si="9"/>
        <v>4059.2</v>
      </c>
      <c r="V75">
        <f>U75*1</f>
        <v>4059.2</v>
      </c>
      <c r="W75">
        <f t="shared" si="10"/>
        <v>3820.59</v>
      </c>
      <c r="X75">
        <f t="shared" si="11"/>
        <v>0.410647017427661</v>
      </c>
      <c r="AH75" t="str">
        <f t="shared" si="7"/>
        <v>3rd Quality</v>
      </c>
      <c r="AJ75">
        <f>((T75-X75)*2)/1.5</f>
        <v>158.41247064343</v>
      </c>
      <c r="AK75">
        <f t="shared" si="12"/>
        <v>59133.12</v>
      </c>
    </row>
    <row r="76" spans="1:37">
      <c r="A76" t="s">
        <v>139</v>
      </c>
      <c r="B76">
        <v>18</v>
      </c>
      <c r="C76" t="s">
        <v>50</v>
      </c>
      <c r="D76" t="s">
        <v>51</v>
      </c>
      <c r="E76">
        <v>1049</v>
      </c>
      <c r="F76">
        <v>4</v>
      </c>
      <c r="G76">
        <v>28</v>
      </c>
      <c r="H76">
        <v>4652.49</v>
      </c>
      <c r="I76">
        <v>122805.69</v>
      </c>
      <c r="J76">
        <v>69</v>
      </c>
      <c r="K76">
        <v>3</v>
      </c>
      <c r="L76">
        <v>0.4</v>
      </c>
      <c r="M76">
        <v>39.6</v>
      </c>
      <c r="N76" t="s">
        <v>63</v>
      </c>
      <c r="O76" t="s">
        <v>47</v>
      </c>
      <c r="P76" t="s">
        <v>48</v>
      </c>
      <c r="R76">
        <f>SUMIF(A76:A5075,"C00075",I76:I5075)</f>
        <v>122805.69</v>
      </c>
      <c r="S76" s="1">
        <v>122805.69</v>
      </c>
      <c r="T76">
        <f t="shared" si="8"/>
        <v>1779.79260869565</v>
      </c>
      <c r="U76">
        <f t="shared" si="9"/>
        <v>2732.4</v>
      </c>
      <c r="V76">
        <f>U76*3</f>
        <v>8197.2</v>
      </c>
      <c r="W76">
        <f t="shared" si="10"/>
        <v>42486.3933333333</v>
      </c>
      <c r="X76">
        <f t="shared" si="11"/>
        <v>0.225470661946614</v>
      </c>
      <c r="AH76" t="str">
        <f t="shared" si="7"/>
        <v>1st Quality</v>
      </c>
      <c r="AJ76">
        <f>((T76-X76)*2)/0.4</f>
        <v>8897.83569016852</v>
      </c>
      <c r="AK76">
        <f t="shared" si="12"/>
        <v>1867002.44652174</v>
      </c>
    </row>
    <row r="77" spans="1:37">
      <c r="A77" t="s">
        <v>140</v>
      </c>
      <c r="B77">
        <v>40</v>
      </c>
      <c r="C77" t="s">
        <v>44</v>
      </c>
      <c r="D77" t="s">
        <v>45</v>
      </c>
      <c r="E77">
        <v>1203</v>
      </c>
      <c r="F77">
        <v>25</v>
      </c>
      <c r="G77">
        <v>8</v>
      </c>
      <c r="H77">
        <v>2603.06</v>
      </c>
      <c r="I77">
        <v>19712.88</v>
      </c>
      <c r="J77">
        <v>21</v>
      </c>
      <c r="K77">
        <v>1</v>
      </c>
      <c r="L77">
        <v>24.4</v>
      </c>
      <c r="M77">
        <v>29.6</v>
      </c>
      <c r="N77" t="s">
        <v>57</v>
      </c>
      <c r="O77" t="s">
        <v>47</v>
      </c>
      <c r="P77" t="s">
        <v>58</v>
      </c>
      <c r="R77">
        <f>SUMIF(A77:A5076,"C00076",I77:I5076)</f>
        <v>19712.88</v>
      </c>
      <c r="S77" s="1">
        <v>19712.88</v>
      </c>
      <c r="T77">
        <f t="shared" si="8"/>
        <v>938.708571428572</v>
      </c>
      <c r="U77">
        <f t="shared" si="9"/>
        <v>621.6</v>
      </c>
      <c r="V77">
        <f>U77*1</f>
        <v>621.6</v>
      </c>
      <c r="W77">
        <f t="shared" si="10"/>
        <v>7438.98</v>
      </c>
      <c r="X77">
        <f t="shared" si="11"/>
        <v>0.462148394581761</v>
      </c>
      <c r="AH77" t="str">
        <f t="shared" si="7"/>
        <v>2nd Quality</v>
      </c>
      <c r="AJ77">
        <f>((T77-X77)*2)/24.4</f>
        <v>76.9054445109828</v>
      </c>
      <c r="AK77">
        <f t="shared" si="12"/>
        <v>1129266.41142857</v>
      </c>
    </row>
    <row r="78" spans="1:37">
      <c r="A78" t="s">
        <v>141</v>
      </c>
      <c r="B78">
        <v>18</v>
      </c>
      <c r="C78" t="s">
        <v>50</v>
      </c>
      <c r="D78" t="s">
        <v>60</v>
      </c>
      <c r="E78">
        <v>1036</v>
      </c>
      <c r="F78">
        <v>91</v>
      </c>
      <c r="G78">
        <v>9</v>
      </c>
      <c r="H78">
        <v>622.77</v>
      </c>
      <c r="I78">
        <v>5271.94</v>
      </c>
      <c r="J78">
        <v>43</v>
      </c>
      <c r="K78">
        <v>1</v>
      </c>
      <c r="L78">
        <v>25.3</v>
      </c>
      <c r="M78">
        <v>43.8</v>
      </c>
      <c r="N78" t="s">
        <v>46</v>
      </c>
      <c r="O78" t="s">
        <v>47</v>
      </c>
      <c r="P78" t="s">
        <v>58</v>
      </c>
      <c r="R78">
        <f>SUMIF(A78:A5077,"C00077",I78:I5077)</f>
        <v>5271.94</v>
      </c>
      <c r="S78" s="1">
        <v>5271.94</v>
      </c>
      <c r="T78">
        <f t="shared" si="8"/>
        <v>122.603255813953</v>
      </c>
      <c r="U78">
        <f t="shared" si="9"/>
        <v>1883.4</v>
      </c>
      <c r="V78">
        <f>U78*1</f>
        <v>1883.4</v>
      </c>
      <c r="W78">
        <f t="shared" si="10"/>
        <v>1965.23666666667</v>
      </c>
      <c r="X78">
        <f t="shared" si="11"/>
        <v>1.66353549464489</v>
      </c>
      <c r="AH78" t="str">
        <f t="shared" ref="AH78:AH141" si="13">IF(AND(W78&gt;=12550,B78&lt;=33,E78&gt;=915),"1st Quality",IF(AND(W78&gt;=6275,B78&lt;=43,E78&gt;=457),"2nd Quality","3rd Quality"))</f>
        <v>3rd Quality</v>
      </c>
      <c r="AJ78">
        <f>((T78-X78)*2)/25.3</f>
        <v>9.56045219915479</v>
      </c>
      <c r="AK78">
        <f t="shared" si="12"/>
        <v>127016.973023256</v>
      </c>
    </row>
    <row r="79" spans="1:37">
      <c r="A79" t="s">
        <v>142</v>
      </c>
      <c r="B79">
        <v>57</v>
      </c>
      <c r="C79" t="s">
        <v>50</v>
      </c>
      <c r="D79" t="s">
        <v>60</v>
      </c>
      <c r="E79">
        <v>552</v>
      </c>
      <c r="F79">
        <v>21</v>
      </c>
      <c r="G79">
        <v>2</v>
      </c>
      <c r="H79">
        <v>1356.74</v>
      </c>
      <c r="I79">
        <v>2743.97</v>
      </c>
      <c r="J79">
        <v>18</v>
      </c>
      <c r="K79">
        <v>1</v>
      </c>
      <c r="L79">
        <v>20.4</v>
      </c>
      <c r="M79">
        <v>28.3</v>
      </c>
      <c r="N79" t="s">
        <v>46</v>
      </c>
      <c r="O79" t="s">
        <v>47</v>
      </c>
      <c r="P79" t="s">
        <v>68</v>
      </c>
      <c r="R79">
        <f>SUMIF(A79:A5078,"C00078",I79:I5078)</f>
        <v>2743.97</v>
      </c>
      <c r="S79" s="1">
        <v>2743.97</v>
      </c>
      <c r="T79">
        <f t="shared" si="8"/>
        <v>152.442777777778</v>
      </c>
      <c r="U79">
        <f t="shared" si="9"/>
        <v>509.4</v>
      </c>
      <c r="V79">
        <f>U79*1</f>
        <v>509.4</v>
      </c>
      <c r="W79">
        <f t="shared" si="10"/>
        <v>1367.23666666667</v>
      </c>
      <c r="X79">
        <f t="shared" si="11"/>
        <v>0.406857614576116</v>
      </c>
      <c r="AH79" t="str">
        <f t="shared" si="13"/>
        <v>3rd Quality</v>
      </c>
      <c r="AJ79">
        <f>((T79-X79)*2)/20.4</f>
        <v>14.9054823689414</v>
      </c>
      <c r="AK79">
        <f t="shared" si="12"/>
        <v>84148.4133333333</v>
      </c>
    </row>
    <row r="80" spans="1:37">
      <c r="A80" t="s">
        <v>143</v>
      </c>
      <c r="B80">
        <v>30</v>
      </c>
      <c r="C80" t="s">
        <v>50</v>
      </c>
      <c r="D80" t="s">
        <v>51</v>
      </c>
      <c r="E80">
        <v>655</v>
      </c>
      <c r="F80">
        <v>31</v>
      </c>
      <c r="G80">
        <v>3</v>
      </c>
      <c r="H80">
        <v>9572.22</v>
      </c>
      <c r="I80">
        <v>27299.63</v>
      </c>
      <c r="J80">
        <v>33</v>
      </c>
      <c r="K80">
        <v>0</v>
      </c>
      <c r="L80">
        <v>4.6</v>
      </c>
      <c r="M80">
        <v>57.4</v>
      </c>
      <c r="N80" t="s">
        <v>61</v>
      </c>
      <c r="O80" t="s">
        <v>47</v>
      </c>
      <c r="P80" t="s">
        <v>58</v>
      </c>
      <c r="R80">
        <f>SUMIF(A80:A5079,"C00079",I80:I5079)</f>
        <v>27299.63</v>
      </c>
      <c r="S80" s="1">
        <v>27299.63</v>
      </c>
      <c r="T80">
        <f t="shared" si="8"/>
        <v>827.261515151515</v>
      </c>
      <c r="U80">
        <f t="shared" si="9"/>
        <v>1894.2</v>
      </c>
      <c r="V80">
        <f>U80/12</f>
        <v>157.85</v>
      </c>
      <c r="W80">
        <f t="shared" si="10"/>
        <v>12290.95</v>
      </c>
      <c r="X80">
        <f t="shared" si="11"/>
        <v>0.0684271778124615</v>
      </c>
      <c r="AH80" t="str">
        <f t="shared" si="13"/>
        <v>2nd Quality</v>
      </c>
      <c r="AJ80">
        <f>((T80-X80)*2)/4.6</f>
        <v>359.649168684219</v>
      </c>
      <c r="AK80">
        <f t="shared" si="12"/>
        <v>541856.292424242</v>
      </c>
    </row>
    <row r="81" spans="1:37">
      <c r="A81" t="s">
        <v>144</v>
      </c>
      <c r="B81">
        <v>39</v>
      </c>
      <c r="C81" t="s">
        <v>50</v>
      </c>
      <c r="D81" t="s">
        <v>45</v>
      </c>
      <c r="E81">
        <v>910</v>
      </c>
      <c r="F81">
        <v>255</v>
      </c>
      <c r="G81">
        <v>4</v>
      </c>
      <c r="H81">
        <v>929.99</v>
      </c>
      <c r="I81">
        <v>3962.48</v>
      </c>
      <c r="J81">
        <v>26</v>
      </c>
      <c r="K81">
        <v>0</v>
      </c>
      <c r="L81">
        <v>32</v>
      </c>
      <c r="M81">
        <v>8.8</v>
      </c>
      <c r="N81" t="s">
        <v>52</v>
      </c>
      <c r="O81" t="s">
        <v>53</v>
      </c>
      <c r="P81" t="s">
        <v>58</v>
      </c>
      <c r="R81">
        <f>SUMIF(A81:A5080,"C00080",I81:I5080)</f>
        <v>3962.48</v>
      </c>
      <c r="S81" s="1">
        <v>3962.48</v>
      </c>
      <c r="T81">
        <f t="shared" si="8"/>
        <v>152.403076923077</v>
      </c>
      <c r="U81">
        <f t="shared" si="9"/>
        <v>228.8</v>
      </c>
      <c r="V81">
        <f>U81/12</f>
        <v>19.0666666666667</v>
      </c>
      <c r="W81">
        <f t="shared" si="10"/>
        <v>1631.15666666667</v>
      </c>
      <c r="X81">
        <f t="shared" si="11"/>
        <v>0.978505145216615</v>
      </c>
      <c r="AH81" t="str">
        <f t="shared" si="13"/>
        <v>3rd Quality</v>
      </c>
      <c r="AJ81">
        <f>((T81-X81)*2)/32</f>
        <v>9.46403573611627</v>
      </c>
      <c r="AK81">
        <f t="shared" si="12"/>
        <v>138686.8</v>
      </c>
    </row>
    <row r="82" spans="1:37">
      <c r="A82" t="s">
        <v>145</v>
      </c>
      <c r="B82">
        <v>42</v>
      </c>
      <c r="C82" t="s">
        <v>50</v>
      </c>
      <c r="D82" t="s">
        <v>45</v>
      </c>
      <c r="E82">
        <v>851</v>
      </c>
      <c r="F82">
        <v>186</v>
      </c>
      <c r="G82">
        <v>2</v>
      </c>
      <c r="H82">
        <v>1420.64</v>
      </c>
      <c r="I82">
        <v>2536.05</v>
      </c>
      <c r="J82">
        <v>19</v>
      </c>
      <c r="K82">
        <v>1</v>
      </c>
      <c r="L82">
        <v>38.3</v>
      </c>
      <c r="M82">
        <v>23.4</v>
      </c>
      <c r="N82" t="s">
        <v>61</v>
      </c>
      <c r="O82" t="s">
        <v>53</v>
      </c>
      <c r="P82" t="s">
        <v>58</v>
      </c>
      <c r="R82">
        <f>SUMIF(A82:A5081,"C00081",I82:I5081)</f>
        <v>2536.05</v>
      </c>
      <c r="S82" s="1">
        <v>2536.05</v>
      </c>
      <c r="T82">
        <f t="shared" si="8"/>
        <v>133.476315789474</v>
      </c>
      <c r="U82">
        <f t="shared" si="9"/>
        <v>444.6</v>
      </c>
      <c r="V82">
        <f>U82*1</f>
        <v>444.6</v>
      </c>
      <c r="W82">
        <f t="shared" si="10"/>
        <v>1319.23</v>
      </c>
      <c r="X82">
        <f t="shared" si="11"/>
        <v>0.599025791192702</v>
      </c>
      <c r="AH82" t="str">
        <f t="shared" si="13"/>
        <v>3rd Quality</v>
      </c>
      <c r="AJ82">
        <f>((T82-X82)*2)/38.3</f>
        <v>6.93876187980581</v>
      </c>
      <c r="AK82">
        <f t="shared" si="12"/>
        <v>113588.344736842</v>
      </c>
    </row>
    <row r="83" spans="1:37">
      <c r="A83" t="s">
        <v>146</v>
      </c>
      <c r="B83">
        <v>43</v>
      </c>
      <c r="C83" t="s">
        <v>44</v>
      </c>
      <c r="D83" t="s">
        <v>51</v>
      </c>
      <c r="E83">
        <v>477</v>
      </c>
      <c r="F83">
        <v>34</v>
      </c>
      <c r="G83">
        <v>6</v>
      </c>
      <c r="H83">
        <v>492.27</v>
      </c>
      <c r="I83">
        <v>3039.75</v>
      </c>
      <c r="J83">
        <v>28</v>
      </c>
      <c r="K83">
        <v>1</v>
      </c>
      <c r="L83">
        <v>31</v>
      </c>
      <c r="M83">
        <v>19.1</v>
      </c>
      <c r="N83" t="s">
        <v>46</v>
      </c>
      <c r="O83" t="s">
        <v>47</v>
      </c>
      <c r="P83" t="s">
        <v>58</v>
      </c>
      <c r="R83">
        <f>SUMIF(A83:A5082,"C00082",I83:I5082)</f>
        <v>3039.75</v>
      </c>
      <c r="S83" s="1">
        <v>3039.75</v>
      </c>
      <c r="T83">
        <f t="shared" si="8"/>
        <v>108.5625</v>
      </c>
      <c r="U83">
        <f t="shared" si="9"/>
        <v>534.8</v>
      </c>
      <c r="V83">
        <f>U83*1</f>
        <v>534.8</v>
      </c>
      <c r="W83">
        <f t="shared" si="10"/>
        <v>1177.67333333333</v>
      </c>
      <c r="X83">
        <f t="shared" si="11"/>
        <v>0.968980437564751</v>
      </c>
      <c r="AH83" t="str">
        <f t="shared" si="13"/>
        <v>3rd Quality</v>
      </c>
      <c r="AJ83">
        <f>((T83-X83)*2)/31</f>
        <v>6.94151739112485</v>
      </c>
      <c r="AK83">
        <f t="shared" si="12"/>
        <v>51784.3125</v>
      </c>
    </row>
    <row r="84" spans="1:37">
      <c r="A84" t="s">
        <v>147</v>
      </c>
      <c r="B84">
        <v>39</v>
      </c>
      <c r="C84" t="s">
        <v>50</v>
      </c>
      <c r="D84" t="s">
        <v>60</v>
      </c>
      <c r="E84">
        <v>839</v>
      </c>
      <c r="F84">
        <v>51</v>
      </c>
      <c r="G84">
        <v>7</v>
      </c>
      <c r="H84">
        <v>1158.47</v>
      </c>
      <c r="I84">
        <v>8639.53</v>
      </c>
      <c r="J84">
        <v>52</v>
      </c>
      <c r="K84">
        <v>0</v>
      </c>
      <c r="L84">
        <v>35.4</v>
      </c>
      <c r="M84">
        <v>29.7</v>
      </c>
      <c r="N84" t="s">
        <v>63</v>
      </c>
      <c r="O84" t="s">
        <v>75</v>
      </c>
      <c r="P84" t="s">
        <v>58</v>
      </c>
      <c r="R84">
        <f>SUMIF(A84:A5083,"C00083",I84:I5083)</f>
        <v>8639.53</v>
      </c>
      <c r="S84" s="1">
        <v>8639.53</v>
      </c>
      <c r="T84">
        <f t="shared" si="8"/>
        <v>166.144807692308</v>
      </c>
      <c r="U84">
        <f t="shared" si="9"/>
        <v>1544.4</v>
      </c>
      <c r="V84">
        <f>U84/12</f>
        <v>128.7</v>
      </c>
      <c r="W84">
        <f t="shared" si="10"/>
        <v>3266.33333333333</v>
      </c>
      <c r="X84">
        <f t="shared" si="11"/>
        <v>0.724231097913627</v>
      </c>
      <c r="AH84" t="str">
        <f t="shared" si="13"/>
        <v>3rd Quality</v>
      </c>
      <c r="AJ84">
        <f>((T84-X84)*2)/35.4</f>
        <v>9.34579528781889</v>
      </c>
      <c r="AK84">
        <f t="shared" si="12"/>
        <v>139395.493653846</v>
      </c>
    </row>
    <row r="85" spans="1:37">
      <c r="A85" t="s">
        <v>148</v>
      </c>
      <c r="B85">
        <v>35</v>
      </c>
      <c r="C85" t="s">
        <v>44</v>
      </c>
      <c r="D85" t="s">
        <v>60</v>
      </c>
      <c r="E85">
        <v>626</v>
      </c>
      <c r="F85">
        <v>1</v>
      </c>
      <c r="G85">
        <v>27</v>
      </c>
      <c r="H85">
        <v>5209.58</v>
      </c>
      <c r="I85">
        <v>138537.61</v>
      </c>
      <c r="J85">
        <v>140</v>
      </c>
      <c r="K85">
        <v>1</v>
      </c>
      <c r="L85">
        <v>5.2</v>
      </c>
      <c r="M85">
        <v>31.4</v>
      </c>
      <c r="N85" t="s">
        <v>46</v>
      </c>
      <c r="O85" t="s">
        <v>53</v>
      </c>
      <c r="P85" t="s">
        <v>66</v>
      </c>
      <c r="R85">
        <f>SUMIF(A85:A5084,"C00084",I85:I5084)</f>
        <v>138537.61</v>
      </c>
      <c r="S85" s="1">
        <v>138537.61</v>
      </c>
      <c r="T85">
        <f t="shared" si="8"/>
        <v>989.554357142857</v>
      </c>
      <c r="U85">
        <f t="shared" si="9"/>
        <v>4396</v>
      </c>
      <c r="V85">
        <f>U85*1</f>
        <v>4396</v>
      </c>
      <c r="W85">
        <f t="shared" si="10"/>
        <v>47916.0633333333</v>
      </c>
      <c r="X85">
        <f t="shared" si="11"/>
        <v>0.120163237727418</v>
      </c>
      <c r="AH85" t="str">
        <f t="shared" si="13"/>
        <v>2nd Quality</v>
      </c>
      <c r="AJ85">
        <f>((T85-X85)*2)/5.2</f>
        <v>380.551613040434</v>
      </c>
      <c r="AK85">
        <f t="shared" si="12"/>
        <v>619461.027571429</v>
      </c>
    </row>
    <row r="86" spans="1:37">
      <c r="A86" t="s">
        <v>149</v>
      </c>
      <c r="B86">
        <v>61</v>
      </c>
      <c r="C86" t="s">
        <v>50</v>
      </c>
      <c r="D86" t="s">
        <v>45</v>
      </c>
      <c r="E86">
        <v>582</v>
      </c>
      <c r="F86">
        <v>10</v>
      </c>
      <c r="G86">
        <v>29</v>
      </c>
      <c r="H86">
        <v>2463.24</v>
      </c>
      <c r="I86">
        <v>68336.44</v>
      </c>
      <c r="J86">
        <v>187</v>
      </c>
      <c r="K86">
        <v>0</v>
      </c>
      <c r="L86">
        <v>8.7</v>
      </c>
      <c r="M86">
        <v>35.1</v>
      </c>
      <c r="N86" t="s">
        <v>63</v>
      </c>
      <c r="O86" t="s">
        <v>47</v>
      </c>
      <c r="P86" t="s">
        <v>58</v>
      </c>
      <c r="R86">
        <f>SUMIF(A86:A5085,"C00085",I86:I5085)</f>
        <v>68336.44</v>
      </c>
      <c r="S86" s="1">
        <v>68336.44</v>
      </c>
      <c r="T86">
        <f t="shared" si="8"/>
        <v>365.43550802139</v>
      </c>
      <c r="U86">
        <f t="shared" si="9"/>
        <v>6563.7</v>
      </c>
      <c r="V86">
        <f>U86/12</f>
        <v>546.975</v>
      </c>
      <c r="W86">
        <f t="shared" si="10"/>
        <v>23600.2266666667</v>
      </c>
      <c r="X86">
        <f t="shared" si="11"/>
        <v>0.236274175476202</v>
      </c>
      <c r="AH86" t="str">
        <f t="shared" si="13"/>
        <v>3rd Quality</v>
      </c>
      <c r="AJ86">
        <f>((T86-X86)*2)/8.7</f>
        <v>83.9538468611296</v>
      </c>
      <c r="AK86">
        <f t="shared" si="12"/>
        <v>212683.465668449</v>
      </c>
    </row>
    <row r="87" spans="1:37">
      <c r="A87" t="s">
        <v>150</v>
      </c>
      <c r="B87">
        <v>47</v>
      </c>
      <c r="C87" t="s">
        <v>50</v>
      </c>
      <c r="D87" t="s">
        <v>60</v>
      </c>
      <c r="E87">
        <v>1329</v>
      </c>
      <c r="F87">
        <v>16</v>
      </c>
      <c r="G87">
        <v>30</v>
      </c>
      <c r="H87">
        <v>18841</v>
      </c>
      <c r="I87">
        <v>53851.78</v>
      </c>
      <c r="J87">
        <v>127</v>
      </c>
      <c r="K87">
        <v>2</v>
      </c>
      <c r="L87">
        <v>9.5</v>
      </c>
      <c r="M87">
        <v>47.5</v>
      </c>
      <c r="N87" t="s">
        <v>81</v>
      </c>
      <c r="O87" t="s">
        <v>47</v>
      </c>
      <c r="P87" t="s">
        <v>58</v>
      </c>
      <c r="R87">
        <f>SUMIF(A87:A5086,"C00086",I87:I5086)</f>
        <v>53851.78</v>
      </c>
      <c r="S87" s="1">
        <v>53851.78</v>
      </c>
      <c r="T87">
        <f t="shared" si="8"/>
        <v>424.029763779528</v>
      </c>
      <c r="U87">
        <f t="shared" si="9"/>
        <v>6032.5</v>
      </c>
      <c r="V87">
        <f>U87*2</f>
        <v>12065</v>
      </c>
      <c r="W87">
        <f t="shared" si="10"/>
        <v>24231.26</v>
      </c>
      <c r="X87">
        <f t="shared" si="11"/>
        <v>0.070537657236877</v>
      </c>
      <c r="AH87" t="str">
        <f t="shared" si="13"/>
        <v>3rd Quality</v>
      </c>
      <c r="AJ87">
        <f>((T87-X87)*2)/9.5</f>
        <v>89.2545739204824</v>
      </c>
      <c r="AK87">
        <f t="shared" si="12"/>
        <v>563535.556062992</v>
      </c>
    </row>
    <row r="88" spans="1:37">
      <c r="A88" t="s">
        <v>151</v>
      </c>
      <c r="B88">
        <v>23</v>
      </c>
      <c r="C88" t="s">
        <v>44</v>
      </c>
      <c r="D88" t="s">
        <v>60</v>
      </c>
      <c r="E88">
        <v>505</v>
      </c>
      <c r="F88">
        <v>52</v>
      </c>
      <c r="G88">
        <v>2</v>
      </c>
      <c r="H88">
        <v>1585.11</v>
      </c>
      <c r="I88">
        <v>3039.2</v>
      </c>
      <c r="J88">
        <v>21</v>
      </c>
      <c r="K88">
        <v>0</v>
      </c>
      <c r="L88">
        <v>27.5</v>
      </c>
      <c r="M88">
        <v>5.7</v>
      </c>
      <c r="N88" t="s">
        <v>78</v>
      </c>
      <c r="O88" t="s">
        <v>47</v>
      </c>
      <c r="P88" t="s">
        <v>68</v>
      </c>
      <c r="R88">
        <f>SUMIF(A88:A5087,"C00087",I88:I5087)</f>
        <v>3039.2</v>
      </c>
      <c r="S88" s="1">
        <v>3039.2</v>
      </c>
      <c r="T88">
        <f t="shared" si="8"/>
        <v>144.72380952381</v>
      </c>
      <c r="U88">
        <f t="shared" si="9"/>
        <v>119.7</v>
      </c>
      <c r="V88">
        <f>U88/12</f>
        <v>9.975</v>
      </c>
      <c r="W88">
        <f t="shared" si="10"/>
        <v>1541.77</v>
      </c>
      <c r="X88">
        <f t="shared" si="11"/>
        <v>0.318589877043234</v>
      </c>
      <c r="AH88" t="str">
        <f t="shared" si="13"/>
        <v>3rd Quality</v>
      </c>
      <c r="AJ88">
        <f>((T88-X88)*2)/27.5</f>
        <v>10.5021977924921</v>
      </c>
      <c r="AK88">
        <f t="shared" si="12"/>
        <v>73085.5238095238</v>
      </c>
    </row>
    <row r="89" spans="1:37">
      <c r="A89" t="s">
        <v>152</v>
      </c>
      <c r="B89">
        <v>31</v>
      </c>
      <c r="C89" t="s">
        <v>44</v>
      </c>
      <c r="D89" t="s">
        <v>60</v>
      </c>
      <c r="E89">
        <v>1191</v>
      </c>
      <c r="F89">
        <v>74</v>
      </c>
      <c r="G89">
        <v>9</v>
      </c>
      <c r="H89">
        <v>692.59</v>
      </c>
      <c r="I89">
        <v>5660.89</v>
      </c>
      <c r="J89">
        <v>42</v>
      </c>
      <c r="K89">
        <v>1</v>
      </c>
      <c r="L89">
        <v>12.4</v>
      </c>
      <c r="M89">
        <v>21.7</v>
      </c>
      <c r="N89" t="s">
        <v>52</v>
      </c>
      <c r="O89" t="s">
        <v>75</v>
      </c>
      <c r="P89" t="s">
        <v>66</v>
      </c>
      <c r="R89">
        <f>SUMIF(A89:A5088,"C00088",I89:I5088)</f>
        <v>5660.89</v>
      </c>
      <c r="S89" s="1">
        <v>5660.89</v>
      </c>
      <c r="T89">
        <f t="shared" si="8"/>
        <v>134.783095238095</v>
      </c>
      <c r="U89">
        <f t="shared" si="9"/>
        <v>911.4</v>
      </c>
      <c r="V89">
        <f>U89*1</f>
        <v>911.4</v>
      </c>
      <c r="W89">
        <f t="shared" si="10"/>
        <v>2118.16</v>
      </c>
      <c r="X89">
        <f t="shared" si="11"/>
        <v>1.71963210557473</v>
      </c>
      <c r="AH89" t="str">
        <f t="shared" si="13"/>
        <v>3rd Quality</v>
      </c>
      <c r="AJ89">
        <f>((T89-X89)*2)/12.4</f>
        <v>21.461848892342</v>
      </c>
      <c r="AK89">
        <f t="shared" si="12"/>
        <v>160526.666428571</v>
      </c>
    </row>
    <row r="90" spans="1:37">
      <c r="A90" t="s">
        <v>153</v>
      </c>
      <c r="B90">
        <v>63</v>
      </c>
      <c r="C90" t="s">
        <v>50</v>
      </c>
      <c r="D90" t="s">
        <v>60</v>
      </c>
      <c r="E90">
        <v>426</v>
      </c>
      <c r="F90">
        <v>8</v>
      </c>
      <c r="G90">
        <v>26</v>
      </c>
      <c r="H90">
        <v>3751.81</v>
      </c>
      <c r="I90">
        <v>99445.15</v>
      </c>
      <c r="J90">
        <v>216</v>
      </c>
      <c r="K90">
        <v>4</v>
      </c>
      <c r="L90">
        <v>19.1</v>
      </c>
      <c r="M90">
        <v>64.9</v>
      </c>
      <c r="N90" t="s">
        <v>46</v>
      </c>
      <c r="O90" t="s">
        <v>47</v>
      </c>
      <c r="P90" t="s">
        <v>58</v>
      </c>
      <c r="R90">
        <f>SUMIF(A90:A5089,"C00089",I90:I5089)</f>
        <v>99445.15</v>
      </c>
      <c r="S90" s="1">
        <v>99445.15</v>
      </c>
      <c r="T90">
        <f t="shared" si="8"/>
        <v>460.394212962963</v>
      </c>
      <c r="U90">
        <f t="shared" si="9"/>
        <v>14018.4</v>
      </c>
      <c r="V90">
        <f>U90*4</f>
        <v>56073.6</v>
      </c>
      <c r="W90">
        <f t="shared" si="10"/>
        <v>34399.32</v>
      </c>
      <c r="X90">
        <f t="shared" si="11"/>
        <v>0.113545195518963</v>
      </c>
      <c r="AH90" t="str">
        <f t="shared" si="13"/>
        <v>3rd Quality</v>
      </c>
      <c r="AJ90">
        <f>((T90-X90)*2)/19.1</f>
        <v>48.196928562036</v>
      </c>
      <c r="AK90">
        <f t="shared" si="12"/>
        <v>196127.934722222</v>
      </c>
    </row>
    <row r="91" spans="1:37">
      <c r="A91" t="s">
        <v>154</v>
      </c>
      <c r="B91">
        <v>18</v>
      </c>
      <c r="C91" t="s">
        <v>50</v>
      </c>
      <c r="D91" t="s">
        <v>45</v>
      </c>
      <c r="E91">
        <v>575</v>
      </c>
      <c r="F91">
        <v>35</v>
      </c>
      <c r="G91">
        <v>3</v>
      </c>
      <c r="H91">
        <v>14014.23</v>
      </c>
      <c r="I91">
        <v>43288.58</v>
      </c>
      <c r="J91">
        <v>23</v>
      </c>
      <c r="K91">
        <v>0</v>
      </c>
      <c r="L91">
        <v>9</v>
      </c>
      <c r="M91">
        <v>30.7</v>
      </c>
      <c r="N91" t="s">
        <v>46</v>
      </c>
      <c r="O91" t="s">
        <v>53</v>
      </c>
      <c r="P91" t="s">
        <v>68</v>
      </c>
      <c r="R91">
        <f>SUMIF(A91:A5090,"C00090",I91:I5090)</f>
        <v>43288.58</v>
      </c>
      <c r="S91" s="1">
        <v>43288.58</v>
      </c>
      <c r="T91">
        <f t="shared" si="8"/>
        <v>1882.11217391304</v>
      </c>
      <c r="U91">
        <f t="shared" si="9"/>
        <v>706.1</v>
      </c>
      <c r="V91">
        <f>U91/12</f>
        <v>58.8416666666667</v>
      </c>
      <c r="W91">
        <f t="shared" si="10"/>
        <v>19101.27</v>
      </c>
      <c r="X91">
        <f t="shared" si="11"/>
        <v>0.0410297247868773</v>
      </c>
      <c r="AH91" t="str">
        <f t="shared" si="13"/>
        <v>2nd Quality</v>
      </c>
      <c r="AJ91">
        <f>((T91-X91)*2)/9</f>
        <v>418.238032041834</v>
      </c>
      <c r="AK91">
        <f t="shared" si="12"/>
        <v>1082214.5</v>
      </c>
    </row>
    <row r="92" spans="1:37">
      <c r="A92" t="s">
        <v>155</v>
      </c>
      <c r="B92">
        <v>30</v>
      </c>
      <c r="C92" t="s">
        <v>50</v>
      </c>
      <c r="D92" t="s">
        <v>51</v>
      </c>
      <c r="E92">
        <v>1335</v>
      </c>
      <c r="F92">
        <v>9</v>
      </c>
      <c r="G92">
        <v>27</v>
      </c>
      <c r="H92">
        <v>3720.5</v>
      </c>
      <c r="I92">
        <v>97793.86</v>
      </c>
      <c r="J92">
        <v>123</v>
      </c>
      <c r="K92">
        <v>5</v>
      </c>
      <c r="L92">
        <v>15.1</v>
      </c>
      <c r="M92">
        <v>40.2</v>
      </c>
      <c r="N92" t="s">
        <v>81</v>
      </c>
      <c r="O92" t="s">
        <v>53</v>
      </c>
      <c r="P92" t="s">
        <v>58</v>
      </c>
      <c r="R92">
        <f>SUMIF(A92:A5091,"C00091",I92:I5091)</f>
        <v>97793.86</v>
      </c>
      <c r="S92" s="1">
        <v>97793.86</v>
      </c>
      <c r="T92">
        <f t="shared" si="8"/>
        <v>795.072032520325</v>
      </c>
      <c r="U92">
        <f t="shared" si="9"/>
        <v>4944.6</v>
      </c>
      <c r="V92">
        <f>U92*5</f>
        <v>24723</v>
      </c>
      <c r="W92">
        <f t="shared" si="10"/>
        <v>33838.4533333333</v>
      </c>
      <c r="X92">
        <f t="shared" si="11"/>
        <v>0.358822738879183</v>
      </c>
      <c r="AH92" t="str">
        <f t="shared" si="13"/>
        <v>1st Quality</v>
      </c>
      <c r="AJ92">
        <f>((T92-X92)*2)/15.1</f>
        <v>105.260027785622</v>
      </c>
      <c r="AK92">
        <f t="shared" si="12"/>
        <v>1061421.16341463</v>
      </c>
    </row>
    <row r="93" spans="1:37">
      <c r="A93" t="s">
        <v>156</v>
      </c>
      <c r="B93">
        <v>21</v>
      </c>
      <c r="C93" t="s">
        <v>44</v>
      </c>
      <c r="D93" t="s">
        <v>51</v>
      </c>
      <c r="E93">
        <v>604</v>
      </c>
      <c r="F93">
        <v>193</v>
      </c>
      <c r="G93">
        <v>1</v>
      </c>
      <c r="H93">
        <v>1053.42</v>
      </c>
      <c r="I93">
        <v>1168.67</v>
      </c>
      <c r="J93">
        <v>11</v>
      </c>
      <c r="K93">
        <v>0</v>
      </c>
      <c r="L93">
        <v>33.6</v>
      </c>
      <c r="M93">
        <v>10.1</v>
      </c>
      <c r="N93" t="s">
        <v>61</v>
      </c>
      <c r="O93" t="s">
        <v>53</v>
      </c>
      <c r="P93" t="s">
        <v>58</v>
      </c>
      <c r="R93">
        <f>SUMIF(A93:A5092,"C00092",I93:I5092)</f>
        <v>1168.67</v>
      </c>
      <c r="S93" s="1">
        <v>1168.67</v>
      </c>
      <c r="T93">
        <f t="shared" si="8"/>
        <v>106.242727272727</v>
      </c>
      <c r="U93">
        <f t="shared" si="9"/>
        <v>111.1</v>
      </c>
      <c r="V93">
        <f>U93/12</f>
        <v>9.25833333333333</v>
      </c>
      <c r="W93">
        <f t="shared" si="10"/>
        <v>741.03</v>
      </c>
      <c r="X93">
        <f t="shared" si="11"/>
        <v>0.573370545461449</v>
      </c>
      <c r="AH93" t="str">
        <f t="shared" si="13"/>
        <v>3rd Quality</v>
      </c>
      <c r="AJ93">
        <f>((T93-X93)*2)/33.6</f>
        <v>6.28984266233723</v>
      </c>
      <c r="AK93">
        <f t="shared" si="12"/>
        <v>64170.6072727273</v>
      </c>
    </row>
    <row r="94" spans="1:37">
      <c r="A94" t="s">
        <v>157</v>
      </c>
      <c r="B94">
        <v>24</v>
      </c>
      <c r="C94" t="s">
        <v>44</v>
      </c>
      <c r="D94" t="s">
        <v>45</v>
      </c>
      <c r="E94">
        <v>434</v>
      </c>
      <c r="F94">
        <v>75</v>
      </c>
      <c r="G94">
        <v>6</v>
      </c>
      <c r="H94">
        <v>1220.67</v>
      </c>
      <c r="I94">
        <v>8047.23</v>
      </c>
      <c r="J94">
        <v>49</v>
      </c>
      <c r="K94">
        <v>0</v>
      </c>
      <c r="L94">
        <v>19</v>
      </c>
      <c r="M94">
        <v>14.1</v>
      </c>
      <c r="N94" t="s">
        <v>57</v>
      </c>
      <c r="O94" t="s">
        <v>47</v>
      </c>
      <c r="P94" t="s">
        <v>48</v>
      </c>
      <c r="R94">
        <f>SUMIF(A94:A5093,"C00093",I94:I5093)</f>
        <v>8047.23</v>
      </c>
      <c r="S94" s="1">
        <v>8047.23</v>
      </c>
      <c r="T94">
        <f t="shared" si="8"/>
        <v>164.229183673469</v>
      </c>
      <c r="U94">
        <f t="shared" si="9"/>
        <v>690.9</v>
      </c>
      <c r="V94">
        <f>U94/12</f>
        <v>57.575</v>
      </c>
      <c r="W94">
        <f t="shared" si="10"/>
        <v>3089.63333333333</v>
      </c>
      <c r="X94">
        <f t="shared" si="11"/>
        <v>0.355542447999869</v>
      </c>
      <c r="AH94" t="str">
        <f t="shared" si="13"/>
        <v>3rd Quality</v>
      </c>
      <c r="AJ94">
        <f>((T94-X94)*2)/19</f>
        <v>17.249856971102</v>
      </c>
      <c r="AK94">
        <f t="shared" si="12"/>
        <v>71275.4657142857</v>
      </c>
    </row>
    <row r="95" spans="1:37">
      <c r="A95" t="s">
        <v>158</v>
      </c>
      <c r="B95">
        <v>18</v>
      </c>
      <c r="C95" t="s">
        <v>50</v>
      </c>
      <c r="D95" t="s">
        <v>51</v>
      </c>
      <c r="E95">
        <v>886</v>
      </c>
      <c r="F95">
        <v>50</v>
      </c>
      <c r="G95">
        <v>7</v>
      </c>
      <c r="H95">
        <v>1609.52</v>
      </c>
      <c r="I95">
        <v>10720.1</v>
      </c>
      <c r="J95">
        <v>67</v>
      </c>
      <c r="K95">
        <v>2</v>
      </c>
      <c r="L95">
        <v>11.5</v>
      </c>
      <c r="M95">
        <v>44.4</v>
      </c>
      <c r="N95" t="s">
        <v>46</v>
      </c>
      <c r="O95" t="s">
        <v>53</v>
      </c>
      <c r="P95" t="s">
        <v>66</v>
      </c>
      <c r="R95">
        <f>SUMIF(A95:A5094,"C00094",I95:I5094)</f>
        <v>10720.1</v>
      </c>
      <c r="S95" s="1">
        <v>10720.1</v>
      </c>
      <c r="T95">
        <f t="shared" si="8"/>
        <v>160.001492537313</v>
      </c>
      <c r="U95">
        <f t="shared" si="9"/>
        <v>2974.8</v>
      </c>
      <c r="V95">
        <f>U95*2</f>
        <v>5949.6</v>
      </c>
      <c r="W95">
        <f t="shared" si="10"/>
        <v>4110.20666666667</v>
      </c>
      <c r="X95">
        <f t="shared" si="11"/>
        <v>0.550474675679706</v>
      </c>
      <c r="AH95" t="str">
        <f t="shared" si="13"/>
        <v>3rd Quality</v>
      </c>
      <c r="AJ95">
        <f>((T95-X95)*2)/11.5</f>
        <v>27.7306118020232</v>
      </c>
      <c r="AK95">
        <f t="shared" si="12"/>
        <v>141761.32238806</v>
      </c>
    </row>
    <row r="96" spans="1:37">
      <c r="A96" t="s">
        <v>159</v>
      </c>
      <c r="B96">
        <v>40</v>
      </c>
      <c r="C96" t="s">
        <v>50</v>
      </c>
      <c r="D96" t="s">
        <v>45</v>
      </c>
      <c r="E96">
        <v>636</v>
      </c>
      <c r="F96">
        <v>27</v>
      </c>
      <c r="G96">
        <v>5</v>
      </c>
      <c r="H96">
        <v>1031.37</v>
      </c>
      <c r="I96">
        <v>5444.42</v>
      </c>
      <c r="J96">
        <v>34</v>
      </c>
      <c r="K96">
        <v>1</v>
      </c>
      <c r="L96">
        <v>27.3</v>
      </c>
      <c r="M96">
        <v>36</v>
      </c>
      <c r="N96" t="s">
        <v>52</v>
      </c>
      <c r="O96" t="s">
        <v>47</v>
      </c>
      <c r="P96" t="s">
        <v>68</v>
      </c>
      <c r="R96">
        <f>SUMIF(A96:A5095,"C00095",I96:I5095)</f>
        <v>5444.42</v>
      </c>
      <c r="S96" s="1">
        <v>5444.42</v>
      </c>
      <c r="T96">
        <f t="shared" si="8"/>
        <v>160.13</v>
      </c>
      <c r="U96">
        <f t="shared" si="9"/>
        <v>1224</v>
      </c>
      <c r="V96">
        <f>U96*1</f>
        <v>1224</v>
      </c>
      <c r="W96">
        <f t="shared" si="10"/>
        <v>2158.93</v>
      </c>
      <c r="X96">
        <f t="shared" si="11"/>
        <v>0.616655516448995</v>
      </c>
      <c r="AH96" t="str">
        <f t="shared" si="13"/>
        <v>3rd Quality</v>
      </c>
      <c r="AJ96">
        <f>((T96-X96)*2)/27.3</f>
        <v>11.6859593028242</v>
      </c>
      <c r="AK96">
        <f t="shared" si="12"/>
        <v>101842.68</v>
      </c>
    </row>
    <row r="97" spans="1:37">
      <c r="A97" t="s">
        <v>160</v>
      </c>
      <c r="B97">
        <v>44</v>
      </c>
      <c r="C97" t="s">
        <v>44</v>
      </c>
      <c r="D97" t="s">
        <v>51</v>
      </c>
      <c r="E97">
        <v>1059</v>
      </c>
      <c r="F97">
        <v>27</v>
      </c>
      <c r="G97">
        <v>5</v>
      </c>
      <c r="H97">
        <v>7623.94</v>
      </c>
      <c r="I97">
        <v>34609.48</v>
      </c>
      <c r="J97">
        <v>30</v>
      </c>
      <c r="K97">
        <v>1</v>
      </c>
      <c r="L97">
        <v>10.8</v>
      </c>
      <c r="M97">
        <v>3.4</v>
      </c>
      <c r="N97" t="s">
        <v>46</v>
      </c>
      <c r="O97" t="s">
        <v>47</v>
      </c>
      <c r="P97" t="s">
        <v>48</v>
      </c>
      <c r="R97">
        <f>SUMIF(A97:A5096,"C00096",I97:I5096)</f>
        <v>34609.48</v>
      </c>
      <c r="S97" s="1">
        <v>34609.48</v>
      </c>
      <c r="T97">
        <f t="shared" si="8"/>
        <v>1153.64933333333</v>
      </c>
      <c r="U97">
        <f t="shared" si="9"/>
        <v>102</v>
      </c>
      <c r="V97">
        <f>U97*1</f>
        <v>102</v>
      </c>
      <c r="W97">
        <f t="shared" si="10"/>
        <v>14078.14</v>
      </c>
      <c r="X97">
        <f t="shared" si="11"/>
        <v>0.138904555912035</v>
      </c>
      <c r="AH97" t="str">
        <f t="shared" si="13"/>
        <v>3rd Quality</v>
      </c>
      <c r="AJ97">
        <f>((T97-X97)*2)/10.8</f>
        <v>213.613042366189</v>
      </c>
      <c r="AK97">
        <f t="shared" si="12"/>
        <v>1221714.644</v>
      </c>
    </row>
    <row r="98" spans="1:37">
      <c r="A98" t="s">
        <v>161</v>
      </c>
      <c r="B98">
        <v>35</v>
      </c>
      <c r="C98" t="s">
        <v>44</v>
      </c>
      <c r="D98" t="s">
        <v>45</v>
      </c>
      <c r="E98">
        <v>975</v>
      </c>
      <c r="F98">
        <v>134</v>
      </c>
      <c r="G98">
        <v>10</v>
      </c>
      <c r="H98">
        <v>1368.36</v>
      </c>
      <c r="I98">
        <v>14530.28</v>
      </c>
      <c r="J98">
        <v>86</v>
      </c>
      <c r="K98">
        <v>2</v>
      </c>
      <c r="L98">
        <v>24</v>
      </c>
      <c r="M98">
        <v>53.9</v>
      </c>
      <c r="N98" t="s">
        <v>52</v>
      </c>
      <c r="O98" t="s">
        <v>75</v>
      </c>
      <c r="P98" t="s">
        <v>68</v>
      </c>
      <c r="R98">
        <f>SUMIF(A98:A5097,"C00097",I98:I5097)</f>
        <v>14530.28</v>
      </c>
      <c r="S98" s="1">
        <v>14530.28</v>
      </c>
      <c r="T98">
        <f t="shared" si="8"/>
        <v>168.956744186047</v>
      </c>
      <c r="U98">
        <f t="shared" si="9"/>
        <v>4635.4</v>
      </c>
      <c r="V98">
        <f>U98*2</f>
        <v>9270.8</v>
      </c>
      <c r="W98">
        <f t="shared" si="10"/>
        <v>5299.88</v>
      </c>
      <c r="X98">
        <f t="shared" si="11"/>
        <v>0.712531789879856</v>
      </c>
      <c r="AH98" t="str">
        <f t="shared" si="13"/>
        <v>3rd Quality</v>
      </c>
      <c r="AJ98">
        <f>((T98-X98)*2)/24</f>
        <v>14.0203510330139</v>
      </c>
      <c r="AK98">
        <f t="shared" si="12"/>
        <v>164732.825581395</v>
      </c>
    </row>
    <row r="99" spans="1:37">
      <c r="A99" t="s">
        <v>162</v>
      </c>
      <c r="B99">
        <v>33</v>
      </c>
      <c r="C99" t="s">
        <v>44</v>
      </c>
      <c r="D99" t="s">
        <v>45</v>
      </c>
      <c r="E99">
        <v>1005</v>
      </c>
      <c r="F99">
        <v>28</v>
      </c>
      <c r="G99">
        <v>21</v>
      </c>
      <c r="H99">
        <v>1782.49</v>
      </c>
      <c r="I99">
        <v>39550.11</v>
      </c>
      <c r="J99">
        <v>112</v>
      </c>
      <c r="K99">
        <v>1</v>
      </c>
      <c r="L99">
        <v>24.1</v>
      </c>
      <c r="M99">
        <v>31.8</v>
      </c>
      <c r="N99" t="s">
        <v>52</v>
      </c>
      <c r="O99" t="s">
        <v>47</v>
      </c>
      <c r="P99" t="s">
        <v>58</v>
      </c>
      <c r="R99">
        <f>SUMIF(A99:A5098,"C00098",I99:I5098)</f>
        <v>39550.11</v>
      </c>
      <c r="S99" s="1">
        <v>39550.11</v>
      </c>
      <c r="T99">
        <f t="shared" si="8"/>
        <v>353.125982142857</v>
      </c>
      <c r="U99">
        <f t="shared" si="9"/>
        <v>3561.6</v>
      </c>
      <c r="V99">
        <f>U99*1</f>
        <v>3561.6</v>
      </c>
      <c r="W99">
        <f t="shared" si="10"/>
        <v>13777.8666666667</v>
      </c>
      <c r="X99">
        <f t="shared" si="11"/>
        <v>0.563818029834669</v>
      </c>
      <c r="AH99" t="str">
        <f t="shared" si="13"/>
        <v>1st Quality</v>
      </c>
      <c r="AJ99">
        <f>((T99-X99)*2)/24.1</f>
        <v>29.2582708807487</v>
      </c>
      <c r="AK99">
        <f t="shared" si="12"/>
        <v>354891.612053571</v>
      </c>
    </row>
    <row r="100" spans="1:37">
      <c r="A100" t="s">
        <v>163</v>
      </c>
      <c r="B100">
        <v>27</v>
      </c>
      <c r="C100" t="s">
        <v>44</v>
      </c>
      <c r="D100" t="s">
        <v>60</v>
      </c>
      <c r="E100">
        <v>414</v>
      </c>
      <c r="F100">
        <v>10</v>
      </c>
      <c r="G100">
        <v>25</v>
      </c>
      <c r="H100">
        <v>3984.56</v>
      </c>
      <c r="I100">
        <v>96186.37</v>
      </c>
      <c r="J100">
        <v>187</v>
      </c>
      <c r="K100">
        <v>1</v>
      </c>
      <c r="L100">
        <v>5</v>
      </c>
      <c r="M100">
        <v>24.1</v>
      </c>
      <c r="N100" t="s">
        <v>78</v>
      </c>
      <c r="O100" t="s">
        <v>53</v>
      </c>
      <c r="P100" t="s">
        <v>58</v>
      </c>
      <c r="R100">
        <f>SUMIF(A100:A5099,"C00099",I100:I5099)</f>
        <v>96186.37</v>
      </c>
      <c r="S100" s="1">
        <v>96186.37</v>
      </c>
      <c r="T100">
        <f t="shared" si="8"/>
        <v>514.365614973262</v>
      </c>
      <c r="U100">
        <f t="shared" si="9"/>
        <v>4506.7</v>
      </c>
      <c r="V100">
        <f>U100*1</f>
        <v>4506.7</v>
      </c>
      <c r="W100">
        <f t="shared" si="10"/>
        <v>33390.6433333333</v>
      </c>
      <c r="X100">
        <f t="shared" si="11"/>
        <v>0.103901058084205</v>
      </c>
      <c r="AH100" t="str">
        <f t="shared" si="13"/>
        <v>3rd Quality</v>
      </c>
      <c r="AJ100">
        <f>((T100-X100)*2)/5</f>
        <v>205.704685566071</v>
      </c>
      <c r="AK100">
        <f t="shared" si="12"/>
        <v>212947.36459893</v>
      </c>
    </row>
    <row r="101" spans="1:37">
      <c r="A101" t="s">
        <v>164</v>
      </c>
      <c r="B101">
        <v>45</v>
      </c>
      <c r="C101" t="s">
        <v>44</v>
      </c>
      <c r="D101" t="s">
        <v>45</v>
      </c>
      <c r="E101">
        <v>680</v>
      </c>
      <c r="F101">
        <v>74</v>
      </c>
      <c r="G101">
        <v>2</v>
      </c>
      <c r="H101">
        <v>662.29</v>
      </c>
      <c r="I101">
        <v>1288.64</v>
      </c>
      <c r="J101">
        <v>17</v>
      </c>
      <c r="K101">
        <v>0</v>
      </c>
      <c r="L101">
        <v>14.8</v>
      </c>
      <c r="M101">
        <v>32.5</v>
      </c>
      <c r="N101" t="s">
        <v>46</v>
      </c>
      <c r="O101" t="s">
        <v>75</v>
      </c>
      <c r="P101" t="s">
        <v>68</v>
      </c>
      <c r="R101">
        <f>SUMIF(A101:A5100,"C00100",I101:I5100)</f>
        <v>1288.64</v>
      </c>
      <c r="S101" s="1">
        <v>1288.64</v>
      </c>
      <c r="T101">
        <f t="shared" si="8"/>
        <v>75.8023529411765</v>
      </c>
      <c r="U101">
        <f t="shared" si="9"/>
        <v>552.5</v>
      </c>
      <c r="V101">
        <f>U101/12</f>
        <v>46.0416666666667</v>
      </c>
      <c r="W101">
        <f t="shared" si="10"/>
        <v>650.643333333333</v>
      </c>
      <c r="X101">
        <f t="shared" si="11"/>
        <v>1.02674055172206</v>
      </c>
      <c r="AH101" t="str">
        <f t="shared" si="13"/>
        <v>3rd Quality</v>
      </c>
      <c r="AJ101">
        <f>((T101-X101)*2)/14.8</f>
        <v>10.1048124850614</v>
      </c>
      <c r="AK101">
        <f t="shared" si="12"/>
        <v>51545.6</v>
      </c>
    </row>
    <row r="102" spans="1:37">
      <c r="A102" t="s">
        <v>165</v>
      </c>
      <c r="B102">
        <v>46</v>
      </c>
      <c r="C102" t="s">
        <v>50</v>
      </c>
      <c r="D102" t="s">
        <v>60</v>
      </c>
      <c r="E102">
        <v>412</v>
      </c>
      <c r="F102">
        <v>365</v>
      </c>
      <c r="G102">
        <v>1</v>
      </c>
      <c r="H102">
        <v>19513</v>
      </c>
      <c r="I102">
        <v>1991.6</v>
      </c>
      <c r="J102">
        <v>11</v>
      </c>
      <c r="K102">
        <v>0</v>
      </c>
      <c r="L102">
        <v>18.4</v>
      </c>
      <c r="M102">
        <v>17.9</v>
      </c>
      <c r="N102" t="s">
        <v>63</v>
      </c>
      <c r="O102" t="s">
        <v>47</v>
      </c>
      <c r="P102" t="s">
        <v>58</v>
      </c>
      <c r="R102">
        <f>SUMIF(A102:A5101,"C00101",I102:I5101)</f>
        <v>1991.6</v>
      </c>
      <c r="S102" s="1">
        <v>1991.6</v>
      </c>
      <c r="T102">
        <f t="shared" si="8"/>
        <v>181.054545454545</v>
      </c>
      <c r="U102">
        <f t="shared" si="9"/>
        <v>196.9</v>
      </c>
      <c r="V102">
        <f>U102/12</f>
        <v>16.4083333333333</v>
      </c>
      <c r="W102">
        <f t="shared" si="10"/>
        <v>7168.53333333333</v>
      </c>
      <c r="X102">
        <f t="shared" si="11"/>
        <v>0.021114129042177</v>
      </c>
      <c r="AH102" t="str">
        <f t="shared" si="13"/>
        <v>3rd Quality</v>
      </c>
      <c r="AJ102">
        <f>((T102-X102)*2)/18.4</f>
        <v>19.6775468832068</v>
      </c>
      <c r="AK102">
        <f t="shared" si="12"/>
        <v>74594.4727272727</v>
      </c>
    </row>
    <row r="103" spans="1:37">
      <c r="A103" t="s">
        <v>166</v>
      </c>
      <c r="B103">
        <v>51</v>
      </c>
      <c r="C103" t="s">
        <v>50</v>
      </c>
      <c r="D103" t="s">
        <v>51</v>
      </c>
      <c r="E103">
        <v>1402</v>
      </c>
      <c r="F103">
        <v>61</v>
      </c>
      <c r="G103">
        <v>3</v>
      </c>
      <c r="H103">
        <v>1011.15</v>
      </c>
      <c r="I103">
        <v>2873.44</v>
      </c>
      <c r="J103">
        <v>13</v>
      </c>
      <c r="K103">
        <v>1</v>
      </c>
      <c r="L103">
        <v>25.5</v>
      </c>
      <c r="M103">
        <v>21.3</v>
      </c>
      <c r="N103" t="s">
        <v>46</v>
      </c>
      <c r="O103" t="s">
        <v>75</v>
      </c>
      <c r="P103" t="s">
        <v>68</v>
      </c>
      <c r="R103">
        <f>SUMIF(A103:A5102,"C00102",I103:I5102)</f>
        <v>2873.44</v>
      </c>
      <c r="S103" s="1">
        <v>2873.44</v>
      </c>
      <c r="T103">
        <f t="shared" si="8"/>
        <v>221.033846153846</v>
      </c>
      <c r="U103">
        <f t="shared" si="9"/>
        <v>276.9</v>
      </c>
      <c r="V103">
        <f>U103*1</f>
        <v>276.9</v>
      </c>
      <c r="W103">
        <f t="shared" si="10"/>
        <v>1295.19666666667</v>
      </c>
      <c r="X103">
        <f t="shared" si="11"/>
        <v>1.38654007812886</v>
      </c>
      <c r="AH103" t="str">
        <f t="shared" si="13"/>
        <v>3rd Quality</v>
      </c>
      <c r="AJ103">
        <f>((T103-X103)*2)/25.5</f>
        <v>17.2272396922131</v>
      </c>
      <c r="AK103">
        <f t="shared" si="12"/>
        <v>309889.452307692</v>
      </c>
    </row>
    <row r="104" spans="1:37">
      <c r="A104" t="s">
        <v>167</v>
      </c>
      <c r="B104">
        <v>20</v>
      </c>
      <c r="C104" t="s">
        <v>44</v>
      </c>
      <c r="D104" t="s">
        <v>45</v>
      </c>
      <c r="E104">
        <v>472</v>
      </c>
      <c r="F104">
        <v>88</v>
      </c>
      <c r="G104">
        <v>7</v>
      </c>
      <c r="H104">
        <v>998.19</v>
      </c>
      <c r="I104">
        <v>7109.31</v>
      </c>
      <c r="J104">
        <v>23</v>
      </c>
      <c r="K104">
        <v>1</v>
      </c>
      <c r="L104">
        <v>20.4</v>
      </c>
      <c r="M104">
        <v>23.4</v>
      </c>
      <c r="N104" t="s">
        <v>57</v>
      </c>
      <c r="O104" t="s">
        <v>47</v>
      </c>
      <c r="P104" t="s">
        <v>58</v>
      </c>
      <c r="R104">
        <f>SUMIF(A104:A5103,"C00103",I104:I5103)</f>
        <v>7109.31</v>
      </c>
      <c r="S104" s="1">
        <v>7109.31</v>
      </c>
      <c r="T104">
        <f t="shared" si="8"/>
        <v>309.100434782609</v>
      </c>
      <c r="U104">
        <f t="shared" si="9"/>
        <v>538.2</v>
      </c>
      <c r="V104">
        <f>U104*1</f>
        <v>538.2</v>
      </c>
      <c r="W104">
        <f t="shared" si="10"/>
        <v>2702.83333333333</v>
      </c>
      <c r="X104">
        <f t="shared" si="11"/>
        <v>0.472855869123113</v>
      </c>
      <c r="AH104" t="str">
        <f t="shared" si="13"/>
        <v>3rd Quality</v>
      </c>
      <c r="AJ104">
        <f>((T104-X104)*2)/20.4</f>
        <v>30.257605775832</v>
      </c>
      <c r="AK104">
        <f t="shared" si="12"/>
        <v>145895.405217391</v>
      </c>
    </row>
    <row r="105" spans="1:37">
      <c r="A105" t="s">
        <v>168</v>
      </c>
      <c r="B105">
        <v>27</v>
      </c>
      <c r="C105" t="s">
        <v>44</v>
      </c>
      <c r="D105" t="s">
        <v>60</v>
      </c>
      <c r="E105">
        <v>1281</v>
      </c>
      <c r="F105">
        <v>114</v>
      </c>
      <c r="G105">
        <v>1</v>
      </c>
      <c r="H105">
        <v>1063.67</v>
      </c>
      <c r="I105">
        <v>1162.62</v>
      </c>
      <c r="J105">
        <v>13</v>
      </c>
      <c r="K105">
        <v>0</v>
      </c>
      <c r="L105">
        <v>24.2</v>
      </c>
      <c r="M105">
        <v>21.8</v>
      </c>
      <c r="N105" t="s">
        <v>57</v>
      </c>
      <c r="O105" t="s">
        <v>47</v>
      </c>
      <c r="P105" t="s">
        <v>58</v>
      </c>
      <c r="R105">
        <f>SUMIF(A105:A5104,"C00104",I105:I5104)</f>
        <v>1162.62</v>
      </c>
      <c r="S105" s="1">
        <v>1162.62</v>
      </c>
      <c r="T105">
        <f t="shared" si="8"/>
        <v>89.4323076923077</v>
      </c>
      <c r="U105">
        <f t="shared" si="9"/>
        <v>283.4</v>
      </c>
      <c r="V105">
        <f>U105/12</f>
        <v>23.6166666666667</v>
      </c>
      <c r="W105">
        <f t="shared" si="10"/>
        <v>742.43</v>
      </c>
      <c r="X105">
        <f t="shared" si="11"/>
        <v>1.20432088899753</v>
      </c>
      <c r="AH105" t="str">
        <f t="shared" si="13"/>
        <v>3rd Quality</v>
      </c>
      <c r="AJ105">
        <f>((T105-X105)*2)/24.2</f>
        <v>7.29156915729836</v>
      </c>
      <c r="AK105">
        <f t="shared" si="12"/>
        <v>114562.786153846</v>
      </c>
    </row>
    <row r="106" spans="1:37">
      <c r="A106" t="s">
        <v>169</v>
      </c>
      <c r="B106">
        <v>33</v>
      </c>
      <c r="C106" t="s">
        <v>50</v>
      </c>
      <c r="D106" t="s">
        <v>45</v>
      </c>
      <c r="E106">
        <v>1322</v>
      </c>
      <c r="F106">
        <v>62</v>
      </c>
      <c r="G106">
        <v>3</v>
      </c>
      <c r="H106">
        <v>727.88</v>
      </c>
      <c r="I106">
        <v>2154.73</v>
      </c>
      <c r="J106">
        <v>11</v>
      </c>
      <c r="K106">
        <v>0</v>
      </c>
      <c r="L106">
        <v>24.5</v>
      </c>
      <c r="M106">
        <v>36.9</v>
      </c>
      <c r="N106" t="s">
        <v>81</v>
      </c>
      <c r="O106" t="s">
        <v>47</v>
      </c>
      <c r="P106" t="s">
        <v>68</v>
      </c>
      <c r="R106">
        <f>SUMIF(A106:A5105,"C00105",I106:I5105)</f>
        <v>2154.73</v>
      </c>
      <c r="S106" s="1">
        <v>2154.73</v>
      </c>
      <c r="T106">
        <f t="shared" si="8"/>
        <v>195.884545454545</v>
      </c>
      <c r="U106">
        <f t="shared" si="9"/>
        <v>405.9</v>
      </c>
      <c r="V106">
        <f>U106/12</f>
        <v>33.825</v>
      </c>
      <c r="W106">
        <f t="shared" si="10"/>
        <v>961.203333333333</v>
      </c>
      <c r="X106">
        <f t="shared" si="11"/>
        <v>1.81623344507336</v>
      </c>
      <c r="AH106" t="str">
        <f t="shared" si="13"/>
        <v>3rd Quality</v>
      </c>
      <c r="AJ106">
        <f>((T106-X106)*2)/24.5</f>
        <v>15.8423111844467</v>
      </c>
      <c r="AK106">
        <f t="shared" si="12"/>
        <v>258959.369090909</v>
      </c>
    </row>
    <row r="107" spans="1:37">
      <c r="A107" t="s">
        <v>170</v>
      </c>
      <c r="B107">
        <v>42</v>
      </c>
      <c r="C107" t="s">
        <v>44</v>
      </c>
      <c r="D107" t="s">
        <v>60</v>
      </c>
      <c r="E107">
        <v>1080</v>
      </c>
      <c r="F107">
        <v>30</v>
      </c>
      <c r="G107">
        <v>4</v>
      </c>
      <c r="H107">
        <v>1083.89</v>
      </c>
      <c r="I107">
        <v>4027.78</v>
      </c>
      <c r="J107">
        <v>24</v>
      </c>
      <c r="K107">
        <v>0</v>
      </c>
      <c r="L107">
        <v>24.9</v>
      </c>
      <c r="M107">
        <v>36.1</v>
      </c>
      <c r="N107" t="s">
        <v>81</v>
      </c>
      <c r="O107" t="s">
        <v>53</v>
      </c>
      <c r="P107" t="s">
        <v>58</v>
      </c>
      <c r="R107">
        <f>SUMIF(A107:A5106,"C00106",I107:I5106)</f>
        <v>4027.78</v>
      </c>
      <c r="S107" s="1">
        <v>4027.78</v>
      </c>
      <c r="T107">
        <f t="shared" si="8"/>
        <v>167.824166666667</v>
      </c>
      <c r="U107">
        <f t="shared" si="9"/>
        <v>866.4</v>
      </c>
      <c r="V107">
        <f>U107/12</f>
        <v>72.2</v>
      </c>
      <c r="W107">
        <f t="shared" si="10"/>
        <v>1704.22333333333</v>
      </c>
      <c r="X107">
        <f t="shared" si="11"/>
        <v>0.996411074924577</v>
      </c>
      <c r="AH107" t="str">
        <f t="shared" si="13"/>
        <v>3rd Quality</v>
      </c>
      <c r="AJ107">
        <f>((T107-X107)*2)/24.9</f>
        <v>13.3998197262444</v>
      </c>
      <c r="AK107">
        <f t="shared" si="12"/>
        <v>181250.1</v>
      </c>
    </row>
    <row r="108" spans="1:37">
      <c r="A108" t="s">
        <v>171</v>
      </c>
      <c r="B108">
        <v>30</v>
      </c>
      <c r="C108" t="s">
        <v>44</v>
      </c>
      <c r="D108" t="s">
        <v>45</v>
      </c>
      <c r="E108">
        <v>1252</v>
      </c>
      <c r="F108">
        <v>113</v>
      </c>
      <c r="G108">
        <v>9</v>
      </c>
      <c r="H108">
        <v>1539.52</v>
      </c>
      <c r="I108">
        <v>14048.7</v>
      </c>
      <c r="J108">
        <v>69</v>
      </c>
      <c r="K108">
        <v>0</v>
      </c>
      <c r="L108">
        <v>26</v>
      </c>
      <c r="M108">
        <v>31.8</v>
      </c>
      <c r="N108" t="s">
        <v>81</v>
      </c>
      <c r="O108" t="s">
        <v>53</v>
      </c>
      <c r="P108" t="s">
        <v>58</v>
      </c>
      <c r="R108">
        <f>SUMIF(A108:A5107,"C00107",I108:I5107)</f>
        <v>14048.7</v>
      </c>
      <c r="S108" s="1">
        <v>14048.7</v>
      </c>
      <c r="T108">
        <f t="shared" si="8"/>
        <v>203.604347826087</v>
      </c>
      <c r="U108">
        <f t="shared" si="9"/>
        <v>2194.2</v>
      </c>
      <c r="V108">
        <f>U108/12</f>
        <v>182.85</v>
      </c>
      <c r="W108">
        <f t="shared" si="10"/>
        <v>5196.40666666667</v>
      </c>
      <c r="X108">
        <f t="shared" si="11"/>
        <v>0.813240490542507</v>
      </c>
      <c r="AH108" t="str">
        <f t="shared" si="13"/>
        <v>3rd Quality</v>
      </c>
      <c r="AJ108">
        <f>((T108-X108)*2)/26</f>
        <v>15.599315948888</v>
      </c>
      <c r="AK108">
        <f t="shared" si="12"/>
        <v>254912.643478261</v>
      </c>
    </row>
    <row r="109" spans="1:37">
      <c r="A109" t="s">
        <v>172</v>
      </c>
      <c r="B109">
        <v>41</v>
      </c>
      <c r="C109" t="s">
        <v>50</v>
      </c>
      <c r="D109" t="s">
        <v>60</v>
      </c>
      <c r="E109">
        <v>1360</v>
      </c>
      <c r="F109">
        <v>15</v>
      </c>
      <c r="G109">
        <v>11</v>
      </c>
      <c r="H109">
        <v>884.9</v>
      </c>
      <c r="I109">
        <v>10090.97</v>
      </c>
      <c r="J109">
        <v>61</v>
      </c>
      <c r="K109">
        <v>3</v>
      </c>
      <c r="L109">
        <v>12.8</v>
      </c>
      <c r="M109">
        <v>35.4</v>
      </c>
      <c r="N109" t="s">
        <v>81</v>
      </c>
      <c r="O109" t="s">
        <v>47</v>
      </c>
      <c r="P109" t="s">
        <v>68</v>
      </c>
      <c r="R109">
        <f>SUMIF(A109:A5108,"C00108",I109:I5108)</f>
        <v>10090.97</v>
      </c>
      <c r="S109" s="1">
        <v>10090.97</v>
      </c>
      <c r="T109">
        <f t="shared" si="8"/>
        <v>165.425737704918</v>
      </c>
      <c r="U109">
        <f t="shared" si="9"/>
        <v>2159.4</v>
      </c>
      <c r="V109">
        <f>U109*3</f>
        <v>6478.2</v>
      </c>
      <c r="W109">
        <f t="shared" si="10"/>
        <v>3658.95666666667</v>
      </c>
      <c r="X109">
        <f t="shared" si="11"/>
        <v>1.53689682449994</v>
      </c>
      <c r="AH109" t="str">
        <f t="shared" si="13"/>
        <v>3rd Quality</v>
      </c>
      <c r="AJ109">
        <f>((T109-X109)*2)/12.8</f>
        <v>25.6076313875653</v>
      </c>
      <c r="AK109">
        <f t="shared" si="12"/>
        <v>224979.003278688</v>
      </c>
    </row>
    <row r="110" spans="1:37">
      <c r="A110" t="s">
        <v>173</v>
      </c>
      <c r="B110">
        <v>18</v>
      </c>
      <c r="C110" t="s">
        <v>44</v>
      </c>
      <c r="D110" t="s">
        <v>45</v>
      </c>
      <c r="E110">
        <v>1350</v>
      </c>
      <c r="F110">
        <v>17</v>
      </c>
      <c r="G110">
        <v>23</v>
      </c>
      <c r="H110">
        <v>3331.12</v>
      </c>
      <c r="I110">
        <v>77093.56</v>
      </c>
      <c r="J110">
        <v>188</v>
      </c>
      <c r="K110">
        <v>0</v>
      </c>
      <c r="L110">
        <v>8.4</v>
      </c>
      <c r="M110">
        <v>17.8</v>
      </c>
      <c r="N110" t="s">
        <v>78</v>
      </c>
      <c r="O110" t="s">
        <v>47</v>
      </c>
      <c r="P110" t="s">
        <v>68</v>
      </c>
      <c r="R110">
        <f>SUMIF(A110:A5109,"C00109",I110:I5109)</f>
        <v>77093.56</v>
      </c>
      <c r="S110" s="1">
        <v>77093.56</v>
      </c>
      <c r="T110">
        <f t="shared" si="8"/>
        <v>410.072127659574</v>
      </c>
      <c r="U110">
        <f t="shared" si="9"/>
        <v>3346.4</v>
      </c>
      <c r="V110">
        <f>U110/12</f>
        <v>278.866666666667</v>
      </c>
      <c r="W110">
        <f t="shared" si="10"/>
        <v>26808.56</v>
      </c>
      <c r="X110">
        <f t="shared" si="11"/>
        <v>0.405269098681525</v>
      </c>
      <c r="AH110" t="str">
        <f t="shared" si="13"/>
        <v>1st Quality</v>
      </c>
      <c r="AJ110">
        <f>((T110-X110)*2)/8.4</f>
        <v>97.5397282287839</v>
      </c>
      <c r="AK110">
        <f t="shared" si="12"/>
        <v>553597.372340425</v>
      </c>
    </row>
    <row r="111" spans="1:37">
      <c r="A111" t="s">
        <v>174</v>
      </c>
      <c r="B111">
        <v>41</v>
      </c>
      <c r="C111" t="s">
        <v>44</v>
      </c>
      <c r="D111" t="s">
        <v>51</v>
      </c>
      <c r="E111">
        <v>690</v>
      </c>
      <c r="F111">
        <v>175</v>
      </c>
      <c r="G111">
        <v>2</v>
      </c>
      <c r="H111">
        <v>1877.93</v>
      </c>
      <c r="I111">
        <v>3326.46</v>
      </c>
      <c r="J111">
        <v>12</v>
      </c>
      <c r="K111">
        <v>0</v>
      </c>
      <c r="L111">
        <v>16.1</v>
      </c>
      <c r="M111">
        <v>42.4</v>
      </c>
      <c r="N111" t="s">
        <v>46</v>
      </c>
      <c r="O111" t="s">
        <v>53</v>
      </c>
      <c r="P111" t="s">
        <v>58</v>
      </c>
      <c r="R111">
        <f>SUMIF(A111:A5110,"C00110",I111:I5110)</f>
        <v>3326.46</v>
      </c>
      <c r="S111" s="1">
        <v>3326.46</v>
      </c>
      <c r="T111">
        <f t="shared" si="8"/>
        <v>277.205</v>
      </c>
      <c r="U111">
        <f t="shared" si="9"/>
        <v>508.8</v>
      </c>
      <c r="V111">
        <f>U111/12</f>
        <v>42.4</v>
      </c>
      <c r="W111">
        <f t="shared" si="10"/>
        <v>1735.13</v>
      </c>
      <c r="X111">
        <f t="shared" si="11"/>
        <v>0.367425835893777</v>
      </c>
      <c r="AH111" t="str">
        <f t="shared" si="13"/>
        <v>3rd Quality</v>
      </c>
      <c r="AJ111">
        <f>((T111-X111)*2)/16.1</f>
        <v>34.3897607657275</v>
      </c>
      <c r="AK111">
        <f t="shared" si="12"/>
        <v>191271.45</v>
      </c>
    </row>
    <row r="112" spans="1:37">
      <c r="A112" t="s">
        <v>175</v>
      </c>
      <c r="B112">
        <v>26</v>
      </c>
      <c r="C112" t="s">
        <v>50</v>
      </c>
      <c r="D112" t="s">
        <v>51</v>
      </c>
      <c r="E112">
        <v>1204</v>
      </c>
      <c r="F112">
        <v>24</v>
      </c>
      <c r="G112">
        <v>8</v>
      </c>
      <c r="H112">
        <v>1467.47</v>
      </c>
      <c r="I112">
        <v>12216.72</v>
      </c>
      <c r="J112">
        <v>62</v>
      </c>
      <c r="K112">
        <v>0</v>
      </c>
      <c r="L112">
        <v>26.4</v>
      </c>
      <c r="M112">
        <v>30.7</v>
      </c>
      <c r="N112" t="s">
        <v>81</v>
      </c>
      <c r="O112" t="s">
        <v>47</v>
      </c>
      <c r="P112" t="s">
        <v>58</v>
      </c>
      <c r="R112">
        <f>SUMIF(A112:A5111,"C00111",I112:I5111)</f>
        <v>12216.72</v>
      </c>
      <c r="S112" s="1">
        <v>12216.72</v>
      </c>
      <c r="T112">
        <f t="shared" si="8"/>
        <v>197.043870967742</v>
      </c>
      <c r="U112">
        <f t="shared" si="9"/>
        <v>1903.4</v>
      </c>
      <c r="V112">
        <f>U112/12</f>
        <v>158.616666666667</v>
      </c>
      <c r="W112">
        <f t="shared" si="10"/>
        <v>4561.73</v>
      </c>
      <c r="X112">
        <f t="shared" si="11"/>
        <v>0.820459702753719</v>
      </c>
      <c r="AH112" t="str">
        <f t="shared" si="13"/>
        <v>3rd Quality</v>
      </c>
      <c r="AJ112">
        <f>((T112-X112)*2)/26.4</f>
        <v>14.8654099443173</v>
      </c>
      <c r="AK112">
        <f t="shared" si="12"/>
        <v>237240.820645161</v>
      </c>
    </row>
    <row r="113" spans="1:37">
      <c r="A113" t="s">
        <v>176</v>
      </c>
      <c r="B113">
        <v>20</v>
      </c>
      <c r="C113" t="s">
        <v>44</v>
      </c>
      <c r="D113" t="s">
        <v>45</v>
      </c>
      <c r="E113">
        <v>697</v>
      </c>
      <c r="F113">
        <v>6</v>
      </c>
      <c r="G113">
        <v>27</v>
      </c>
      <c r="H113">
        <v>2199.54</v>
      </c>
      <c r="I113">
        <v>52786.93</v>
      </c>
      <c r="J113">
        <v>220</v>
      </c>
      <c r="K113">
        <v>1</v>
      </c>
      <c r="L113">
        <v>14.6</v>
      </c>
      <c r="M113">
        <v>34.6</v>
      </c>
      <c r="N113" t="s">
        <v>63</v>
      </c>
      <c r="O113" t="s">
        <v>47</v>
      </c>
      <c r="P113" t="s">
        <v>48</v>
      </c>
      <c r="R113">
        <f>SUMIF(A113:A5112,"C00112",I113:I5112)</f>
        <v>52786.93</v>
      </c>
      <c r="S113" s="1">
        <v>52786.93</v>
      </c>
      <c r="T113">
        <f t="shared" si="8"/>
        <v>239.940590909091</v>
      </c>
      <c r="U113">
        <f t="shared" si="9"/>
        <v>7612</v>
      </c>
      <c r="V113">
        <f>U113*1</f>
        <v>7612</v>
      </c>
      <c r="W113">
        <f t="shared" si="10"/>
        <v>18329.1566666667</v>
      </c>
      <c r="X113">
        <f t="shared" si="11"/>
        <v>0.316884439473708</v>
      </c>
      <c r="AH113" t="str">
        <f t="shared" si="13"/>
        <v>2nd Quality</v>
      </c>
      <c r="AJ113">
        <f>((T113-X113)*2)/14.6</f>
        <v>32.8251652698106</v>
      </c>
      <c r="AK113">
        <f t="shared" si="12"/>
        <v>167238.591863636</v>
      </c>
    </row>
    <row r="114" spans="1:37">
      <c r="A114" t="s">
        <v>177</v>
      </c>
      <c r="B114">
        <v>33</v>
      </c>
      <c r="C114" t="s">
        <v>50</v>
      </c>
      <c r="D114" t="s">
        <v>60</v>
      </c>
      <c r="E114">
        <v>511</v>
      </c>
      <c r="F114">
        <v>87</v>
      </c>
      <c r="G114">
        <v>6</v>
      </c>
      <c r="H114">
        <v>1432.29</v>
      </c>
      <c r="I114">
        <v>8423.43</v>
      </c>
      <c r="J114">
        <v>30</v>
      </c>
      <c r="K114">
        <v>0</v>
      </c>
      <c r="L114">
        <v>20.9</v>
      </c>
      <c r="M114">
        <v>23.3</v>
      </c>
      <c r="N114" t="s">
        <v>57</v>
      </c>
      <c r="O114" t="s">
        <v>47</v>
      </c>
      <c r="P114" t="s">
        <v>68</v>
      </c>
      <c r="R114">
        <f>SUMIF(A114:A5113,"C00113",I114:I5113)</f>
        <v>8423.43</v>
      </c>
      <c r="S114" s="1">
        <v>8423.43</v>
      </c>
      <c r="T114">
        <f t="shared" si="8"/>
        <v>280.781</v>
      </c>
      <c r="U114">
        <f t="shared" si="9"/>
        <v>699</v>
      </c>
      <c r="V114">
        <f>U114/12</f>
        <v>58.25</v>
      </c>
      <c r="W114">
        <f t="shared" si="10"/>
        <v>3285.57333333333</v>
      </c>
      <c r="X114">
        <f t="shared" si="11"/>
        <v>0.356771324242996</v>
      </c>
      <c r="AH114" t="str">
        <f t="shared" si="13"/>
        <v>3rd Quality</v>
      </c>
      <c r="AJ114">
        <f>((T114-X114)*2)/20.9</f>
        <v>26.8348544187327</v>
      </c>
      <c r="AK114">
        <f t="shared" si="12"/>
        <v>143479.091</v>
      </c>
    </row>
    <row r="115" spans="1:37">
      <c r="A115" t="s">
        <v>178</v>
      </c>
      <c r="B115">
        <v>40</v>
      </c>
      <c r="C115" t="s">
        <v>50</v>
      </c>
      <c r="D115" t="s">
        <v>51</v>
      </c>
      <c r="E115">
        <v>707</v>
      </c>
      <c r="F115">
        <v>155</v>
      </c>
      <c r="G115">
        <v>6</v>
      </c>
      <c r="H115">
        <v>13464.21</v>
      </c>
      <c r="I115">
        <v>79125.56</v>
      </c>
      <c r="J115">
        <v>33</v>
      </c>
      <c r="K115">
        <v>1</v>
      </c>
      <c r="L115">
        <v>5.4</v>
      </c>
      <c r="M115">
        <v>25.6</v>
      </c>
      <c r="N115" t="s">
        <v>46</v>
      </c>
      <c r="O115" t="s">
        <v>47</v>
      </c>
      <c r="P115" t="s">
        <v>48</v>
      </c>
      <c r="R115">
        <f>SUMIF(A115:A5114,"C00114",I115:I5114)</f>
        <v>79125.56</v>
      </c>
      <c r="S115" s="1">
        <v>79125.56</v>
      </c>
      <c r="T115">
        <f t="shared" si="8"/>
        <v>2397.74424242424</v>
      </c>
      <c r="U115">
        <f t="shared" si="9"/>
        <v>844.8</v>
      </c>
      <c r="V115">
        <f>U115*1</f>
        <v>844.8</v>
      </c>
      <c r="W115">
        <f t="shared" si="10"/>
        <v>30863.59</v>
      </c>
      <c r="X115">
        <f t="shared" si="11"/>
        <v>0.0525095790989594</v>
      </c>
      <c r="AH115" t="str">
        <f t="shared" si="13"/>
        <v>2nd Quality</v>
      </c>
      <c r="AJ115">
        <f>((T115-X115)*2)/5.4</f>
        <v>888.03397512783</v>
      </c>
      <c r="AK115">
        <f t="shared" si="12"/>
        <v>1695205.17939394</v>
      </c>
    </row>
    <row r="116" spans="1:37">
      <c r="A116" t="s">
        <v>179</v>
      </c>
      <c r="B116">
        <v>20</v>
      </c>
      <c r="C116" t="s">
        <v>50</v>
      </c>
      <c r="D116" t="s">
        <v>60</v>
      </c>
      <c r="E116">
        <v>1399</v>
      </c>
      <c r="F116">
        <v>23</v>
      </c>
      <c r="G116">
        <v>22</v>
      </c>
      <c r="H116">
        <v>3924.33</v>
      </c>
      <c r="I116">
        <v>93512.95</v>
      </c>
      <c r="J116">
        <v>167</v>
      </c>
      <c r="K116">
        <v>0</v>
      </c>
      <c r="L116">
        <v>8.8</v>
      </c>
      <c r="M116">
        <v>28.7</v>
      </c>
      <c r="N116" t="s">
        <v>57</v>
      </c>
      <c r="O116" t="s">
        <v>47</v>
      </c>
      <c r="P116" t="s">
        <v>58</v>
      </c>
      <c r="R116">
        <f>SUMIF(A116:A5115,"C00115",I116:I5115)</f>
        <v>93512.95</v>
      </c>
      <c r="S116" s="1">
        <v>93512.95</v>
      </c>
      <c r="T116">
        <f t="shared" si="8"/>
        <v>559.957784431138</v>
      </c>
      <c r="U116">
        <f t="shared" si="9"/>
        <v>4792.9</v>
      </c>
      <c r="V116">
        <f>U116/12</f>
        <v>399.408333333333</v>
      </c>
      <c r="W116">
        <f t="shared" si="10"/>
        <v>32479.4266666667</v>
      </c>
      <c r="X116">
        <f t="shared" si="11"/>
        <v>0.356493974767667</v>
      </c>
      <c r="AH116" t="str">
        <f t="shared" si="13"/>
        <v>1st Quality</v>
      </c>
      <c r="AJ116">
        <f>((T116-X116)*2)/8.8</f>
        <v>127.182111467357</v>
      </c>
      <c r="AK116">
        <f t="shared" si="12"/>
        <v>783380.940419162</v>
      </c>
    </row>
    <row r="117" spans="1:37">
      <c r="A117" t="s">
        <v>180</v>
      </c>
      <c r="B117">
        <v>50</v>
      </c>
      <c r="C117" t="s">
        <v>50</v>
      </c>
      <c r="D117" t="s">
        <v>60</v>
      </c>
      <c r="E117">
        <v>544</v>
      </c>
      <c r="F117">
        <v>15</v>
      </c>
      <c r="G117">
        <v>5</v>
      </c>
      <c r="H117">
        <v>993.86</v>
      </c>
      <c r="I117">
        <v>5401.83</v>
      </c>
      <c r="J117">
        <v>20</v>
      </c>
      <c r="K117">
        <v>0</v>
      </c>
      <c r="L117">
        <v>26.8</v>
      </c>
      <c r="M117">
        <v>46.3</v>
      </c>
      <c r="N117" t="s">
        <v>63</v>
      </c>
      <c r="O117" t="s">
        <v>53</v>
      </c>
      <c r="P117" t="s">
        <v>58</v>
      </c>
      <c r="R117">
        <f>SUMIF(A117:A5116,"C00116",I117:I5116)</f>
        <v>5401.83</v>
      </c>
      <c r="S117" s="1">
        <v>5401.83</v>
      </c>
      <c r="T117">
        <f t="shared" si="8"/>
        <v>270.0915</v>
      </c>
      <c r="U117">
        <f t="shared" si="9"/>
        <v>926</v>
      </c>
      <c r="V117">
        <f>U117/12</f>
        <v>77.1666666666667</v>
      </c>
      <c r="W117">
        <f t="shared" si="10"/>
        <v>2132.23</v>
      </c>
      <c r="X117">
        <f t="shared" si="11"/>
        <v>0.547360795283038</v>
      </c>
      <c r="AH117" t="str">
        <f t="shared" si="13"/>
        <v>3rd Quality</v>
      </c>
      <c r="AJ117">
        <f>((T117-X117)*2)/26.8</f>
        <v>20.1152342690087</v>
      </c>
      <c r="AK117">
        <f t="shared" si="12"/>
        <v>146929.776</v>
      </c>
    </row>
    <row r="118" spans="1:37">
      <c r="A118" t="s">
        <v>181</v>
      </c>
      <c r="B118">
        <v>26</v>
      </c>
      <c r="C118" t="s">
        <v>50</v>
      </c>
      <c r="D118" t="s">
        <v>60</v>
      </c>
      <c r="E118">
        <v>1005</v>
      </c>
      <c r="F118">
        <v>163</v>
      </c>
      <c r="G118">
        <v>3</v>
      </c>
      <c r="H118">
        <v>1586.77</v>
      </c>
      <c r="I118">
        <v>5074.54</v>
      </c>
      <c r="J118">
        <v>25</v>
      </c>
      <c r="K118">
        <v>0</v>
      </c>
      <c r="L118">
        <v>38</v>
      </c>
      <c r="M118">
        <v>45.7</v>
      </c>
      <c r="N118" t="s">
        <v>61</v>
      </c>
      <c r="O118" t="s">
        <v>47</v>
      </c>
      <c r="P118" t="s">
        <v>66</v>
      </c>
      <c r="R118">
        <f>SUMIF(A118:A5117,"C00117",I118:I5117)</f>
        <v>5074.54</v>
      </c>
      <c r="S118" s="1">
        <v>5074.54</v>
      </c>
      <c r="T118">
        <f t="shared" si="8"/>
        <v>202.9816</v>
      </c>
      <c r="U118">
        <f t="shared" si="9"/>
        <v>1142.5</v>
      </c>
      <c r="V118">
        <f>U118/12</f>
        <v>95.2083333333333</v>
      </c>
      <c r="W118">
        <f t="shared" si="10"/>
        <v>2220.77</v>
      </c>
      <c r="X118">
        <f t="shared" si="11"/>
        <v>0.633362112971634</v>
      </c>
      <c r="AH118" t="str">
        <f t="shared" si="13"/>
        <v>3rd Quality</v>
      </c>
      <c r="AJ118">
        <f>((T118-X118)*2)/38</f>
        <v>10.649907257212</v>
      </c>
      <c r="AK118">
        <f t="shared" si="12"/>
        <v>203996.508</v>
      </c>
    </row>
    <row r="119" spans="1:37">
      <c r="A119" t="s">
        <v>182</v>
      </c>
      <c r="B119">
        <v>60</v>
      </c>
      <c r="C119" t="s">
        <v>44</v>
      </c>
      <c r="D119" t="s">
        <v>45</v>
      </c>
      <c r="E119">
        <v>522</v>
      </c>
      <c r="F119">
        <v>79</v>
      </c>
      <c r="G119">
        <v>5</v>
      </c>
      <c r="H119">
        <v>905.96</v>
      </c>
      <c r="I119">
        <v>4877.39</v>
      </c>
      <c r="J119">
        <v>42</v>
      </c>
      <c r="K119">
        <v>1</v>
      </c>
      <c r="L119">
        <v>32.5</v>
      </c>
      <c r="M119">
        <v>59.8</v>
      </c>
      <c r="N119" t="s">
        <v>81</v>
      </c>
      <c r="O119" t="s">
        <v>53</v>
      </c>
      <c r="P119" t="s">
        <v>66</v>
      </c>
      <c r="R119">
        <f>SUMIF(A119:A5118,"C00118",I119:I5118)</f>
        <v>4877.39</v>
      </c>
      <c r="S119" s="1">
        <v>4877.39</v>
      </c>
      <c r="T119">
        <f t="shared" si="8"/>
        <v>116.128333333333</v>
      </c>
      <c r="U119">
        <f t="shared" si="9"/>
        <v>2511.6</v>
      </c>
      <c r="V119">
        <f>U119*1</f>
        <v>2511.6</v>
      </c>
      <c r="W119">
        <f t="shared" si="10"/>
        <v>1928.11666666667</v>
      </c>
      <c r="X119">
        <f t="shared" si="11"/>
        <v>0.57618437900128</v>
      </c>
      <c r="AH119" t="str">
        <f t="shared" si="13"/>
        <v>3rd Quality</v>
      </c>
      <c r="AJ119">
        <f>((T119-X119)*2)/32.5</f>
        <v>7.11090147411272</v>
      </c>
      <c r="AK119">
        <f t="shared" si="12"/>
        <v>60618.99</v>
      </c>
    </row>
    <row r="120" spans="1:37">
      <c r="A120" t="s">
        <v>183</v>
      </c>
      <c r="B120">
        <v>22</v>
      </c>
      <c r="C120" t="s">
        <v>44</v>
      </c>
      <c r="D120" t="s">
        <v>60</v>
      </c>
      <c r="E120">
        <v>885</v>
      </c>
      <c r="F120">
        <v>31</v>
      </c>
      <c r="G120">
        <v>9</v>
      </c>
      <c r="H120">
        <v>980.37</v>
      </c>
      <c r="I120">
        <v>8227.87</v>
      </c>
      <c r="J120">
        <v>77</v>
      </c>
      <c r="K120">
        <v>0</v>
      </c>
      <c r="L120">
        <v>30.9</v>
      </c>
      <c r="M120">
        <v>42.4</v>
      </c>
      <c r="N120" t="s">
        <v>81</v>
      </c>
      <c r="O120" t="s">
        <v>75</v>
      </c>
      <c r="P120" t="s">
        <v>48</v>
      </c>
      <c r="R120">
        <f>SUMIF(A120:A5119,"C00119",I120:I5119)</f>
        <v>8227.87</v>
      </c>
      <c r="S120" s="1">
        <v>8227.87</v>
      </c>
      <c r="T120">
        <f t="shared" si="8"/>
        <v>106.855454545455</v>
      </c>
      <c r="U120">
        <f t="shared" si="9"/>
        <v>3264.8</v>
      </c>
      <c r="V120">
        <f>U120/12</f>
        <v>272.066666666667</v>
      </c>
      <c r="W120">
        <f t="shared" si="10"/>
        <v>3069.74666666667</v>
      </c>
      <c r="X120">
        <f t="shared" si="11"/>
        <v>0.902720401481073</v>
      </c>
      <c r="AH120" t="str">
        <f t="shared" si="13"/>
        <v>3rd Quality</v>
      </c>
      <c r="AJ120">
        <f>((T120-X120)*2)/30.9</f>
        <v>6.85778214524103</v>
      </c>
      <c r="AK120">
        <f t="shared" si="12"/>
        <v>94567.0772727273</v>
      </c>
    </row>
    <row r="121" spans="1:37">
      <c r="A121" t="s">
        <v>184</v>
      </c>
      <c r="B121">
        <v>24</v>
      </c>
      <c r="C121" t="s">
        <v>44</v>
      </c>
      <c r="D121" t="s">
        <v>60</v>
      </c>
      <c r="E121">
        <v>1362</v>
      </c>
      <c r="F121">
        <v>33</v>
      </c>
      <c r="G121">
        <v>2</v>
      </c>
      <c r="H121">
        <v>6907.24</v>
      </c>
      <c r="I121">
        <v>14531.56</v>
      </c>
      <c r="J121">
        <v>22</v>
      </c>
      <c r="K121">
        <v>0</v>
      </c>
      <c r="L121">
        <v>0</v>
      </c>
      <c r="M121">
        <v>11.4</v>
      </c>
      <c r="N121" t="s">
        <v>63</v>
      </c>
      <c r="O121" t="s">
        <v>53</v>
      </c>
      <c r="P121" t="s">
        <v>58</v>
      </c>
      <c r="R121">
        <f>SUMIF(A121:A5120,"C00120",I121:I5120)</f>
        <v>14531.56</v>
      </c>
      <c r="S121" s="1">
        <v>14531.56</v>
      </c>
      <c r="T121">
        <f t="shared" si="8"/>
        <v>660.525454545455</v>
      </c>
      <c r="U121">
        <f t="shared" si="9"/>
        <v>250.8</v>
      </c>
      <c r="V121">
        <f>U121/12</f>
        <v>20.9</v>
      </c>
      <c r="W121">
        <f t="shared" si="10"/>
        <v>7146.6</v>
      </c>
      <c r="X121">
        <f t="shared" si="11"/>
        <v>0.197184403611283</v>
      </c>
      <c r="AH121" t="str">
        <f t="shared" si="13"/>
        <v>2nd Quality</v>
      </c>
      <c r="AJ121">
        <f>((T121-X121)*2)</f>
        <v>1320.65654028369</v>
      </c>
      <c r="AK121">
        <f t="shared" si="12"/>
        <v>899635.669090909</v>
      </c>
    </row>
    <row r="122" spans="1:37">
      <c r="A122" t="s">
        <v>185</v>
      </c>
      <c r="B122">
        <v>23</v>
      </c>
      <c r="C122" t="s">
        <v>44</v>
      </c>
      <c r="D122" t="s">
        <v>60</v>
      </c>
      <c r="E122">
        <v>1407</v>
      </c>
      <c r="F122">
        <v>29</v>
      </c>
      <c r="G122">
        <v>6</v>
      </c>
      <c r="H122">
        <v>10157.19</v>
      </c>
      <c r="I122">
        <v>64589.26</v>
      </c>
      <c r="J122">
        <v>26</v>
      </c>
      <c r="K122">
        <v>0</v>
      </c>
      <c r="L122">
        <v>14.8</v>
      </c>
      <c r="M122">
        <v>40.1</v>
      </c>
      <c r="N122" t="s">
        <v>81</v>
      </c>
      <c r="O122" t="s">
        <v>47</v>
      </c>
      <c r="P122" t="s">
        <v>66</v>
      </c>
      <c r="R122">
        <f>SUMIF(A122:A5121,"C00121",I122:I5121)</f>
        <v>64589.26</v>
      </c>
      <c r="S122" s="1">
        <v>64589.26</v>
      </c>
      <c r="T122">
        <f t="shared" si="8"/>
        <v>2484.20230769231</v>
      </c>
      <c r="U122">
        <f t="shared" si="9"/>
        <v>1042.6</v>
      </c>
      <c r="V122">
        <f>U122/12</f>
        <v>86.8833333333333</v>
      </c>
      <c r="W122">
        <f t="shared" si="10"/>
        <v>24915.8166666667</v>
      </c>
      <c r="X122">
        <f t="shared" si="11"/>
        <v>0.138522563819324</v>
      </c>
      <c r="AH122" t="str">
        <f t="shared" si="13"/>
        <v>1st Quality</v>
      </c>
      <c r="AJ122">
        <f>((T122-X122)*2)/14.8</f>
        <v>335.684295287634</v>
      </c>
      <c r="AK122">
        <f t="shared" si="12"/>
        <v>3495272.64692308</v>
      </c>
    </row>
    <row r="123" spans="1:37">
      <c r="A123" t="s">
        <v>186</v>
      </c>
      <c r="B123">
        <v>33</v>
      </c>
      <c r="C123" t="s">
        <v>44</v>
      </c>
      <c r="D123" t="s">
        <v>51</v>
      </c>
      <c r="E123">
        <v>1305</v>
      </c>
      <c r="F123">
        <v>42</v>
      </c>
      <c r="G123">
        <v>4</v>
      </c>
      <c r="H123">
        <v>5501.52</v>
      </c>
      <c r="I123">
        <v>23474.72</v>
      </c>
      <c r="J123">
        <v>37</v>
      </c>
      <c r="K123">
        <v>1</v>
      </c>
      <c r="L123">
        <v>6.8</v>
      </c>
      <c r="M123">
        <v>47.6</v>
      </c>
      <c r="N123" t="s">
        <v>52</v>
      </c>
      <c r="O123" t="s">
        <v>47</v>
      </c>
      <c r="P123" t="s">
        <v>66</v>
      </c>
      <c r="R123">
        <f>SUMIF(A123:A5122,"C00122",I123:I5122)</f>
        <v>23474.72</v>
      </c>
      <c r="S123" s="1">
        <v>23474.72</v>
      </c>
      <c r="T123">
        <f t="shared" si="8"/>
        <v>634.451891891892</v>
      </c>
      <c r="U123">
        <f t="shared" si="9"/>
        <v>1761.2</v>
      </c>
      <c r="V123">
        <f>U123*1</f>
        <v>1761.2</v>
      </c>
      <c r="W123">
        <f t="shared" si="10"/>
        <v>9659.08</v>
      </c>
      <c r="X123">
        <f t="shared" si="11"/>
        <v>0.237207171836147</v>
      </c>
      <c r="AH123" t="str">
        <f t="shared" si="13"/>
        <v>2nd Quality</v>
      </c>
      <c r="AJ123">
        <f>((T123-X123)*2)/6.8</f>
        <v>186.533730800016</v>
      </c>
      <c r="AK123">
        <f t="shared" si="12"/>
        <v>827959.718918919</v>
      </c>
    </row>
    <row r="124" spans="1:37">
      <c r="A124" t="s">
        <v>187</v>
      </c>
      <c r="B124">
        <v>47</v>
      </c>
      <c r="C124" t="s">
        <v>56</v>
      </c>
      <c r="D124" t="s">
        <v>60</v>
      </c>
      <c r="E124">
        <v>1281</v>
      </c>
      <c r="F124">
        <v>8</v>
      </c>
      <c r="G124">
        <v>27</v>
      </c>
      <c r="H124">
        <v>2843.33</v>
      </c>
      <c r="I124">
        <v>82201.22</v>
      </c>
      <c r="J124">
        <v>201</v>
      </c>
      <c r="K124">
        <v>4</v>
      </c>
      <c r="L124">
        <v>13.8</v>
      </c>
      <c r="M124">
        <v>39.3</v>
      </c>
      <c r="N124" t="s">
        <v>46</v>
      </c>
      <c r="O124" t="s">
        <v>47</v>
      </c>
      <c r="P124" t="s">
        <v>58</v>
      </c>
      <c r="R124">
        <f>SUMIF(A124:A5123,"C00123",I124:I5123)</f>
        <v>82201.22</v>
      </c>
      <c r="S124" s="1">
        <v>82201.22</v>
      </c>
      <c r="T124">
        <f t="shared" si="8"/>
        <v>408.961293532338</v>
      </c>
      <c r="U124">
        <f t="shared" si="9"/>
        <v>7899.3</v>
      </c>
      <c r="V124">
        <f>U124*4</f>
        <v>31597.2</v>
      </c>
      <c r="W124">
        <f t="shared" si="10"/>
        <v>28348.5166666667</v>
      </c>
      <c r="X124">
        <f t="shared" si="11"/>
        <v>0.450528077993057</v>
      </c>
      <c r="AH124" t="str">
        <f t="shared" si="13"/>
        <v>3rd Quality</v>
      </c>
      <c r="AJ124">
        <f>((T124-X124)*2)/13.8</f>
        <v>59.2044587614993</v>
      </c>
      <c r="AK124">
        <f t="shared" si="12"/>
        <v>523879.417014925</v>
      </c>
    </row>
    <row r="125" spans="1:37">
      <c r="A125" t="s">
        <v>188</v>
      </c>
      <c r="B125">
        <v>27</v>
      </c>
      <c r="C125" t="s">
        <v>50</v>
      </c>
      <c r="D125" t="s">
        <v>45</v>
      </c>
      <c r="E125">
        <v>968</v>
      </c>
      <c r="F125">
        <v>66</v>
      </c>
      <c r="G125">
        <v>6</v>
      </c>
      <c r="H125">
        <v>1610.41</v>
      </c>
      <c r="I125">
        <v>8881.52</v>
      </c>
      <c r="J125">
        <v>32</v>
      </c>
      <c r="K125">
        <v>1</v>
      </c>
      <c r="L125">
        <v>8.6</v>
      </c>
      <c r="M125">
        <v>22.8</v>
      </c>
      <c r="N125" t="s">
        <v>78</v>
      </c>
      <c r="O125" t="s">
        <v>47</v>
      </c>
      <c r="P125" t="s">
        <v>58</v>
      </c>
      <c r="R125">
        <f>SUMIF(A125:A5124,"C00124",I125:I5124)</f>
        <v>8881.52</v>
      </c>
      <c r="S125" s="1">
        <v>8881.52</v>
      </c>
      <c r="T125">
        <f t="shared" si="8"/>
        <v>277.5475</v>
      </c>
      <c r="U125">
        <f t="shared" si="9"/>
        <v>729.6</v>
      </c>
      <c r="V125">
        <f>U125*1</f>
        <v>729.6</v>
      </c>
      <c r="W125">
        <f t="shared" si="10"/>
        <v>3497.64333333333</v>
      </c>
      <c r="X125">
        <f t="shared" si="11"/>
        <v>0.601089163629138</v>
      </c>
      <c r="AH125" t="str">
        <f t="shared" si="13"/>
        <v>3rd Quality</v>
      </c>
      <c r="AJ125">
        <f>((T125-X125)*2)/8.6</f>
        <v>64.40614205497</v>
      </c>
      <c r="AK125">
        <f t="shared" si="12"/>
        <v>268665.98</v>
      </c>
    </row>
    <row r="126" spans="1:37">
      <c r="A126" t="s">
        <v>189</v>
      </c>
      <c r="B126">
        <v>32</v>
      </c>
      <c r="C126" t="s">
        <v>50</v>
      </c>
      <c r="D126" t="s">
        <v>60</v>
      </c>
      <c r="E126">
        <v>408</v>
      </c>
      <c r="F126">
        <v>10</v>
      </c>
      <c r="G126">
        <v>18</v>
      </c>
      <c r="H126">
        <v>4993.74</v>
      </c>
      <c r="I126">
        <v>84643.47</v>
      </c>
      <c r="J126">
        <v>156</v>
      </c>
      <c r="K126">
        <v>2</v>
      </c>
      <c r="L126">
        <v>20.4</v>
      </c>
      <c r="M126">
        <v>16.6</v>
      </c>
      <c r="N126" t="s">
        <v>57</v>
      </c>
      <c r="O126" t="s">
        <v>47</v>
      </c>
      <c r="P126" t="s">
        <v>58</v>
      </c>
      <c r="R126">
        <f>SUMIF(A126:A5125,"C00125",I126:I5125)</f>
        <v>84643.47</v>
      </c>
      <c r="S126" s="1">
        <v>84643.47</v>
      </c>
      <c r="T126">
        <f t="shared" si="8"/>
        <v>542.586346153846</v>
      </c>
      <c r="U126">
        <f t="shared" si="9"/>
        <v>2589.6</v>
      </c>
      <c r="V126">
        <f>U126*2</f>
        <v>5179.2</v>
      </c>
      <c r="W126">
        <f t="shared" si="10"/>
        <v>29879.4033333333</v>
      </c>
      <c r="X126">
        <f t="shared" si="11"/>
        <v>0.0817022912686684</v>
      </c>
      <c r="AH126" t="str">
        <f t="shared" si="13"/>
        <v>3rd Quality</v>
      </c>
      <c r="AJ126">
        <f>((T126-X126)*2)/20.4</f>
        <v>53.1867297904488</v>
      </c>
      <c r="AK126">
        <f t="shared" si="12"/>
        <v>221375.229230769</v>
      </c>
    </row>
    <row r="127" spans="1:37">
      <c r="A127" t="s">
        <v>190</v>
      </c>
      <c r="B127">
        <v>27</v>
      </c>
      <c r="C127" t="s">
        <v>50</v>
      </c>
      <c r="D127" t="s">
        <v>60</v>
      </c>
      <c r="E127">
        <v>1090</v>
      </c>
      <c r="F127">
        <v>31</v>
      </c>
      <c r="G127">
        <v>2</v>
      </c>
      <c r="H127">
        <v>5283.38</v>
      </c>
      <c r="I127">
        <v>11286.2</v>
      </c>
      <c r="J127">
        <v>19</v>
      </c>
      <c r="K127">
        <v>1</v>
      </c>
      <c r="L127">
        <v>9.1</v>
      </c>
      <c r="M127">
        <v>44.6</v>
      </c>
      <c r="N127" t="s">
        <v>81</v>
      </c>
      <c r="O127" t="s">
        <v>47</v>
      </c>
      <c r="P127" t="s">
        <v>58</v>
      </c>
      <c r="R127">
        <f>SUMIF(A127:A5126,"C00126",I127:I5126)</f>
        <v>11286.2</v>
      </c>
      <c r="S127" s="1">
        <v>11286.2</v>
      </c>
      <c r="T127">
        <f t="shared" si="8"/>
        <v>594.01052631579</v>
      </c>
      <c r="U127">
        <f t="shared" si="9"/>
        <v>847.4</v>
      </c>
      <c r="V127">
        <f>U127*1</f>
        <v>847.4</v>
      </c>
      <c r="W127">
        <f t="shared" si="10"/>
        <v>5523.52666666667</v>
      </c>
      <c r="X127">
        <f t="shared" si="11"/>
        <v>0.206307325992073</v>
      </c>
      <c r="AH127" t="str">
        <f t="shared" si="13"/>
        <v>3rd Quality</v>
      </c>
      <c r="AJ127">
        <f>((T127-X127)*2)/9.1</f>
        <v>130.506421756</v>
      </c>
      <c r="AK127">
        <f t="shared" si="12"/>
        <v>647471.473684211</v>
      </c>
    </row>
    <row r="128" spans="1:37">
      <c r="A128" t="s">
        <v>191</v>
      </c>
      <c r="B128">
        <v>40</v>
      </c>
      <c r="C128" t="s">
        <v>44</v>
      </c>
      <c r="D128" t="s">
        <v>45</v>
      </c>
      <c r="E128">
        <v>859</v>
      </c>
      <c r="F128">
        <v>34</v>
      </c>
      <c r="G128">
        <v>10</v>
      </c>
      <c r="H128">
        <v>1401.8</v>
      </c>
      <c r="I128">
        <v>12831.57</v>
      </c>
      <c r="J128">
        <v>50</v>
      </c>
      <c r="K128">
        <v>0</v>
      </c>
      <c r="L128">
        <v>35</v>
      </c>
      <c r="M128">
        <v>18.8</v>
      </c>
      <c r="N128" t="s">
        <v>57</v>
      </c>
      <c r="O128" t="s">
        <v>47</v>
      </c>
      <c r="P128" t="s">
        <v>54</v>
      </c>
      <c r="R128">
        <f>SUMIF(A128:A5127,"C00127",I128:I5127)</f>
        <v>12831.57</v>
      </c>
      <c r="S128" s="1">
        <v>12831.57</v>
      </c>
      <c r="T128">
        <f t="shared" si="8"/>
        <v>256.6314</v>
      </c>
      <c r="U128">
        <f t="shared" si="9"/>
        <v>940</v>
      </c>
      <c r="V128">
        <f>U128/12</f>
        <v>78.3333333333333</v>
      </c>
      <c r="W128">
        <f t="shared" si="10"/>
        <v>4744.79</v>
      </c>
      <c r="X128">
        <f t="shared" si="11"/>
        <v>0.612783563989157</v>
      </c>
      <c r="AH128" t="str">
        <f t="shared" si="13"/>
        <v>3rd Quality</v>
      </c>
      <c r="AJ128">
        <f>((T128-X128)*2)/35</f>
        <v>14.6296352249149</v>
      </c>
      <c r="AK128">
        <f t="shared" si="12"/>
        <v>220446.3726</v>
      </c>
    </row>
    <row r="129" spans="1:37">
      <c r="A129" t="s">
        <v>192</v>
      </c>
      <c r="B129">
        <v>36</v>
      </c>
      <c r="C129" t="s">
        <v>56</v>
      </c>
      <c r="D129" t="s">
        <v>60</v>
      </c>
      <c r="E129">
        <v>630</v>
      </c>
      <c r="F129">
        <v>17</v>
      </c>
      <c r="G129">
        <v>32</v>
      </c>
      <c r="H129">
        <v>3118.09</v>
      </c>
      <c r="I129">
        <v>90773.9</v>
      </c>
      <c r="J129">
        <v>136</v>
      </c>
      <c r="K129">
        <v>0</v>
      </c>
      <c r="L129">
        <v>16.8</v>
      </c>
      <c r="M129">
        <v>64.6</v>
      </c>
      <c r="N129" t="s">
        <v>81</v>
      </c>
      <c r="O129" t="s">
        <v>47</v>
      </c>
      <c r="P129" t="s">
        <v>66</v>
      </c>
      <c r="R129">
        <f>SUMIF(A129:A5128,"C00128",I129:I5128)</f>
        <v>90773.9</v>
      </c>
      <c r="S129" s="1">
        <v>90773.9</v>
      </c>
      <c r="T129">
        <f t="shared" si="8"/>
        <v>667.455147058824</v>
      </c>
      <c r="U129">
        <f t="shared" si="9"/>
        <v>8785.6</v>
      </c>
      <c r="V129">
        <f>U129/12</f>
        <v>732.133333333333</v>
      </c>
      <c r="W129">
        <f t="shared" si="10"/>
        <v>31297.6633333333</v>
      </c>
      <c r="X129">
        <f t="shared" si="11"/>
        <v>0.202046765808556</v>
      </c>
      <c r="AH129" t="str">
        <f t="shared" si="13"/>
        <v>2nd Quality</v>
      </c>
      <c r="AJ129">
        <f>((T129-X129)*2)/16.8</f>
        <v>79.4348928920256</v>
      </c>
      <c r="AK129">
        <f t="shared" si="12"/>
        <v>420496.742647059</v>
      </c>
    </row>
    <row r="130" spans="1:37">
      <c r="A130" t="s">
        <v>193</v>
      </c>
      <c r="B130">
        <v>65</v>
      </c>
      <c r="C130" t="s">
        <v>50</v>
      </c>
      <c r="D130" t="s">
        <v>60</v>
      </c>
      <c r="E130">
        <v>1138</v>
      </c>
      <c r="F130">
        <v>7</v>
      </c>
      <c r="G130">
        <v>26</v>
      </c>
      <c r="H130">
        <v>3245.93</v>
      </c>
      <c r="I130">
        <v>94055.9</v>
      </c>
      <c r="J130">
        <v>59</v>
      </c>
      <c r="K130">
        <v>1</v>
      </c>
      <c r="L130">
        <v>0</v>
      </c>
      <c r="M130">
        <v>17.7</v>
      </c>
      <c r="N130" t="s">
        <v>78</v>
      </c>
      <c r="O130" t="s">
        <v>75</v>
      </c>
      <c r="P130" t="s">
        <v>58</v>
      </c>
      <c r="R130">
        <f>SUMIF(A130:A5129,"C00129",I130:I5129)</f>
        <v>94055.9</v>
      </c>
      <c r="S130" s="1">
        <v>94055.9</v>
      </c>
      <c r="T130">
        <f t="shared" si="8"/>
        <v>1594.16779661017</v>
      </c>
      <c r="U130">
        <f t="shared" si="9"/>
        <v>1044.3</v>
      </c>
      <c r="V130">
        <f>U130*1</f>
        <v>1044.3</v>
      </c>
      <c r="W130">
        <f t="shared" si="10"/>
        <v>32434.2766666667</v>
      </c>
      <c r="X130">
        <f t="shared" si="11"/>
        <v>0.350592896334795</v>
      </c>
      <c r="AH130" t="str">
        <f t="shared" si="13"/>
        <v>3rd Quality</v>
      </c>
      <c r="AJ130">
        <f>((T130-X130)*2)</f>
        <v>3187.63440742767</v>
      </c>
      <c r="AK130">
        <f t="shared" si="12"/>
        <v>1814162.95254237</v>
      </c>
    </row>
    <row r="131" spans="1:37">
      <c r="A131" t="s">
        <v>194</v>
      </c>
      <c r="B131">
        <v>37</v>
      </c>
      <c r="C131" t="s">
        <v>44</v>
      </c>
      <c r="D131" t="s">
        <v>45</v>
      </c>
      <c r="E131">
        <v>394</v>
      </c>
      <c r="F131">
        <v>42</v>
      </c>
      <c r="G131">
        <v>4</v>
      </c>
      <c r="H131">
        <v>10025.05</v>
      </c>
      <c r="I131">
        <v>44602.24</v>
      </c>
      <c r="J131">
        <v>27</v>
      </c>
      <c r="K131">
        <v>1</v>
      </c>
      <c r="L131">
        <v>16.7</v>
      </c>
      <c r="M131">
        <v>29.3</v>
      </c>
      <c r="N131" t="s">
        <v>78</v>
      </c>
      <c r="O131" t="s">
        <v>75</v>
      </c>
      <c r="P131" t="s">
        <v>68</v>
      </c>
      <c r="R131">
        <f>SUMIF(A131:A5130,"C00130",I131:I5130)</f>
        <v>44602.24</v>
      </c>
      <c r="S131" s="1">
        <v>44602.24</v>
      </c>
      <c r="T131">
        <f t="shared" ref="T131:T194" si="14">I131/J131</f>
        <v>1651.93481481481</v>
      </c>
      <c r="U131">
        <f t="shared" ref="U131:U194" si="15">J131*M131</f>
        <v>791.1</v>
      </c>
      <c r="V131">
        <f>U131*1</f>
        <v>791.1</v>
      </c>
      <c r="W131">
        <f t="shared" ref="W131:W194" si="16">(H131+I131+1)/3</f>
        <v>18209.43</v>
      </c>
      <c r="X131">
        <f t="shared" ref="X131:X194" si="17">E131/H131</f>
        <v>0.0393015496182064</v>
      </c>
      <c r="AH131" t="str">
        <f t="shared" si="13"/>
        <v>3rd Quality</v>
      </c>
      <c r="AJ131">
        <f>((T131-X131)*2)/16.7</f>
        <v>197.831797995831</v>
      </c>
      <c r="AK131">
        <f t="shared" ref="AK131:AK194" si="18">I131/J131*E131</f>
        <v>650862.317037037</v>
      </c>
    </row>
    <row r="132" spans="1:37">
      <c r="A132" t="s">
        <v>195</v>
      </c>
      <c r="B132">
        <v>39</v>
      </c>
      <c r="C132" t="s">
        <v>56</v>
      </c>
      <c r="D132" t="s">
        <v>60</v>
      </c>
      <c r="E132">
        <v>537</v>
      </c>
      <c r="F132">
        <v>10</v>
      </c>
      <c r="G132">
        <v>29</v>
      </c>
      <c r="H132">
        <v>3161.72</v>
      </c>
      <c r="I132">
        <v>88097.11</v>
      </c>
      <c r="J132">
        <v>68</v>
      </c>
      <c r="K132">
        <v>5</v>
      </c>
      <c r="L132">
        <v>10.3</v>
      </c>
      <c r="M132">
        <v>17.7</v>
      </c>
      <c r="N132" t="s">
        <v>61</v>
      </c>
      <c r="O132" t="s">
        <v>47</v>
      </c>
      <c r="P132" t="s">
        <v>58</v>
      </c>
      <c r="R132">
        <f>SUMIF(A132:A5131,"C00131",I132:I5131)</f>
        <v>88097.11</v>
      </c>
      <c r="S132" s="1">
        <v>88097.11</v>
      </c>
      <c r="T132">
        <f t="shared" si="14"/>
        <v>1295.54573529412</v>
      </c>
      <c r="U132">
        <f t="shared" si="15"/>
        <v>1203.6</v>
      </c>
      <c r="V132">
        <f>U132*5</f>
        <v>6018</v>
      </c>
      <c r="W132">
        <f t="shared" si="16"/>
        <v>30419.9433333333</v>
      </c>
      <c r="X132">
        <f t="shared" si="17"/>
        <v>0.169844261983983</v>
      </c>
      <c r="AH132" t="str">
        <f t="shared" si="13"/>
        <v>2nd Quality</v>
      </c>
      <c r="AJ132">
        <f>((T132-X132)*2)/10.3</f>
        <v>251.529299229541</v>
      </c>
      <c r="AK132">
        <f t="shared" si="18"/>
        <v>695708.059852941</v>
      </c>
    </row>
    <row r="133" spans="1:37">
      <c r="A133" t="s">
        <v>196</v>
      </c>
      <c r="B133">
        <v>42</v>
      </c>
      <c r="C133" t="s">
        <v>50</v>
      </c>
      <c r="D133" t="s">
        <v>45</v>
      </c>
      <c r="E133">
        <v>851</v>
      </c>
      <c r="F133">
        <v>365</v>
      </c>
      <c r="G133">
        <v>1</v>
      </c>
      <c r="H133">
        <v>2885.41</v>
      </c>
      <c r="I133">
        <v>2545.11</v>
      </c>
      <c r="J133">
        <v>4</v>
      </c>
      <c r="K133">
        <v>0</v>
      </c>
      <c r="L133">
        <v>21.5</v>
      </c>
      <c r="M133">
        <v>13.6</v>
      </c>
      <c r="N133" t="s">
        <v>81</v>
      </c>
      <c r="O133" t="s">
        <v>47</v>
      </c>
      <c r="P133" t="s">
        <v>68</v>
      </c>
      <c r="R133">
        <f>SUMIF(A133:A5132,"C00132",I133:I5132)</f>
        <v>2545.11</v>
      </c>
      <c r="S133" s="1">
        <v>2545.11</v>
      </c>
      <c r="T133">
        <f t="shared" si="14"/>
        <v>636.2775</v>
      </c>
      <c r="U133">
        <f t="shared" si="15"/>
        <v>54.4</v>
      </c>
      <c r="V133">
        <f t="shared" ref="V131:V194" si="19">U133/12</f>
        <v>4.53333333333333</v>
      </c>
      <c r="W133">
        <f t="shared" si="16"/>
        <v>1810.50666666667</v>
      </c>
      <c r="X133">
        <f t="shared" si="17"/>
        <v>0.294932089373781</v>
      </c>
      <c r="AH133" t="str">
        <f t="shared" si="13"/>
        <v>3rd Quality</v>
      </c>
      <c r="AJ133">
        <f>((T133-X133)*2)/21.5</f>
        <v>59.1611691079652</v>
      </c>
      <c r="AK133">
        <f t="shared" si="18"/>
        <v>541472.1525</v>
      </c>
    </row>
    <row r="134" spans="1:37">
      <c r="A134" t="s">
        <v>197</v>
      </c>
      <c r="B134">
        <v>18</v>
      </c>
      <c r="C134" t="s">
        <v>50</v>
      </c>
      <c r="D134" t="s">
        <v>60</v>
      </c>
      <c r="E134">
        <v>569</v>
      </c>
      <c r="F134">
        <v>22</v>
      </c>
      <c r="G134">
        <v>2</v>
      </c>
      <c r="H134">
        <v>15241.33</v>
      </c>
      <c r="I134">
        <v>29738.25</v>
      </c>
      <c r="J134">
        <v>20</v>
      </c>
      <c r="K134">
        <v>0</v>
      </c>
      <c r="L134">
        <v>9.8</v>
      </c>
      <c r="M134">
        <v>10</v>
      </c>
      <c r="N134" t="s">
        <v>46</v>
      </c>
      <c r="O134" t="s">
        <v>75</v>
      </c>
      <c r="P134" t="s">
        <v>58</v>
      </c>
      <c r="R134">
        <f>SUMIF(A134:A5133,"C00133",I134:I5133)</f>
        <v>29738.25</v>
      </c>
      <c r="S134" s="1">
        <v>29738.25</v>
      </c>
      <c r="T134">
        <f t="shared" si="14"/>
        <v>1486.9125</v>
      </c>
      <c r="U134">
        <f t="shared" si="15"/>
        <v>200</v>
      </c>
      <c r="V134">
        <f t="shared" si="19"/>
        <v>16.6666666666667</v>
      </c>
      <c r="W134">
        <f t="shared" si="16"/>
        <v>14993.5266666667</v>
      </c>
      <c r="X134">
        <f t="shared" si="17"/>
        <v>0.037332699967785</v>
      </c>
      <c r="AH134" t="str">
        <f t="shared" si="13"/>
        <v>2nd Quality</v>
      </c>
      <c r="AJ134">
        <f>((T134-X134)*2)/9.8</f>
        <v>303.443911693884</v>
      </c>
      <c r="AK134">
        <f t="shared" si="18"/>
        <v>846053.2125</v>
      </c>
    </row>
    <row r="135" spans="1:37">
      <c r="A135" t="s">
        <v>198</v>
      </c>
      <c r="B135">
        <v>24</v>
      </c>
      <c r="C135" t="s">
        <v>44</v>
      </c>
      <c r="D135" t="s">
        <v>45</v>
      </c>
      <c r="E135">
        <v>1100</v>
      </c>
      <c r="F135">
        <v>67</v>
      </c>
      <c r="G135">
        <v>14</v>
      </c>
      <c r="H135">
        <v>3048.21</v>
      </c>
      <c r="I135">
        <v>37818.94</v>
      </c>
      <c r="J135">
        <v>49</v>
      </c>
      <c r="K135">
        <v>0</v>
      </c>
      <c r="L135">
        <v>21.3</v>
      </c>
      <c r="M135">
        <v>47</v>
      </c>
      <c r="N135" t="s">
        <v>61</v>
      </c>
      <c r="O135" t="s">
        <v>47</v>
      </c>
      <c r="P135" t="s">
        <v>54</v>
      </c>
      <c r="R135">
        <f>SUMIF(A135:A5134,"C00134",I135:I5134)</f>
        <v>37818.94</v>
      </c>
      <c r="S135" s="1">
        <v>37818.94</v>
      </c>
      <c r="T135">
        <f t="shared" si="14"/>
        <v>771.815102040816</v>
      </c>
      <c r="U135">
        <f t="shared" si="15"/>
        <v>2303</v>
      </c>
      <c r="V135">
        <f t="shared" si="19"/>
        <v>191.916666666667</v>
      </c>
      <c r="W135">
        <f t="shared" si="16"/>
        <v>13622.7166666667</v>
      </c>
      <c r="X135">
        <f t="shared" si="17"/>
        <v>0.360867525531377</v>
      </c>
      <c r="AH135" t="str">
        <f t="shared" si="13"/>
        <v>1st Quality</v>
      </c>
      <c r="AJ135">
        <f>((T135-X135)*2)/21.3</f>
        <v>72.4370173253788</v>
      </c>
      <c r="AK135">
        <f t="shared" si="18"/>
        <v>848996.612244898</v>
      </c>
    </row>
    <row r="136" spans="1:37">
      <c r="A136" t="s">
        <v>199</v>
      </c>
      <c r="B136">
        <v>38</v>
      </c>
      <c r="C136" t="s">
        <v>50</v>
      </c>
      <c r="D136" t="s">
        <v>45</v>
      </c>
      <c r="E136">
        <v>1241</v>
      </c>
      <c r="F136">
        <v>36</v>
      </c>
      <c r="G136">
        <v>4</v>
      </c>
      <c r="H136">
        <v>9461.91</v>
      </c>
      <c r="I136">
        <v>34608.74</v>
      </c>
      <c r="J136">
        <v>27</v>
      </c>
      <c r="K136">
        <v>1</v>
      </c>
      <c r="L136">
        <v>3.2</v>
      </c>
      <c r="M136">
        <v>72.4</v>
      </c>
      <c r="N136" t="s">
        <v>81</v>
      </c>
      <c r="O136" t="s">
        <v>47</v>
      </c>
      <c r="P136" t="s">
        <v>68</v>
      </c>
      <c r="R136">
        <f>SUMIF(A136:A5135,"C00135",I136:I5135)</f>
        <v>34608.74</v>
      </c>
      <c r="S136" s="1">
        <v>34608.74</v>
      </c>
      <c r="T136">
        <f t="shared" si="14"/>
        <v>1281.80518518519</v>
      </c>
      <c r="U136">
        <f t="shared" si="15"/>
        <v>1954.8</v>
      </c>
      <c r="V136">
        <f>U136*1</f>
        <v>1954.8</v>
      </c>
      <c r="W136">
        <f t="shared" si="16"/>
        <v>14690.55</v>
      </c>
      <c r="X136">
        <f t="shared" si="17"/>
        <v>0.131157451296831</v>
      </c>
      <c r="AH136" t="str">
        <f t="shared" si="13"/>
        <v>2nd Quality</v>
      </c>
      <c r="AJ136">
        <f>((T136-X136)*2)/3.2</f>
        <v>801.046267333683</v>
      </c>
      <c r="AK136">
        <f t="shared" si="18"/>
        <v>1590720.23481481</v>
      </c>
    </row>
    <row r="137" spans="1:37">
      <c r="A137" t="s">
        <v>200</v>
      </c>
      <c r="B137">
        <v>50</v>
      </c>
      <c r="C137" t="s">
        <v>44</v>
      </c>
      <c r="D137" t="s">
        <v>51</v>
      </c>
      <c r="E137">
        <v>1111</v>
      </c>
      <c r="F137">
        <v>23</v>
      </c>
      <c r="G137">
        <v>20</v>
      </c>
      <c r="H137">
        <v>2737.62</v>
      </c>
      <c r="I137">
        <v>51127.1</v>
      </c>
      <c r="J137">
        <v>106</v>
      </c>
      <c r="K137">
        <v>0</v>
      </c>
      <c r="L137">
        <v>13.9</v>
      </c>
      <c r="M137">
        <v>20.4</v>
      </c>
      <c r="N137" t="s">
        <v>52</v>
      </c>
      <c r="O137" t="s">
        <v>75</v>
      </c>
      <c r="P137" t="s">
        <v>68</v>
      </c>
      <c r="R137">
        <f>SUMIF(A137:A5136,"C00136",I137:I5136)</f>
        <v>51127.1</v>
      </c>
      <c r="S137" s="1">
        <v>51127.1</v>
      </c>
      <c r="T137">
        <f t="shared" si="14"/>
        <v>482.331132075472</v>
      </c>
      <c r="U137">
        <f t="shared" si="15"/>
        <v>2162.4</v>
      </c>
      <c r="V137">
        <f t="shared" si="19"/>
        <v>180.2</v>
      </c>
      <c r="W137">
        <f t="shared" si="16"/>
        <v>17955.24</v>
      </c>
      <c r="X137">
        <f t="shared" si="17"/>
        <v>0.405826959183524</v>
      </c>
      <c r="AH137" t="str">
        <f t="shared" si="13"/>
        <v>3rd Quality</v>
      </c>
      <c r="AJ137">
        <f>((T137-X137)*2)/13.9</f>
        <v>69.3417705203293</v>
      </c>
      <c r="AK137">
        <f t="shared" si="18"/>
        <v>535869.887735849</v>
      </c>
    </row>
    <row r="138" spans="1:37">
      <c r="A138" t="s">
        <v>201</v>
      </c>
      <c r="B138">
        <v>30</v>
      </c>
      <c r="C138" t="s">
        <v>50</v>
      </c>
      <c r="D138" t="s">
        <v>51</v>
      </c>
      <c r="E138">
        <v>509</v>
      </c>
      <c r="F138">
        <v>217</v>
      </c>
      <c r="G138">
        <v>2</v>
      </c>
      <c r="H138">
        <v>1176.89</v>
      </c>
      <c r="I138">
        <v>2545.41</v>
      </c>
      <c r="J138">
        <v>18</v>
      </c>
      <c r="K138">
        <v>0</v>
      </c>
      <c r="L138">
        <v>11.2</v>
      </c>
      <c r="M138">
        <v>45.8</v>
      </c>
      <c r="N138" t="s">
        <v>61</v>
      </c>
      <c r="O138" t="s">
        <v>47</v>
      </c>
      <c r="P138" t="s">
        <v>66</v>
      </c>
      <c r="R138">
        <f>SUMIF(A138:A5137,"C00137",I138:I5137)</f>
        <v>2545.41</v>
      </c>
      <c r="S138" s="1">
        <v>2545.41</v>
      </c>
      <c r="T138">
        <f t="shared" si="14"/>
        <v>141.411666666667</v>
      </c>
      <c r="U138">
        <f t="shared" si="15"/>
        <v>824.4</v>
      </c>
      <c r="V138">
        <f t="shared" si="19"/>
        <v>68.7</v>
      </c>
      <c r="W138">
        <f t="shared" si="16"/>
        <v>1241.1</v>
      </c>
      <c r="X138">
        <f t="shared" si="17"/>
        <v>0.432495815241866</v>
      </c>
      <c r="AH138" t="str">
        <f t="shared" si="13"/>
        <v>3rd Quality</v>
      </c>
      <c r="AJ138">
        <f>((T138-X138)*2)/11.2</f>
        <v>25.1748519377545</v>
      </c>
      <c r="AK138">
        <f t="shared" si="18"/>
        <v>71978.5383333333</v>
      </c>
    </row>
    <row r="139" spans="1:37">
      <c r="A139" t="s">
        <v>202</v>
      </c>
      <c r="B139">
        <v>31</v>
      </c>
      <c r="C139" t="s">
        <v>44</v>
      </c>
      <c r="D139" t="s">
        <v>45</v>
      </c>
      <c r="E139">
        <v>1029</v>
      </c>
      <c r="F139">
        <v>24</v>
      </c>
      <c r="G139">
        <v>9</v>
      </c>
      <c r="H139">
        <v>1108.18</v>
      </c>
      <c r="I139">
        <v>9675.13</v>
      </c>
      <c r="J139">
        <v>25</v>
      </c>
      <c r="K139">
        <v>0</v>
      </c>
      <c r="L139">
        <v>22.2</v>
      </c>
      <c r="M139">
        <v>37</v>
      </c>
      <c r="N139" t="s">
        <v>52</v>
      </c>
      <c r="O139" t="s">
        <v>75</v>
      </c>
      <c r="P139" t="s">
        <v>48</v>
      </c>
      <c r="R139">
        <f>SUMIF(A139:A5138,"C00138",I139:I5138)</f>
        <v>9675.13</v>
      </c>
      <c r="S139" s="1">
        <v>9675.13</v>
      </c>
      <c r="T139">
        <f t="shared" si="14"/>
        <v>387.0052</v>
      </c>
      <c r="U139">
        <f t="shared" si="15"/>
        <v>925</v>
      </c>
      <c r="V139">
        <f t="shared" si="19"/>
        <v>77.0833333333333</v>
      </c>
      <c r="W139">
        <f t="shared" si="16"/>
        <v>3594.77</v>
      </c>
      <c r="X139">
        <f t="shared" si="17"/>
        <v>0.928549513616921</v>
      </c>
      <c r="AH139" t="str">
        <f t="shared" si="13"/>
        <v>3rd Quality</v>
      </c>
      <c r="AJ139">
        <f>((T139-X139)*2)/22.2</f>
        <v>34.7816802239985</v>
      </c>
      <c r="AK139">
        <f t="shared" si="18"/>
        <v>398228.3508</v>
      </c>
    </row>
    <row r="140" spans="1:37">
      <c r="A140" t="s">
        <v>203</v>
      </c>
      <c r="B140">
        <v>28</v>
      </c>
      <c r="C140" t="s">
        <v>50</v>
      </c>
      <c r="D140" t="s">
        <v>60</v>
      </c>
      <c r="E140">
        <v>1393</v>
      </c>
      <c r="F140">
        <v>63</v>
      </c>
      <c r="G140">
        <v>1</v>
      </c>
      <c r="H140">
        <v>1115.18</v>
      </c>
      <c r="I140">
        <v>983.56</v>
      </c>
      <c r="J140">
        <v>10</v>
      </c>
      <c r="K140">
        <v>0</v>
      </c>
      <c r="L140">
        <v>38.8</v>
      </c>
      <c r="M140">
        <v>16.4</v>
      </c>
      <c r="N140" t="s">
        <v>63</v>
      </c>
      <c r="O140" t="s">
        <v>47</v>
      </c>
      <c r="P140" t="s">
        <v>68</v>
      </c>
      <c r="R140">
        <f>SUMIF(A140:A5139,"C00139",I140:I5139)</f>
        <v>983.56</v>
      </c>
      <c r="S140" s="1">
        <v>983.56</v>
      </c>
      <c r="T140">
        <f t="shared" si="14"/>
        <v>98.356</v>
      </c>
      <c r="U140">
        <f t="shared" si="15"/>
        <v>164</v>
      </c>
      <c r="V140">
        <f t="shared" si="19"/>
        <v>13.6666666666667</v>
      </c>
      <c r="W140">
        <f t="shared" si="16"/>
        <v>699.913333333333</v>
      </c>
      <c r="X140">
        <f t="shared" si="17"/>
        <v>1.24912570168045</v>
      </c>
      <c r="AH140" t="str">
        <f t="shared" si="13"/>
        <v>3rd Quality</v>
      </c>
      <c r="AJ140">
        <f>((T140-X140)*2)/38.8</f>
        <v>5.00550898444946</v>
      </c>
      <c r="AK140">
        <f t="shared" si="18"/>
        <v>137009.908</v>
      </c>
    </row>
    <row r="141" spans="1:37">
      <c r="A141" t="s">
        <v>204</v>
      </c>
      <c r="B141">
        <v>37</v>
      </c>
      <c r="C141" t="s">
        <v>44</v>
      </c>
      <c r="D141" t="s">
        <v>60</v>
      </c>
      <c r="E141">
        <v>1379</v>
      </c>
      <c r="F141">
        <v>11</v>
      </c>
      <c r="G141">
        <v>25</v>
      </c>
      <c r="H141">
        <v>4451.27</v>
      </c>
      <c r="I141">
        <v>114937.41</v>
      </c>
      <c r="J141">
        <v>187</v>
      </c>
      <c r="K141">
        <v>2</v>
      </c>
      <c r="L141">
        <v>0.5</v>
      </c>
      <c r="M141">
        <v>30</v>
      </c>
      <c r="N141" t="s">
        <v>46</v>
      </c>
      <c r="O141" t="s">
        <v>47</v>
      </c>
      <c r="P141" t="s">
        <v>58</v>
      </c>
      <c r="R141">
        <f>SUMIF(A141:A5140,"C00140",I141:I5140)</f>
        <v>114937.41</v>
      </c>
      <c r="S141" s="1">
        <v>114937.41</v>
      </c>
      <c r="T141">
        <f t="shared" si="14"/>
        <v>614.638556149733</v>
      </c>
      <c r="U141">
        <f t="shared" si="15"/>
        <v>5610</v>
      </c>
      <c r="V141">
        <f>U141*2</f>
        <v>11220</v>
      </c>
      <c r="W141">
        <f t="shared" si="16"/>
        <v>39796.56</v>
      </c>
      <c r="X141">
        <f t="shared" si="17"/>
        <v>0.309799225838918</v>
      </c>
      <c r="AH141" t="str">
        <f t="shared" si="13"/>
        <v>2nd Quality</v>
      </c>
      <c r="AJ141">
        <f>((T141-X141)*2)/0.5</f>
        <v>2457.31502769558</v>
      </c>
      <c r="AK141">
        <f t="shared" si="18"/>
        <v>847586.568930481</v>
      </c>
    </row>
    <row r="142" spans="1:37">
      <c r="A142" t="s">
        <v>205</v>
      </c>
      <c r="B142">
        <v>51</v>
      </c>
      <c r="C142" t="s">
        <v>44</v>
      </c>
      <c r="D142" t="s">
        <v>45</v>
      </c>
      <c r="E142">
        <v>547</v>
      </c>
      <c r="F142">
        <v>35</v>
      </c>
      <c r="G142">
        <v>12</v>
      </c>
      <c r="H142">
        <v>1745.08</v>
      </c>
      <c r="I142">
        <v>18783.02</v>
      </c>
      <c r="J142">
        <v>93</v>
      </c>
      <c r="K142">
        <v>1</v>
      </c>
      <c r="L142">
        <v>20.6</v>
      </c>
      <c r="M142">
        <v>52.6</v>
      </c>
      <c r="N142" t="s">
        <v>61</v>
      </c>
      <c r="O142" t="s">
        <v>47</v>
      </c>
      <c r="P142" t="s">
        <v>54</v>
      </c>
      <c r="R142">
        <f>SUMIF(A142:A5141,"C00141",I142:I5141)</f>
        <v>18783.02</v>
      </c>
      <c r="S142" s="1">
        <v>18783.02</v>
      </c>
      <c r="T142">
        <f t="shared" si="14"/>
        <v>201.967956989247</v>
      </c>
      <c r="U142">
        <f t="shared" si="15"/>
        <v>4891.8</v>
      </c>
      <c r="V142">
        <f>U142*1</f>
        <v>4891.8</v>
      </c>
      <c r="W142">
        <f t="shared" si="16"/>
        <v>6843.03333333333</v>
      </c>
      <c r="X142">
        <f t="shared" si="17"/>
        <v>0.313452678387237</v>
      </c>
      <c r="AH142" t="str">
        <f t="shared" ref="AH142:AH205" si="20">IF(AND(W142&gt;=12550,B142&lt;=33,E142&gt;=915),"1st Quality",IF(AND(W142&gt;=6275,B142&lt;=43,E142&gt;=457),"2nd Quality","3rd Quality"))</f>
        <v>3rd Quality</v>
      </c>
      <c r="AJ142">
        <f>((T142-X142)*2)/20.6</f>
        <v>19.5781072146466</v>
      </c>
      <c r="AK142">
        <f t="shared" si="18"/>
        <v>110476.472473118</v>
      </c>
    </row>
    <row r="143" spans="1:37">
      <c r="A143" t="s">
        <v>206</v>
      </c>
      <c r="B143">
        <v>29</v>
      </c>
      <c r="C143" t="s">
        <v>44</v>
      </c>
      <c r="D143" t="s">
        <v>60</v>
      </c>
      <c r="E143">
        <v>598</v>
      </c>
      <c r="F143">
        <v>21</v>
      </c>
      <c r="G143">
        <v>2</v>
      </c>
      <c r="H143">
        <v>7380.15</v>
      </c>
      <c r="I143">
        <v>16156.4</v>
      </c>
      <c r="J143">
        <v>17</v>
      </c>
      <c r="K143">
        <v>0</v>
      </c>
      <c r="L143">
        <v>14.2</v>
      </c>
      <c r="M143">
        <v>23.5</v>
      </c>
      <c r="N143" t="s">
        <v>57</v>
      </c>
      <c r="O143" t="s">
        <v>47</v>
      </c>
      <c r="P143" t="s">
        <v>58</v>
      </c>
      <c r="R143">
        <f>SUMIF(A143:A5142,"C00142",I143:I5142)</f>
        <v>16156.4</v>
      </c>
      <c r="S143" s="1">
        <v>16156.4</v>
      </c>
      <c r="T143">
        <f t="shared" si="14"/>
        <v>950.376470588235</v>
      </c>
      <c r="U143">
        <f t="shared" si="15"/>
        <v>399.5</v>
      </c>
      <c r="V143">
        <f t="shared" si="19"/>
        <v>33.2916666666667</v>
      </c>
      <c r="W143">
        <f t="shared" si="16"/>
        <v>7845.85</v>
      </c>
      <c r="X143">
        <f t="shared" si="17"/>
        <v>0.0810281633842131</v>
      </c>
      <c r="AH143" t="str">
        <f t="shared" si="20"/>
        <v>2nd Quality</v>
      </c>
      <c r="AJ143">
        <f>((T143-X143)*2)/14.2</f>
        <v>133.844428510542</v>
      </c>
      <c r="AK143">
        <f t="shared" si="18"/>
        <v>568325.129411765</v>
      </c>
    </row>
    <row r="144" spans="1:37">
      <c r="A144" t="s">
        <v>207</v>
      </c>
      <c r="B144">
        <v>48</v>
      </c>
      <c r="C144" t="s">
        <v>44</v>
      </c>
      <c r="D144" t="s">
        <v>45</v>
      </c>
      <c r="E144">
        <v>561</v>
      </c>
      <c r="F144">
        <v>244</v>
      </c>
      <c r="G144">
        <v>1</v>
      </c>
      <c r="H144">
        <v>1323.37</v>
      </c>
      <c r="I144">
        <v>1242.49</v>
      </c>
      <c r="J144">
        <v>14</v>
      </c>
      <c r="K144">
        <v>0</v>
      </c>
      <c r="L144">
        <v>11.3</v>
      </c>
      <c r="M144">
        <v>24.7</v>
      </c>
      <c r="N144" t="s">
        <v>57</v>
      </c>
      <c r="O144" t="s">
        <v>47</v>
      </c>
      <c r="P144" t="s">
        <v>54</v>
      </c>
      <c r="R144">
        <f>SUMIF(A144:A5143,"C00143",I144:I5143)</f>
        <v>1242.49</v>
      </c>
      <c r="S144" s="1">
        <v>1242.49</v>
      </c>
      <c r="T144">
        <f t="shared" si="14"/>
        <v>88.7492857142857</v>
      </c>
      <c r="U144">
        <f t="shared" si="15"/>
        <v>345.8</v>
      </c>
      <c r="V144">
        <f t="shared" si="19"/>
        <v>28.8166666666667</v>
      </c>
      <c r="W144">
        <f t="shared" si="16"/>
        <v>855.62</v>
      </c>
      <c r="X144">
        <f t="shared" si="17"/>
        <v>0.423917725201569</v>
      </c>
      <c r="AH144" t="str">
        <f t="shared" si="20"/>
        <v>3rd Quality</v>
      </c>
      <c r="AJ144">
        <f>((T144-X144)*2)/11.3</f>
        <v>15.6328084936432</v>
      </c>
      <c r="AK144">
        <f t="shared" si="18"/>
        <v>49788.3492857143</v>
      </c>
    </row>
    <row r="145" spans="1:37">
      <c r="A145" t="s">
        <v>208</v>
      </c>
      <c r="B145">
        <v>18</v>
      </c>
      <c r="C145" t="s">
        <v>44</v>
      </c>
      <c r="D145" t="s">
        <v>45</v>
      </c>
      <c r="E145">
        <v>657</v>
      </c>
      <c r="F145">
        <v>1</v>
      </c>
      <c r="G145">
        <v>7</v>
      </c>
      <c r="H145">
        <v>19980.33</v>
      </c>
      <c r="I145">
        <v>131059.08</v>
      </c>
      <c r="J145">
        <v>49</v>
      </c>
      <c r="K145">
        <v>0</v>
      </c>
      <c r="L145">
        <v>0</v>
      </c>
      <c r="M145">
        <v>12.4</v>
      </c>
      <c r="N145" t="s">
        <v>46</v>
      </c>
      <c r="O145" t="s">
        <v>53</v>
      </c>
      <c r="P145" t="s">
        <v>48</v>
      </c>
      <c r="R145">
        <f>SUMIF(A145:A5144,"C00144",I145:I5144)</f>
        <v>131059.08</v>
      </c>
      <c r="S145" s="1">
        <v>131059.08</v>
      </c>
      <c r="T145">
        <f t="shared" si="14"/>
        <v>2674.67510204082</v>
      </c>
      <c r="U145">
        <f t="shared" si="15"/>
        <v>607.6</v>
      </c>
      <c r="V145">
        <f t="shared" si="19"/>
        <v>50.6333333333333</v>
      </c>
      <c r="W145">
        <f t="shared" si="16"/>
        <v>50346.8033333333</v>
      </c>
      <c r="X145">
        <f t="shared" si="17"/>
        <v>0.0328823397811748</v>
      </c>
      <c r="AH145" t="str">
        <f t="shared" si="20"/>
        <v>2nd Quality</v>
      </c>
      <c r="AJ145">
        <f>((T145-X145)*2)</f>
        <v>5349.28443940208</v>
      </c>
      <c r="AK145">
        <f t="shared" si="18"/>
        <v>1757261.54204082</v>
      </c>
    </row>
    <row r="146" spans="1:37">
      <c r="A146" t="s">
        <v>209</v>
      </c>
      <c r="B146">
        <v>44</v>
      </c>
      <c r="C146" t="s">
        <v>50</v>
      </c>
      <c r="D146" t="s">
        <v>51</v>
      </c>
      <c r="E146">
        <v>1359</v>
      </c>
      <c r="F146">
        <v>30</v>
      </c>
      <c r="G146">
        <v>15</v>
      </c>
      <c r="H146">
        <v>984.08</v>
      </c>
      <c r="I146">
        <v>14396.46</v>
      </c>
      <c r="J146">
        <v>98</v>
      </c>
      <c r="K146">
        <v>1</v>
      </c>
      <c r="L146">
        <v>8.1</v>
      </c>
      <c r="M146">
        <v>31</v>
      </c>
      <c r="N146" t="s">
        <v>57</v>
      </c>
      <c r="O146" t="s">
        <v>75</v>
      </c>
      <c r="P146" t="s">
        <v>58</v>
      </c>
      <c r="R146">
        <f>SUMIF(A146:A5145,"C00145",I146:I5145)</f>
        <v>14396.46</v>
      </c>
      <c r="S146" s="1">
        <v>14396.46</v>
      </c>
      <c r="T146">
        <f t="shared" si="14"/>
        <v>146.902653061224</v>
      </c>
      <c r="U146">
        <f t="shared" si="15"/>
        <v>3038</v>
      </c>
      <c r="V146">
        <f>U146*1</f>
        <v>3038</v>
      </c>
      <c r="W146">
        <f t="shared" si="16"/>
        <v>5127.18</v>
      </c>
      <c r="X146">
        <f t="shared" si="17"/>
        <v>1.38098528574913</v>
      </c>
      <c r="AH146" t="str">
        <f t="shared" si="20"/>
        <v>3rd Quality</v>
      </c>
      <c r="AJ146">
        <f>((T146-X146)*2)/8.1</f>
        <v>35.9312759939444</v>
      </c>
      <c r="AK146">
        <f t="shared" si="18"/>
        <v>199640.705510204</v>
      </c>
    </row>
    <row r="147" spans="1:37">
      <c r="A147" t="s">
        <v>210</v>
      </c>
      <c r="B147">
        <v>36</v>
      </c>
      <c r="C147" t="s">
        <v>50</v>
      </c>
      <c r="D147" t="s">
        <v>45</v>
      </c>
      <c r="E147">
        <v>456</v>
      </c>
      <c r="F147">
        <v>35</v>
      </c>
      <c r="G147">
        <v>9</v>
      </c>
      <c r="H147">
        <v>2312.63</v>
      </c>
      <c r="I147">
        <v>18852.75</v>
      </c>
      <c r="J147">
        <v>51</v>
      </c>
      <c r="K147">
        <v>1</v>
      </c>
      <c r="L147">
        <v>18.7</v>
      </c>
      <c r="M147">
        <v>21.5</v>
      </c>
      <c r="N147" t="s">
        <v>46</v>
      </c>
      <c r="O147" t="s">
        <v>75</v>
      </c>
      <c r="P147" t="s">
        <v>58</v>
      </c>
      <c r="R147">
        <f>SUMIF(A147:A5146,"C00146",I147:I5146)</f>
        <v>18852.75</v>
      </c>
      <c r="S147" s="1">
        <v>18852.75</v>
      </c>
      <c r="T147">
        <f t="shared" si="14"/>
        <v>369.661764705882</v>
      </c>
      <c r="U147">
        <f t="shared" si="15"/>
        <v>1096.5</v>
      </c>
      <c r="V147">
        <f>U147*1</f>
        <v>1096.5</v>
      </c>
      <c r="W147">
        <f t="shared" si="16"/>
        <v>7055.46</v>
      </c>
      <c r="X147">
        <f t="shared" si="17"/>
        <v>0.197178104582229</v>
      </c>
      <c r="AH147" t="str">
        <f t="shared" si="20"/>
        <v>3rd Quality</v>
      </c>
      <c r="AJ147">
        <f>((T147-X147)*2)/18.7</f>
        <v>39.5149290482674</v>
      </c>
      <c r="AK147">
        <f t="shared" si="18"/>
        <v>168565.764705882</v>
      </c>
    </row>
    <row r="148" spans="1:37">
      <c r="A148" t="s">
        <v>211</v>
      </c>
      <c r="B148">
        <v>31</v>
      </c>
      <c r="C148" t="s">
        <v>44</v>
      </c>
      <c r="D148" t="s">
        <v>45</v>
      </c>
      <c r="E148">
        <v>979</v>
      </c>
      <c r="F148">
        <v>7</v>
      </c>
      <c r="G148">
        <v>8</v>
      </c>
      <c r="H148">
        <v>1574.35</v>
      </c>
      <c r="I148">
        <v>11153.36</v>
      </c>
      <c r="J148">
        <v>57</v>
      </c>
      <c r="K148">
        <v>0</v>
      </c>
      <c r="L148">
        <v>33.8</v>
      </c>
      <c r="M148">
        <v>26.6</v>
      </c>
      <c r="N148" t="s">
        <v>52</v>
      </c>
      <c r="O148" t="s">
        <v>47</v>
      </c>
      <c r="P148" t="s">
        <v>66</v>
      </c>
      <c r="R148">
        <f>SUMIF(A148:A5147,"C00147",I148:I5147)</f>
        <v>11153.36</v>
      </c>
      <c r="S148" s="1">
        <v>11153.36</v>
      </c>
      <c r="T148">
        <f t="shared" si="14"/>
        <v>195.67298245614</v>
      </c>
      <c r="U148">
        <f t="shared" si="15"/>
        <v>1516.2</v>
      </c>
      <c r="V148">
        <f t="shared" si="19"/>
        <v>126.35</v>
      </c>
      <c r="W148">
        <f t="shared" si="16"/>
        <v>4242.90333333333</v>
      </c>
      <c r="X148">
        <f t="shared" si="17"/>
        <v>0.621843935592467</v>
      </c>
      <c r="AH148" t="str">
        <f t="shared" si="20"/>
        <v>3rd Quality</v>
      </c>
      <c r="AJ148">
        <f>((T148-X148)*2)/33.8</f>
        <v>11.5414874864229</v>
      </c>
      <c r="AK148">
        <f t="shared" si="18"/>
        <v>191563.849824561</v>
      </c>
    </row>
    <row r="149" spans="1:37">
      <c r="A149" t="s">
        <v>212</v>
      </c>
      <c r="B149">
        <v>43</v>
      </c>
      <c r="C149" t="s">
        <v>44</v>
      </c>
      <c r="D149" t="s">
        <v>51</v>
      </c>
      <c r="E149">
        <v>1391</v>
      </c>
      <c r="F149">
        <v>11</v>
      </c>
      <c r="G149">
        <v>6</v>
      </c>
      <c r="H149">
        <v>7191.53</v>
      </c>
      <c r="I149">
        <v>47440.29</v>
      </c>
      <c r="J149">
        <v>43</v>
      </c>
      <c r="K149">
        <v>0</v>
      </c>
      <c r="L149">
        <v>0.7</v>
      </c>
      <c r="M149">
        <v>39.5</v>
      </c>
      <c r="N149" t="s">
        <v>61</v>
      </c>
      <c r="O149" t="s">
        <v>47</v>
      </c>
      <c r="P149" t="s">
        <v>58</v>
      </c>
      <c r="R149">
        <f>SUMIF(A149:A5148,"C00148",I149:I5148)</f>
        <v>47440.29</v>
      </c>
      <c r="S149" s="1">
        <v>47440.29</v>
      </c>
      <c r="T149">
        <f t="shared" si="14"/>
        <v>1103.26255813953</v>
      </c>
      <c r="U149">
        <f t="shared" si="15"/>
        <v>1698.5</v>
      </c>
      <c r="V149">
        <f t="shared" si="19"/>
        <v>141.541666666667</v>
      </c>
      <c r="W149">
        <f t="shared" si="16"/>
        <v>18210.94</v>
      </c>
      <c r="X149">
        <f t="shared" si="17"/>
        <v>0.193421983917191</v>
      </c>
      <c r="AH149" t="str">
        <f t="shared" si="20"/>
        <v>2nd Quality</v>
      </c>
      <c r="AJ149">
        <f>((T149-X149)*2)/0.7</f>
        <v>3151.62610330175</v>
      </c>
      <c r="AK149">
        <f t="shared" si="18"/>
        <v>1534638.21837209</v>
      </c>
    </row>
    <row r="150" spans="1:37">
      <c r="A150" t="s">
        <v>213</v>
      </c>
      <c r="B150">
        <v>33</v>
      </c>
      <c r="C150" t="s">
        <v>44</v>
      </c>
      <c r="D150" t="s">
        <v>60</v>
      </c>
      <c r="E150">
        <v>1270</v>
      </c>
      <c r="F150">
        <v>15</v>
      </c>
      <c r="G150">
        <v>6</v>
      </c>
      <c r="H150">
        <v>860.71</v>
      </c>
      <c r="I150">
        <v>5614.92</v>
      </c>
      <c r="J150">
        <v>49</v>
      </c>
      <c r="K150">
        <v>1</v>
      </c>
      <c r="L150">
        <v>20</v>
      </c>
      <c r="M150">
        <v>26.7</v>
      </c>
      <c r="N150" t="s">
        <v>57</v>
      </c>
      <c r="O150" t="s">
        <v>53</v>
      </c>
      <c r="P150" t="s">
        <v>58</v>
      </c>
      <c r="R150">
        <f>SUMIF(A150:A5149,"C00149",I150:I5149)</f>
        <v>5614.92</v>
      </c>
      <c r="S150" s="1">
        <v>5614.92</v>
      </c>
      <c r="T150">
        <f t="shared" si="14"/>
        <v>114.590204081633</v>
      </c>
      <c r="U150">
        <f t="shared" si="15"/>
        <v>1308.3</v>
      </c>
      <c r="V150">
        <f>U150*1</f>
        <v>1308.3</v>
      </c>
      <c r="W150">
        <f t="shared" si="16"/>
        <v>2158.87666666667</v>
      </c>
      <c r="X150">
        <f t="shared" si="17"/>
        <v>1.47552601921669</v>
      </c>
      <c r="AH150" t="str">
        <f t="shared" si="20"/>
        <v>3rd Quality</v>
      </c>
      <c r="AJ150">
        <f>((T150-X150)*2)/20</f>
        <v>11.3114678062416</v>
      </c>
      <c r="AK150">
        <f t="shared" si="18"/>
        <v>145529.559183673</v>
      </c>
    </row>
    <row r="151" spans="1:37">
      <c r="A151" t="s">
        <v>214</v>
      </c>
      <c r="B151">
        <v>18</v>
      </c>
      <c r="C151" t="s">
        <v>101</v>
      </c>
      <c r="D151" t="s">
        <v>45</v>
      </c>
      <c r="E151">
        <v>866</v>
      </c>
      <c r="F151">
        <v>9</v>
      </c>
      <c r="G151">
        <v>24</v>
      </c>
      <c r="H151">
        <v>2462.95</v>
      </c>
      <c r="I151">
        <v>65016.97</v>
      </c>
      <c r="J151">
        <v>155</v>
      </c>
      <c r="K151">
        <v>1</v>
      </c>
      <c r="L151">
        <v>9.4</v>
      </c>
      <c r="M151">
        <v>29.4</v>
      </c>
      <c r="N151" t="s">
        <v>46</v>
      </c>
      <c r="O151" t="s">
        <v>47</v>
      </c>
      <c r="P151" t="s">
        <v>58</v>
      </c>
      <c r="R151">
        <f>SUMIF(A151:A5150,"C00150",I151:I5150)</f>
        <v>65016.97</v>
      </c>
      <c r="S151" s="1">
        <v>65016.97</v>
      </c>
      <c r="T151">
        <f t="shared" si="14"/>
        <v>419.464322580645</v>
      </c>
      <c r="U151">
        <f t="shared" si="15"/>
        <v>4557</v>
      </c>
      <c r="V151">
        <f>U151*1</f>
        <v>4557</v>
      </c>
      <c r="W151">
        <f t="shared" si="16"/>
        <v>22493.64</v>
      </c>
      <c r="X151">
        <f t="shared" si="17"/>
        <v>0.351610873139934</v>
      </c>
      <c r="AH151" t="str">
        <f t="shared" si="20"/>
        <v>2nd Quality</v>
      </c>
      <c r="AJ151">
        <f>((T151-X151)*2)/9.4</f>
        <v>89.1729173845755</v>
      </c>
      <c r="AK151">
        <f t="shared" si="18"/>
        <v>363256.103354839</v>
      </c>
    </row>
    <row r="152" spans="1:37">
      <c r="A152" t="s">
        <v>215</v>
      </c>
      <c r="B152">
        <v>32</v>
      </c>
      <c r="C152" t="s">
        <v>44</v>
      </c>
      <c r="D152" t="s">
        <v>60</v>
      </c>
      <c r="E152">
        <v>953</v>
      </c>
      <c r="F152">
        <v>75</v>
      </c>
      <c r="G152">
        <v>5</v>
      </c>
      <c r="H152">
        <v>996.19</v>
      </c>
      <c r="I152">
        <v>5192.11</v>
      </c>
      <c r="J152">
        <v>45</v>
      </c>
      <c r="K152">
        <v>0</v>
      </c>
      <c r="L152">
        <v>36.7</v>
      </c>
      <c r="M152">
        <v>60.8</v>
      </c>
      <c r="N152" t="s">
        <v>78</v>
      </c>
      <c r="O152" t="s">
        <v>47</v>
      </c>
      <c r="P152" t="s">
        <v>54</v>
      </c>
      <c r="R152">
        <f>SUMIF(A152:A5151,"C00151",I152:I5151)</f>
        <v>5192.11</v>
      </c>
      <c r="S152" s="1">
        <v>5192.11</v>
      </c>
      <c r="T152">
        <f t="shared" si="14"/>
        <v>115.380222222222</v>
      </c>
      <c r="U152">
        <f t="shared" si="15"/>
        <v>2736</v>
      </c>
      <c r="V152">
        <f t="shared" si="19"/>
        <v>228</v>
      </c>
      <c r="W152">
        <f t="shared" si="16"/>
        <v>2063.1</v>
      </c>
      <c r="X152">
        <f t="shared" si="17"/>
        <v>0.956644816751824</v>
      </c>
      <c r="AH152" t="str">
        <f t="shared" si="20"/>
        <v>3rd Quality</v>
      </c>
      <c r="AJ152">
        <f>((T152-X152)*2)/36.7</f>
        <v>6.23561729730083</v>
      </c>
      <c r="AK152">
        <f t="shared" si="18"/>
        <v>109957.351777778</v>
      </c>
    </row>
    <row r="153" spans="1:37">
      <c r="A153" t="s">
        <v>216</v>
      </c>
      <c r="B153">
        <v>33</v>
      </c>
      <c r="C153" t="s">
        <v>44</v>
      </c>
      <c r="D153" t="s">
        <v>51</v>
      </c>
      <c r="E153">
        <v>808</v>
      </c>
      <c r="F153">
        <v>169</v>
      </c>
      <c r="G153">
        <v>2</v>
      </c>
      <c r="H153">
        <v>1203.18</v>
      </c>
      <c r="I153">
        <v>2125.12</v>
      </c>
      <c r="J153">
        <v>18</v>
      </c>
      <c r="K153">
        <v>1</v>
      </c>
      <c r="L153">
        <v>23</v>
      </c>
      <c r="M153">
        <v>9.9</v>
      </c>
      <c r="N153" t="s">
        <v>57</v>
      </c>
      <c r="O153" t="s">
        <v>47</v>
      </c>
      <c r="P153" t="s">
        <v>66</v>
      </c>
      <c r="R153">
        <f>SUMIF(A153:A5152,"C00152",I153:I5152)</f>
        <v>2125.12</v>
      </c>
      <c r="S153" s="1">
        <v>2125.12</v>
      </c>
      <c r="T153">
        <f t="shared" si="14"/>
        <v>118.062222222222</v>
      </c>
      <c r="U153">
        <f t="shared" si="15"/>
        <v>178.2</v>
      </c>
      <c r="V153">
        <f>U153*1</f>
        <v>178.2</v>
      </c>
      <c r="W153">
        <f t="shared" si="16"/>
        <v>1109.76666666667</v>
      </c>
      <c r="X153">
        <f t="shared" si="17"/>
        <v>0.67155371598597</v>
      </c>
      <c r="AH153" t="str">
        <f t="shared" si="20"/>
        <v>3rd Quality</v>
      </c>
      <c r="AJ153">
        <f>((T153-X153)*2)/23</f>
        <v>10.2078842179336</v>
      </c>
      <c r="AK153">
        <f t="shared" si="18"/>
        <v>95394.2755555555</v>
      </c>
    </row>
    <row r="154" spans="1:37">
      <c r="A154" t="s">
        <v>217</v>
      </c>
      <c r="B154">
        <v>31</v>
      </c>
      <c r="C154" t="s">
        <v>44</v>
      </c>
      <c r="D154" t="s">
        <v>45</v>
      </c>
      <c r="E154">
        <v>1097</v>
      </c>
      <c r="F154">
        <v>2</v>
      </c>
      <c r="G154">
        <v>18</v>
      </c>
      <c r="H154">
        <v>5776.67</v>
      </c>
      <c r="I154">
        <v>115788.58</v>
      </c>
      <c r="J154">
        <v>154</v>
      </c>
      <c r="K154">
        <v>2</v>
      </c>
      <c r="L154">
        <v>7.9</v>
      </c>
      <c r="M154">
        <v>35.5</v>
      </c>
      <c r="N154" t="s">
        <v>63</v>
      </c>
      <c r="O154" t="s">
        <v>75</v>
      </c>
      <c r="P154" t="s">
        <v>68</v>
      </c>
      <c r="R154">
        <f>SUMIF(A154:A5153,"C00153",I154:I5153)</f>
        <v>115788.58</v>
      </c>
      <c r="S154" s="1">
        <v>115788.58</v>
      </c>
      <c r="T154">
        <f t="shared" si="14"/>
        <v>751.873896103896</v>
      </c>
      <c r="U154">
        <f t="shared" si="15"/>
        <v>5467</v>
      </c>
      <c r="V154">
        <f>U154*2</f>
        <v>10934</v>
      </c>
      <c r="W154">
        <f t="shared" si="16"/>
        <v>40522.0833333333</v>
      </c>
      <c r="X154">
        <f t="shared" si="17"/>
        <v>0.189901794632548</v>
      </c>
      <c r="AH154" t="str">
        <f t="shared" si="20"/>
        <v>1st Quality</v>
      </c>
      <c r="AJ154">
        <f>((T154-X154)*2)/7.9</f>
        <v>190.29974539475</v>
      </c>
      <c r="AK154">
        <f t="shared" si="18"/>
        <v>824805.664025974</v>
      </c>
    </row>
    <row r="155" spans="1:37">
      <c r="A155" t="s">
        <v>218</v>
      </c>
      <c r="B155">
        <v>29</v>
      </c>
      <c r="C155" t="s">
        <v>50</v>
      </c>
      <c r="D155" t="s">
        <v>60</v>
      </c>
      <c r="E155">
        <v>1445</v>
      </c>
      <c r="F155">
        <v>60</v>
      </c>
      <c r="G155">
        <v>7</v>
      </c>
      <c r="H155">
        <v>8778.49</v>
      </c>
      <c r="I155">
        <v>64528.24</v>
      </c>
      <c r="J155">
        <v>30</v>
      </c>
      <c r="K155">
        <v>1</v>
      </c>
      <c r="L155">
        <v>10.2</v>
      </c>
      <c r="M155">
        <v>32.1</v>
      </c>
      <c r="N155" t="s">
        <v>63</v>
      </c>
      <c r="O155" t="s">
        <v>47</v>
      </c>
      <c r="P155" t="s">
        <v>68</v>
      </c>
      <c r="R155">
        <f>SUMIF(A155:A5154,"C00154",I155:I5154)</f>
        <v>64528.24</v>
      </c>
      <c r="S155" s="1">
        <v>64528.24</v>
      </c>
      <c r="T155">
        <f t="shared" si="14"/>
        <v>2150.94133333333</v>
      </c>
      <c r="U155">
        <f t="shared" si="15"/>
        <v>963</v>
      </c>
      <c r="V155">
        <f>U155*1</f>
        <v>963</v>
      </c>
      <c r="W155">
        <f t="shared" si="16"/>
        <v>24435.91</v>
      </c>
      <c r="X155">
        <f t="shared" si="17"/>
        <v>0.164606897085945</v>
      </c>
      <c r="AH155" t="str">
        <f t="shared" si="20"/>
        <v>1st Quality</v>
      </c>
      <c r="AJ155">
        <f>((T155-X155)*2)/10.2</f>
        <v>421.720926752205</v>
      </c>
      <c r="AK155">
        <f t="shared" si="18"/>
        <v>3108110.22666667</v>
      </c>
    </row>
    <row r="156" spans="1:37">
      <c r="A156" t="s">
        <v>219</v>
      </c>
      <c r="B156">
        <v>29</v>
      </c>
      <c r="C156" t="s">
        <v>50</v>
      </c>
      <c r="D156" t="s">
        <v>60</v>
      </c>
      <c r="E156">
        <v>1005</v>
      </c>
      <c r="F156">
        <v>24</v>
      </c>
      <c r="G156">
        <v>26</v>
      </c>
      <c r="H156">
        <v>4175.86</v>
      </c>
      <c r="I156">
        <v>106363.53</v>
      </c>
      <c r="J156">
        <v>162</v>
      </c>
      <c r="K156">
        <v>0</v>
      </c>
      <c r="L156">
        <v>16.4</v>
      </c>
      <c r="M156">
        <v>21</v>
      </c>
      <c r="N156" t="s">
        <v>78</v>
      </c>
      <c r="O156" t="s">
        <v>47</v>
      </c>
      <c r="P156" t="s">
        <v>58</v>
      </c>
      <c r="R156">
        <f>SUMIF(A156:A5155,"C00155",I156:I5155)</f>
        <v>106363.53</v>
      </c>
      <c r="S156" s="1">
        <v>106363.53</v>
      </c>
      <c r="T156">
        <f t="shared" si="14"/>
        <v>656.565</v>
      </c>
      <c r="U156">
        <f t="shared" si="15"/>
        <v>3402</v>
      </c>
      <c r="V156">
        <f t="shared" si="19"/>
        <v>283.5</v>
      </c>
      <c r="W156">
        <f t="shared" si="16"/>
        <v>36846.7966666667</v>
      </c>
      <c r="X156">
        <f t="shared" si="17"/>
        <v>0.240668987944998</v>
      </c>
      <c r="AH156" t="str">
        <f t="shared" si="20"/>
        <v>1st Quality</v>
      </c>
      <c r="AJ156">
        <f>((T156-X156)*2)/16.4</f>
        <v>80.0395525624457</v>
      </c>
      <c r="AK156">
        <f t="shared" si="18"/>
        <v>659847.825</v>
      </c>
    </row>
    <row r="157" spans="1:37">
      <c r="A157" t="s">
        <v>220</v>
      </c>
      <c r="B157">
        <v>30</v>
      </c>
      <c r="C157" t="s">
        <v>44</v>
      </c>
      <c r="D157" t="s">
        <v>45</v>
      </c>
      <c r="E157">
        <v>836</v>
      </c>
      <c r="F157">
        <v>26</v>
      </c>
      <c r="G157">
        <v>3</v>
      </c>
      <c r="H157">
        <v>1075.7</v>
      </c>
      <c r="I157">
        <v>3407.16</v>
      </c>
      <c r="J157">
        <v>28</v>
      </c>
      <c r="K157">
        <v>0</v>
      </c>
      <c r="L157">
        <v>17.5</v>
      </c>
      <c r="M157">
        <v>48.8</v>
      </c>
      <c r="N157" t="s">
        <v>63</v>
      </c>
      <c r="O157" t="s">
        <v>53</v>
      </c>
      <c r="P157" t="s">
        <v>68</v>
      </c>
      <c r="R157">
        <f>SUMIF(A157:A5156,"C00156",I157:I5156)</f>
        <v>3407.16</v>
      </c>
      <c r="S157" s="1">
        <v>3407.16</v>
      </c>
      <c r="T157">
        <f t="shared" si="14"/>
        <v>121.684285714286</v>
      </c>
      <c r="U157">
        <f t="shared" si="15"/>
        <v>1366.4</v>
      </c>
      <c r="V157">
        <f t="shared" si="19"/>
        <v>113.866666666667</v>
      </c>
      <c r="W157">
        <f t="shared" si="16"/>
        <v>1494.62</v>
      </c>
      <c r="X157">
        <f t="shared" si="17"/>
        <v>0.777168355489449</v>
      </c>
      <c r="AH157" t="str">
        <f t="shared" si="20"/>
        <v>3rd Quality</v>
      </c>
      <c r="AJ157">
        <f>((T157-X157)*2)/17.5</f>
        <v>13.8179562695767</v>
      </c>
      <c r="AK157">
        <f t="shared" si="18"/>
        <v>101728.062857143</v>
      </c>
    </row>
    <row r="158" spans="1:37">
      <c r="A158" t="s">
        <v>221</v>
      </c>
      <c r="B158">
        <v>26</v>
      </c>
      <c r="C158" t="s">
        <v>50</v>
      </c>
      <c r="D158" t="s">
        <v>51</v>
      </c>
      <c r="E158">
        <v>1354</v>
      </c>
      <c r="F158">
        <v>27</v>
      </c>
      <c r="G158">
        <v>10</v>
      </c>
      <c r="H158">
        <v>2500.34</v>
      </c>
      <c r="I158">
        <v>25405.91</v>
      </c>
      <c r="J158">
        <v>41</v>
      </c>
      <c r="K158">
        <v>2</v>
      </c>
      <c r="L158">
        <v>19.4</v>
      </c>
      <c r="M158">
        <v>25.3</v>
      </c>
      <c r="N158" t="s">
        <v>63</v>
      </c>
      <c r="O158" t="s">
        <v>47</v>
      </c>
      <c r="P158" t="s">
        <v>58</v>
      </c>
      <c r="R158">
        <f>SUMIF(A158:A5157,"C00157",I158:I5157)</f>
        <v>25405.91</v>
      </c>
      <c r="S158" s="1">
        <v>25405.91</v>
      </c>
      <c r="T158">
        <f t="shared" si="14"/>
        <v>619.656341463415</v>
      </c>
      <c r="U158">
        <f t="shared" si="15"/>
        <v>1037.3</v>
      </c>
      <c r="V158">
        <f>U158*2</f>
        <v>2074.6</v>
      </c>
      <c r="W158">
        <f t="shared" si="16"/>
        <v>9302.41666666667</v>
      </c>
      <c r="X158">
        <f t="shared" si="17"/>
        <v>0.541526352416071</v>
      </c>
      <c r="AH158" t="str">
        <f t="shared" si="20"/>
        <v>2nd Quality</v>
      </c>
      <c r="AJ158">
        <f>((T158-X158)*2)/19.4</f>
        <v>63.826269599072</v>
      </c>
      <c r="AK158">
        <f t="shared" si="18"/>
        <v>839014.686341463</v>
      </c>
    </row>
    <row r="159" spans="1:37">
      <c r="A159" t="s">
        <v>222</v>
      </c>
      <c r="B159">
        <v>30</v>
      </c>
      <c r="C159" t="s">
        <v>44</v>
      </c>
      <c r="D159" t="s">
        <v>45</v>
      </c>
      <c r="E159">
        <v>735</v>
      </c>
      <c r="F159">
        <v>23</v>
      </c>
      <c r="G159">
        <v>5</v>
      </c>
      <c r="H159">
        <v>8043.49</v>
      </c>
      <c r="I159">
        <v>41874.54</v>
      </c>
      <c r="J159">
        <v>37</v>
      </c>
      <c r="K159">
        <v>0</v>
      </c>
      <c r="L159">
        <v>0</v>
      </c>
      <c r="M159">
        <v>6.4</v>
      </c>
      <c r="N159" t="s">
        <v>81</v>
      </c>
      <c r="O159" t="s">
        <v>47</v>
      </c>
      <c r="P159" t="s">
        <v>68</v>
      </c>
      <c r="R159">
        <f>SUMIF(A159:A5158,"C00158",I159:I5158)</f>
        <v>41874.54</v>
      </c>
      <c r="S159" s="1">
        <v>41874.54</v>
      </c>
      <c r="T159">
        <f t="shared" si="14"/>
        <v>1131.74432432432</v>
      </c>
      <c r="U159">
        <f t="shared" si="15"/>
        <v>236.8</v>
      </c>
      <c r="V159">
        <f>U159/12</f>
        <v>19.7333333333333</v>
      </c>
      <c r="W159">
        <f t="shared" si="16"/>
        <v>16639.6766666667</v>
      </c>
      <c r="X159">
        <f t="shared" si="17"/>
        <v>0.0913782450155343</v>
      </c>
      <c r="AH159" t="str">
        <f t="shared" si="20"/>
        <v>2nd Quality</v>
      </c>
      <c r="AJ159">
        <f>((T159-X159)*2)</f>
        <v>2263.30589215861</v>
      </c>
      <c r="AK159">
        <f t="shared" si="18"/>
        <v>831832.078378379</v>
      </c>
    </row>
    <row r="160" spans="1:37">
      <c r="A160" t="s">
        <v>223</v>
      </c>
      <c r="B160">
        <v>39</v>
      </c>
      <c r="C160" t="s">
        <v>50</v>
      </c>
      <c r="D160" t="s">
        <v>60</v>
      </c>
      <c r="E160">
        <v>439</v>
      </c>
      <c r="F160">
        <v>122</v>
      </c>
      <c r="G160">
        <v>4</v>
      </c>
      <c r="H160">
        <v>884.96</v>
      </c>
      <c r="I160">
        <v>3815.19</v>
      </c>
      <c r="J160">
        <v>21</v>
      </c>
      <c r="K160">
        <v>0</v>
      </c>
      <c r="L160">
        <v>23.9</v>
      </c>
      <c r="M160">
        <v>21.5</v>
      </c>
      <c r="N160" t="s">
        <v>63</v>
      </c>
      <c r="O160" t="s">
        <v>75</v>
      </c>
      <c r="P160" t="s">
        <v>48</v>
      </c>
      <c r="R160">
        <f>SUMIF(A160:A5159,"C00159",I160:I5159)</f>
        <v>3815.19</v>
      </c>
      <c r="S160" s="1">
        <v>3815.19</v>
      </c>
      <c r="T160">
        <f t="shared" si="14"/>
        <v>181.675714285714</v>
      </c>
      <c r="U160">
        <f t="shared" si="15"/>
        <v>451.5</v>
      </c>
      <c r="V160">
        <f t="shared" si="19"/>
        <v>37.625</v>
      </c>
      <c r="W160">
        <f t="shared" si="16"/>
        <v>1567.05</v>
      </c>
      <c r="X160">
        <f t="shared" si="17"/>
        <v>0.496067618875429</v>
      </c>
      <c r="AH160" t="str">
        <f t="shared" si="20"/>
        <v>3rd Quality</v>
      </c>
      <c r="AJ160">
        <f>((T160-X160)*2)/23.9</f>
        <v>15.1614767085221</v>
      </c>
      <c r="AK160">
        <f t="shared" si="18"/>
        <v>79755.6385714286</v>
      </c>
    </row>
    <row r="161" spans="1:37">
      <c r="A161" t="s">
        <v>224</v>
      </c>
      <c r="B161">
        <v>18</v>
      </c>
      <c r="C161" t="s">
        <v>44</v>
      </c>
      <c r="D161" t="s">
        <v>45</v>
      </c>
      <c r="E161">
        <v>597</v>
      </c>
      <c r="F161">
        <v>63</v>
      </c>
      <c r="G161">
        <v>3</v>
      </c>
      <c r="H161">
        <v>499.05</v>
      </c>
      <c r="I161">
        <v>1653.88</v>
      </c>
      <c r="J161">
        <v>14</v>
      </c>
      <c r="K161">
        <v>1</v>
      </c>
      <c r="L161">
        <v>33.6</v>
      </c>
      <c r="M161">
        <v>31.1</v>
      </c>
      <c r="N161" t="s">
        <v>52</v>
      </c>
      <c r="O161" t="s">
        <v>47</v>
      </c>
      <c r="P161" t="s">
        <v>58</v>
      </c>
      <c r="R161">
        <f>SUMIF(A161:A5160,"C00160",I161:I5160)</f>
        <v>1653.88</v>
      </c>
      <c r="S161" s="1">
        <v>1653.88</v>
      </c>
      <c r="T161">
        <f t="shared" si="14"/>
        <v>118.134285714286</v>
      </c>
      <c r="U161">
        <f t="shared" si="15"/>
        <v>435.4</v>
      </c>
      <c r="V161">
        <f>U161*1</f>
        <v>435.4</v>
      </c>
      <c r="W161">
        <f t="shared" si="16"/>
        <v>717.976666666667</v>
      </c>
      <c r="X161">
        <f t="shared" si="17"/>
        <v>1.19627291854524</v>
      </c>
      <c r="AH161" t="str">
        <f t="shared" si="20"/>
        <v>3rd Quality</v>
      </c>
      <c r="AJ161">
        <f>((T161-X161)*2)/33.6</f>
        <v>6.96059599974647</v>
      </c>
      <c r="AK161">
        <f t="shared" si="18"/>
        <v>70526.1685714286</v>
      </c>
    </row>
    <row r="162" spans="1:37">
      <c r="A162" t="s">
        <v>225</v>
      </c>
      <c r="B162">
        <v>30</v>
      </c>
      <c r="C162" t="s">
        <v>50</v>
      </c>
      <c r="D162" t="s">
        <v>60</v>
      </c>
      <c r="E162">
        <v>1083</v>
      </c>
      <c r="F162">
        <v>19</v>
      </c>
      <c r="G162">
        <v>25</v>
      </c>
      <c r="H162">
        <v>3327.92</v>
      </c>
      <c r="I162">
        <v>89121.46</v>
      </c>
      <c r="J162">
        <v>114</v>
      </c>
      <c r="K162">
        <v>1</v>
      </c>
      <c r="L162">
        <v>0.6</v>
      </c>
      <c r="M162">
        <v>55.3</v>
      </c>
      <c r="N162" t="s">
        <v>63</v>
      </c>
      <c r="O162" t="s">
        <v>47</v>
      </c>
      <c r="P162" t="s">
        <v>58</v>
      </c>
      <c r="R162">
        <f>SUMIF(A162:A5161,"C00161",I162:I5161)</f>
        <v>89121.46</v>
      </c>
      <c r="S162" s="1">
        <v>89121.46</v>
      </c>
      <c r="T162">
        <f t="shared" si="14"/>
        <v>781.767192982456</v>
      </c>
      <c r="U162">
        <f t="shared" si="15"/>
        <v>6304.2</v>
      </c>
      <c r="V162">
        <f>U162*1</f>
        <v>6304.2</v>
      </c>
      <c r="W162">
        <f t="shared" si="16"/>
        <v>30816.7933333333</v>
      </c>
      <c r="X162">
        <f t="shared" si="17"/>
        <v>0.325428495877305</v>
      </c>
      <c r="AH162" t="str">
        <f t="shared" si="20"/>
        <v>1st Quality</v>
      </c>
      <c r="AJ162">
        <f>((T162-X162)*2)/0.6</f>
        <v>2604.80588162193</v>
      </c>
      <c r="AK162">
        <f t="shared" si="18"/>
        <v>846653.87</v>
      </c>
    </row>
    <row r="163" spans="1:37">
      <c r="A163" t="s">
        <v>226</v>
      </c>
      <c r="B163">
        <v>33</v>
      </c>
      <c r="C163" t="s">
        <v>50</v>
      </c>
      <c r="D163" t="s">
        <v>45</v>
      </c>
      <c r="E163">
        <v>849</v>
      </c>
      <c r="F163">
        <v>78</v>
      </c>
      <c r="G163">
        <v>1</v>
      </c>
      <c r="H163">
        <v>2621.73</v>
      </c>
      <c r="I163">
        <v>2870.83</v>
      </c>
      <c r="J163">
        <v>9</v>
      </c>
      <c r="K163">
        <v>0</v>
      </c>
      <c r="L163">
        <v>33.2</v>
      </c>
      <c r="M163">
        <v>33.6</v>
      </c>
      <c r="N163" t="s">
        <v>81</v>
      </c>
      <c r="O163" t="s">
        <v>47</v>
      </c>
      <c r="P163" t="s">
        <v>58</v>
      </c>
      <c r="R163">
        <f>SUMIF(A163:A5162,"C00162",I163:I5162)</f>
        <v>2870.83</v>
      </c>
      <c r="S163" s="1">
        <v>2870.83</v>
      </c>
      <c r="T163">
        <f t="shared" si="14"/>
        <v>318.981111111111</v>
      </c>
      <c r="U163">
        <f t="shared" si="15"/>
        <v>302.4</v>
      </c>
      <c r="V163">
        <f t="shared" si="19"/>
        <v>25.2</v>
      </c>
      <c r="W163">
        <f t="shared" si="16"/>
        <v>1831.18666666667</v>
      </c>
      <c r="X163">
        <f t="shared" si="17"/>
        <v>0.323831973544186</v>
      </c>
      <c r="AH163" t="str">
        <f t="shared" si="20"/>
        <v>3rd Quality</v>
      </c>
      <c r="AJ163">
        <f>((T163-X163)*2)/33.2</f>
        <v>19.1962216347932</v>
      </c>
      <c r="AK163">
        <f t="shared" si="18"/>
        <v>270814.963333333</v>
      </c>
    </row>
    <row r="164" spans="1:37">
      <c r="A164" t="s">
        <v>227</v>
      </c>
      <c r="B164">
        <v>34</v>
      </c>
      <c r="C164" t="s">
        <v>101</v>
      </c>
      <c r="D164" t="s">
        <v>51</v>
      </c>
      <c r="E164">
        <v>1344</v>
      </c>
      <c r="F164">
        <v>56</v>
      </c>
      <c r="G164">
        <v>11</v>
      </c>
      <c r="H164">
        <v>1467.42</v>
      </c>
      <c r="I164">
        <v>16403.13</v>
      </c>
      <c r="J164">
        <v>97</v>
      </c>
      <c r="K164">
        <v>1</v>
      </c>
      <c r="L164">
        <v>26.6</v>
      </c>
      <c r="M164">
        <v>12.7</v>
      </c>
      <c r="N164" t="s">
        <v>78</v>
      </c>
      <c r="O164" t="s">
        <v>53</v>
      </c>
      <c r="P164" t="s">
        <v>48</v>
      </c>
      <c r="R164">
        <f>SUMIF(A164:A5163,"C00163",I164:I5163)</f>
        <v>16403.13</v>
      </c>
      <c r="S164" s="1">
        <v>16403.13</v>
      </c>
      <c r="T164">
        <f t="shared" si="14"/>
        <v>169.104432989691</v>
      </c>
      <c r="U164">
        <f t="shared" si="15"/>
        <v>1231.9</v>
      </c>
      <c r="V164">
        <f>U164*1</f>
        <v>1231.9</v>
      </c>
      <c r="W164">
        <f t="shared" si="16"/>
        <v>5957.18333333333</v>
      </c>
      <c r="X164">
        <f t="shared" si="17"/>
        <v>0.915893200310749</v>
      </c>
      <c r="AH164" t="str">
        <f t="shared" si="20"/>
        <v>3rd Quality</v>
      </c>
      <c r="AJ164">
        <f>((T164-X164)*2)/26.6</f>
        <v>12.645754871382</v>
      </c>
      <c r="AK164">
        <f t="shared" si="18"/>
        <v>227276.357938144</v>
      </c>
    </row>
    <row r="165" spans="1:37">
      <c r="A165" t="s">
        <v>228</v>
      </c>
      <c r="B165">
        <v>21</v>
      </c>
      <c r="C165" t="s">
        <v>44</v>
      </c>
      <c r="D165" t="s">
        <v>60</v>
      </c>
      <c r="E165">
        <v>1118</v>
      </c>
      <c r="F165">
        <v>13</v>
      </c>
      <c r="G165">
        <v>26</v>
      </c>
      <c r="H165">
        <v>7705.74</v>
      </c>
      <c r="I165">
        <v>192580.47</v>
      </c>
      <c r="J165">
        <v>167</v>
      </c>
      <c r="K165">
        <v>5</v>
      </c>
      <c r="L165">
        <v>4.9</v>
      </c>
      <c r="M165">
        <v>41.7</v>
      </c>
      <c r="N165" t="s">
        <v>61</v>
      </c>
      <c r="O165" t="s">
        <v>47</v>
      </c>
      <c r="P165" t="s">
        <v>68</v>
      </c>
      <c r="R165">
        <f>SUMIF(A165:A5164,"C00164",I165:I5164)</f>
        <v>192580.47</v>
      </c>
      <c r="S165" s="1">
        <v>192580.47</v>
      </c>
      <c r="T165">
        <f t="shared" si="14"/>
        <v>1153.17646706587</v>
      </c>
      <c r="U165">
        <f t="shared" si="15"/>
        <v>6963.9</v>
      </c>
      <c r="V165">
        <f>U165*5</f>
        <v>34819.5</v>
      </c>
      <c r="W165">
        <f t="shared" si="16"/>
        <v>66762.4033333333</v>
      </c>
      <c r="X165">
        <f t="shared" si="17"/>
        <v>0.145086649692307</v>
      </c>
      <c r="AH165" t="str">
        <f t="shared" si="20"/>
        <v>1st Quality</v>
      </c>
      <c r="AJ165">
        <f>((T165-X165)*2)/4.9</f>
        <v>470.625053231093</v>
      </c>
      <c r="AK165">
        <f t="shared" si="18"/>
        <v>1289251.29017964</v>
      </c>
    </row>
    <row r="166" spans="1:37">
      <c r="A166" t="s">
        <v>229</v>
      </c>
      <c r="B166">
        <v>37</v>
      </c>
      <c r="C166" t="s">
        <v>44</v>
      </c>
      <c r="D166" t="s">
        <v>60</v>
      </c>
      <c r="E166">
        <v>996</v>
      </c>
      <c r="F166">
        <v>9</v>
      </c>
      <c r="G166">
        <v>3</v>
      </c>
      <c r="H166">
        <v>11574.24</v>
      </c>
      <c r="I166">
        <v>36136.82</v>
      </c>
      <c r="J166">
        <v>25</v>
      </c>
      <c r="K166">
        <v>0</v>
      </c>
      <c r="L166">
        <v>5.1</v>
      </c>
      <c r="M166">
        <v>29.4</v>
      </c>
      <c r="N166" t="s">
        <v>52</v>
      </c>
      <c r="O166" t="s">
        <v>47</v>
      </c>
      <c r="P166" t="s">
        <v>58</v>
      </c>
      <c r="R166">
        <f>SUMIF(A166:A5165,"C00165",I166:I5165)</f>
        <v>36136.82</v>
      </c>
      <c r="S166" s="1">
        <v>36136.82</v>
      </c>
      <c r="T166">
        <f t="shared" si="14"/>
        <v>1445.4728</v>
      </c>
      <c r="U166">
        <f t="shared" si="15"/>
        <v>735</v>
      </c>
      <c r="V166">
        <f t="shared" si="19"/>
        <v>61.25</v>
      </c>
      <c r="W166">
        <f t="shared" si="16"/>
        <v>15904.02</v>
      </c>
      <c r="X166">
        <f t="shared" si="17"/>
        <v>0.0860531663418073</v>
      </c>
      <c r="AH166" t="str">
        <f t="shared" si="20"/>
        <v>2nd Quality</v>
      </c>
      <c r="AJ166">
        <f>((T166-X166)*2)/5.1</f>
        <v>566.818332091631</v>
      </c>
      <c r="AK166">
        <f t="shared" si="18"/>
        <v>1439690.9088</v>
      </c>
    </row>
    <row r="167" spans="1:37">
      <c r="A167" t="s">
        <v>230</v>
      </c>
      <c r="B167">
        <v>33</v>
      </c>
      <c r="C167" t="s">
        <v>50</v>
      </c>
      <c r="D167" t="s">
        <v>45</v>
      </c>
      <c r="E167">
        <v>1367</v>
      </c>
      <c r="F167">
        <v>26</v>
      </c>
      <c r="G167">
        <v>10</v>
      </c>
      <c r="H167">
        <v>1099.38</v>
      </c>
      <c r="I167">
        <v>11142.16</v>
      </c>
      <c r="J167">
        <v>66</v>
      </c>
      <c r="K167">
        <v>1</v>
      </c>
      <c r="L167">
        <v>13</v>
      </c>
      <c r="M167">
        <v>24.8</v>
      </c>
      <c r="N167" t="s">
        <v>52</v>
      </c>
      <c r="O167" t="s">
        <v>47</v>
      </c>
      <c r="P167" t="s">
        <v>58</v>
      </c>
      <c r="R167">
        <f>SUMIF(A167:A5166,"C00166",I167:I5166)</f>
        <v>11142.16</v>
      </c>
      <c r="S167" s="1">
        <v>11142.16</v>
      </c>
      <c r="T167">
        <f t="shared" si="14"/>
        <v>168.820606060606</v>
      </c>
      <c r="U167">
        <f t="shared" si="15"/>
        <v>1636.8</v>
      </c>
      <c r="V167">
        <f>U167*1</f>
        <v>1636.8</v>
      </c>
      <c r="W167">
        <f t="shared" si="16"/>
        <v>4080.84666666667</v>
      </c>
      <c r="X167">
        <f t="shared" si="17"/>
        <v>1.24342811402791</v>
      </c>
      <c r="AH167" t="str">
        <f t="shared" si="20"/>
        <v>3rd Quality</v>
      </c>
      <c r="AJ167">
        <f>((T167-X167)*2)/13</f>
        <v>25.7811042994736</v>
      </c>
      <c r="AK167">
        <f t="shared" si="18"/>
        <v>230777.768484848</v>
      </c>
    </row>
    <row r="168" spans="1:37">
      <c r="A168" t="s">
        <v>231</v>
      </c>
      <c r="B168">
        <v>27</v>
      </c>
      <c r="C168" t="s">
        <v>50</v>
      </c>
      <c r="D168" t="s">
        <v>51</v>
      </c>
      <c r="E168">
        <v>1182</v>
      </c>
      <c r="F168">
        <v>32</v>
      </c>
      <c r="G168">
        <v>1</v>
      </c>
      <c r="H168">
        <v>1010.73</v>
      </c>
      <c r="I168">
        <v>903.08</v>
      </c>
      <c r="J168">
        <v>9</v>
      </c>
      <c r="K168">
        <v>0</v>
      </c>
      <c r="L168">
        <v>18.7</v>
      </c>
      <c r="M168">
        <v>63.3</v>
      </c>
      <c r="N168" t="s">
        <v>78</v>
      </c>
      <c r="O168" t="s">
        <v>53</v>
      </c>
      <c r="P168" t="s">
        <v>58</v>
      </c>
      <c r="R168">
        <f>SUMIF(A168:A5167,"C00167",I168:I5167)</f>
        <v>903.08</v>
      </c>
      <c r="S168" s="1">
        <v>903.08</v>
      </c>
      <c r="T168">
        <f t="shared" si="14"/>
        <v>100.342222222222</v>
      </c>
      <c r="U168">
        <f t="shared" si="15"/>
        <v>569.7</v>
      </c>
      <c r="V168">
        <f t="shared" si="19"/>
        <v>47.475</v>
      </c>
      <c r="W168">
        <f t="shared" si="16"/>
        <v>638.27</v>
      </c>
      <c r="X168">
        <f t="shared" si="17"/>
        <v>1.16945178237511</v>
      </c>
      <c r="AH168" t="str">
        <f t="shared" si="20"/>
        <v>3rd Quality</v>
      </c>
      <c r="AJ168">
        <f>((T168-X168)*2)/18.7</f>
        <v>10.6067134160264</v>
      </c>
      <c r="AK168">
        <f t="shared" si="18"/>
        <v>118604.506666667</v>
      </c>
    </row>
    <row r="169" spans="1:37">
      <c r="A169" t="s">
        <v>232</v>
      </c>
      <c r="B169">
        <v>25</v>
      </c>
      <c r="C169" t="s">
        <v>44</v>
      </c>
      <c r="D169" t="s">
        <v>51</v>
      </c>
      <c r="E169">
        <v>578</v>
      </c>
      <c r="F169">
        <v>311</v>
      </c>
      <c r="G169">
        <v>3</v>
      </c>
      <c r="H169">
        <v>487.43</v>
      </c>
      <c r="I169">
        <v>1488.92</v>
      </c>
      <c r="J169">
        <v>26</v>
      </c>
      <c r="K169">
        <v>0</v>
      </c>
      <c r="L169">
        <v>26.3</v>
      </c>
      <c r="M169">
        <v>3.9</v>
      </c>
      <c r="N169" t="s">
        <v>81</v>
      </c>
      <c r="O169" t="s">
        <v>47</v>
      </c>
      <c r="P169" t="s">
        <v>66</v>
      </c>
      <c r="R169">
        <f>SUMIF(A169:A5168,"C00168",I169:I5168)</f>
        <v>1488.92</v>
      </c>
      <c r="S169" s="1">
        <v>1488.92</v>
      </c>
      <c r="T169">
        <f t="shared" si="14"/>
        <v>57.2661538461538</v>
      </c>
      <c r="U169">
        <f t="shared" si="15"/>
        <v>101.4</v>
      </c>
      <c r="V169">
        <f t="shared" si="19"/>
        <v>8.45</v>
      </c>
      <c r="W169">
        <f t="shared" si="16"/>
        <v>659.116666666667</v>
      </c>
      <c r="X169">
        <f t="shared" si="17"/>
        <v>1.18581129598096</v>
      </c>
      <c r="AH169" t="str">
        <f t="shared" si="20"/>
        <v>3rd Quality</v>
      </c>
      <c r="AJ169">
        <f>((T169-X169)*2)/26.3</f>
        <v>4.26466483271276</v>
      </c>
      <c r="AK169">
        <f t="shared" si="18"/>
        <v>33099.8369230769</v>
      </c>
    </row>
    <row r="170" spans="1:37">
      <c r="A170" t="s">
        <v>233</v>
      </c>
      <c r="B170">
        <v>37</v>
      </c>
      <c r="C170" t="s">
        <v>50</v>
      </c>
      <c r="D170" t="s">
        <v>45</v>
      </c>
      <c r="E170">
        <v>1143</v>
      </c>
      <c r="F170">
        <v>30</v>
      </c>
      <c r="G170">
        <v>7</v>
      </c>
      <c r="H170">
        <v>996.5</v>
      </c>
      <c r="I170">
        <v>6837.24</v>
      </c>
      <c r="J170">
        <v>31</v>
      </c>
      <c r="K170">
        <v>0</v>
      </c>
      <c r="L170">
        <v>31.2</v>
      </c>
      <c r="M170">
        <v>14.4</v>
      </c>
      <c r="N170" t="s">
        <v>81</v>
      </c>
      <c r="O170" t="s">
        <v>75</v>
      </c>
      <c r="P170" t="s">
        <v>66</v>
      </c>
      <c r="R170">
        <f>SUMIF(A170:A5169,"C00169",I170:I5169)</f>
        <v>6837.24</v>
      </c>
      <c r="S170" s="1">
        <v>6837.24</v>
      </c>
      <c r="T170">
        <f t="shared" si="14"/>
        <v>220.556129032258</v>
      </c>
      <c r="U170">
        <f t="shared" si="15"/>
        <v>446.4</v>
      </c>
      <c r="V170">
        <f t="shared" si="19"/>
        <v>37.2</v>
      </c>
      <c r="W170">
        <f t="shared" si="16"/>
        <v>2611.58</v>
      </c>
      <c r="X170">
        <f t="shared" si="17"/>
        <v>1.14701455092825</v>
      </c>
      <c r="AH170" t="str">
        <f t="shared" si="20"/>
        <v>3rd Quality</v>
      </c>
      <c r="AJ170">
        <f>((T170-X170)*2)/31.2</f>
        <v>14.0646868257263</v>
      </c>
      <c r="AK170">
        <f t="shared" si="18"/>
        <v>252095.655483871</v>
      </c>
    </row>
    <row r="171" spans="1:37">
      <c r="A171" t="s">
        <v>234</v>
      </c>
      <c r="B171">
        <v>18</v>
      </c>
      <c r="C171" t="s">
        <v>50</v>
      </c>
      <c r="D171" t="s">
        <v>60</v>
      </c>
      <c r="E171">
        <v>1125</v>
      </c>
      <c r="F171">
        <v>138</v>
      </c>
      <c r="G171">
        <v>1</v>
      </c>
      <c r="H171">
        <v>1070.54</v>
      </c>
      <c r="I171">
        <v>1037.03</v>
      </c>
      <c r="J171">
        <v>19</v>
      </c>
      <c r="K171">
        <v>0</v>
      </c>
      <c r="L171">
        <v>7.2</v>
      </c>
      <c r="M171">
        <v>20.1</v>
      </c>
      <c r="N171" t="s">
        <v>52</v>
      </c>
      <c r="O171" t="s">
        <v>53</v>
      </c>
      <c r="P171" t="s">
        <v>58</v>
      </c>
      <c r="R171">
        <f>SUMIF(A171:A5170,"C00170",I171:I5170)</f>
        <v>1037.03</v>
      </c>
      <c r="S171" s="1">
        <v>1037.03</v>
      </c>
      <c r="T171">
        <f t="shared" si="14"/>
        <v>54.5805263157895</v>
      </c>
      <c r="U171">
        <f t="shared" si="15"/>
        <v>381.9</v>
      </c>
      <c r="V171">
        <f t="shared" si="19"/>
        <v>31.825</v>
      </c>
      <c r="W171">
        <f t="shared" si="16"/>
        <v>702.856666666667</v>
      </c>
      <c r="X171">
        <f t="shared" si="17"/>
        <v>1.05087152278289</v>
      </c>
      <c r="AH171" t="str">
        <f t="shared" si="20"/>
        <v>3rd Quality</v>
      </c>
      <c r="AJ171">
        <f>((T171-X171)*2)/7.2</f>
        <v>14.8693485536129</v>
      </c>
      <c r="AK171">
        <f t="shared" si="18"/>
        <v>61403.0921052632</v>
      </c>
    </row>
    <row r="172" spans="1:37">
      <c r="A172" t="s">
        <v>235</v>
      </c>
      <c r="B172">
        <v>37</v>
      </c>
      <c r="C172" t="s">
        <v>50</v>
      </c>
      <c r="D172" t="s">
        <v>60</v>
      </c>
      <c r="E172">
        <v>1391</v>
      </c>
      <c r="F172">
        <v>6</v>
      </c>
      <c r="G172">
        <v>8</v>
      </c>
      <c r="H172">
        <v>1358.29</v>
      </c>
      <c r="I172">
        <v>11451.69</v>
      </c>
      <c r="J172">
        <v>46</v>
      </c>
      <c r="K172">
        <v>1</v>
      </c>
      <c r="L172">
        <v>30.6</v>
      </c>
      <c r="M172">
        <v>40.2</v>
      </c>
      <c r="N172" t="s">
        <v>52</v>
      </c>
      <c r="O172" t="s">
        <v>53</v>
      </c>
      <c r="P172" t="s">
        <v>48</v>
      </c>
      <c r="R172">
        <f>SUMIF(A172:A5171,"C00171",I172:I5171)</f>
        <v>11451.69</v>
      </c>
      <c r="S172" s="1">
        <v>11451.69</v>
      </c>
      <c r="T172">
        <f t="shared" si="14"/>
        <v>248.949782608696</v>
      </c>
      <c r="U172">
        <f t="shared" si="15"/>
        <v>1849.2</v>
      </c>
      <c r="V172">
        <f>U172*1</f>
        <v>1849.2</v>
      </c>
      <c r="W172">
        <f t="shared" si="16"/>
        <v>4270.32666666667</v>
      </c>
      <c r="X172">
        <f t="shared" si="17"/>
        <v>1.02408174984723</v>
      </c>
      <c r="AH172" t="str">
        <f t="shared" si="20"/>
        <v>3rd Quality</v>
      </c>
      <c r="AJ172">
        <f>((T172-X172)*2)/30.6</f>
        <v>16.204294173781</v>
      </c>
      <c r="AK172">
        <f t="shared" si="18"/>
        <v>346289.147608696</v>
      </c>
    </row>
    <row r="173" spans="1:37">
      <c r="A173" t="s">
        <v>236</v>
      </c>
      <c r="B173">
        <v>37</v>
      </c>
      <c r="C173" t="s">
        <v>50</v>
      </c>
      <c r="D173" t="s">
        <v>60</v>
      </c>
      <c r="E173">
        <v>377</v>
      </c>
      <c r="F173">
        <v>36</v>
      </c>
      <c r="G173">
        <v>4</v>
      </c>
      <c r="H173">
        <v>9284</v>
      </c>
      <c r="I173">
        <v>40568.34</v>
      </c>
      <c r="J173">
        <v>25</v>
      </c>
      <c r="K173">
        <v>1</v>
      </c>
      <c r="L173">
        <v>4.7</v>
      </c>
      <c r="M173">
        <v>6.5</v>
      </c>
      <c r="N173" t="s">
        <v>61</v>
      </c>
      <c r="O173" t="s">
        <v>47</v>
      </c>
      <c r="P173" t="s">
        <v>68</v>
      </c>
      <c r="R173">
        <f>SUMIF(A173:A5172,"C00172",I173:I5172)</f>
        <v>40568.34</v>
      </c>
      <c r="S173" s="1">
        <v>40568.34</v>
      </c>
      <c r="T173">
        <f t="shared" si="14"/>
        <v>1622.7336</v>
      </c>
      <c r="U173">
        <f t="shared" si="15"/>
        <v>162.5</v>
      </c>
      <c r="V173">
        <f>U173*1</f>
        <v>162.5</v>
      </c>
      <c r="W173">
        <f t="shared" si="16"/>
        <v>16617.78</v>
      </c>
      <c r="X173">
        <f t="shared" si="17"/>
        <v>0.0406074967686342</v>
      </c>
      <c r="AH173" t="str">
        <f t="shared" si="20"/>
        <v>3rd Quality</v>
      </c>
      <c r="AJ173">
        <f>((T173-X173)*2)/4.7</f>
        <v>690.507656384354</v>
      </c>
      <c r="AK173">
        <f t="shared" si="18"/>
        <v>611770.5672</v>
      </c>
    </row>
    <row r="174" spans="1:37">
      <c r="A174" t="s">
        <v>237</v>
      </c>
      <c r="B174">
        <v>18</v>
      </c>
      <c r="C174" t="s">
        <v>50</v>
      </c>
      <c r="D174" t="s">
        <v>60</v>
      </c>
      <c r="E174">
        <v>546</v>
      </c>
      <c r="F174">
        <v>26</v>
      </c>
      <c r="G174">
        <v>9</v>
      </c>
      <c r="H174">
        <v>21341</v>
      </c>
      <c r="I174">
        <v>17810.82</v>
      </c>
      <c r="J174">
        <v>36</v>
      </c>
      <c r="K174">
        <v>2</v>
      </c>
      <c r="L174">
        <v>23.7</v>
      </c>
      <c r="M174">
        <v>30.4</v>
      </c>
      <c r="N174" t="s">
        <v>52</v>
      </c>
      <c r="O174" t="s">
        <v>47</v>
      </c>
      <c r="P174" t="s">
        <v>66</v>
      </c>
      <c r="R174">
        <f>SUMIF(A174:A5173,"C00173",I174:I5173)</f>
        <v>17810.82</v>
      </c>
      <c r="S174" s="1">
        <v>17810.82</v>
      </c>
      <c r="T174">
        <f t="shared" si="14"/>
        <v>494.745</v>
      </c>
      <c r="U174">
        <f t="shared" si="15"/>
        <v>1094.4</v>
      </c>
      <c r="V174">
        <f>U174*2</f>
        <v>2188.8</v>
      </c>
      <c r="W174">
        <f t="shared" si="16"/>
        <v>13050.94</v>
      </c>
      <c r="X174">
        <f t="shared" si="17"/>
        <v>0.0255845555503491</v>
      </c>
      <c r="AH174" t="str">
        <f t="shared" si="20"/>
        <v>2nd Quality</v>
      </c>
      <c r="AJ174">
        <f>((T174-X174)*2)/23.7</f>
        <v>41.7484738771687</v>
      </c>
      <c r="AK174">
        <f t="shared" si="18"/>
        <v>270130.77</v>
      </c>
    </row>
    <row r="175" spans="1:37">
      <c r="A175" t="s">
        <v>238</v>
      </c>
      <c r="B175">
        <v>34</v>
      </c>
      <c r="C175" t="s">
        <v>44</v>
      </c>
      <c r="D175" t="s">
        <v>45</v>
      </c>
      <c r="E175">
        <v>1243</v>
      </c>
      <c r="F175">
        <v>326</v>
      </c>
      <c r="G175">
        <v>1</v>
      </c>
      <c r="H175">
        <v>1637.19</v>
      </c>
      <c r="I175">
        <v>1753.06</v>
      </c>
      <c r="J175">
        <v>14</v>
      </c>
      <c r="K175">
        <v>0</v>
      </c>
      <c r="L175">
        <v>17.5</v>
      </c>
      <c r="M175">
        <v>34.3</v>
      </c>
      <c r="N175" t="s">
        <v>52</v>
      </c>
      <c r="O175" t="s">
        <v>47</v>
      </c>
      <c r="P175" t="s">
        <v>48</v>
      </c>
      <c r="R175">
        <f>SUMIF(A175:A5174,"C00174",I175:I5174)</f>
        <v>1753.06</v>
      </c>
      <c r="S175" s="1">
        <v>1753.06</v>
      </c>
      <c r="T175">
        <f t="shared" si="14"/>
        <v>125.218571428571</v>
      </c>
      <c r="U175">
        <f t="shared" si="15"/>
        <v>480.2</v>
      </c>
      <c r="V175">
        <f t="shared" si="19"/>
        <v>40.0166666666667</v>
      </c>
      <c r="W175">
        <f t="shared" si="16"/>
        <v>1130.41666666667</v>
      </c>
      <c r="X175">
        <f t="shared" si="17"/>
        <v>0.759227701122044</v>
      </c>
      <c r="AH175" t="str">
        <f t="shared" si="20"/>
        <v>3rd Quality</v>
      </c>
      <c r="AJ175">
        <f>((T175-X175)*2)/17.5</f>
        <v>14.2239249974227</v>
      </c>
      <c r="AK175">
        <f t="shared" si="18"/>
        <v>155646.684285714</v>
      </c>
    </row>
    <row r="176" spans="1:37">
      <c r="A176" t="s">
        <v>239</v>
      </c>
      <c r="B176">
        <v>21</v>
      </c>
      <c r="C176" t="s">
        <v>44</v>
      </c>
      <c r="D176" t="s">
        <v>60</v>
      </c>
      <c r="E176">
        <v>1419</v>
      </c>
      <c r="F176">
        <v>27</v>
      </c>
      <c r="G176">
        <v>21</v>
      </c>
      <c r="H176">
        <v>2186.26</v>
      </c>
      <c r="I176">
        <v>42270.81</v>
      </c>
      <c r="J176">
        <v>67</v>
      </c>
      <c r="K176">
        <v>0</v>
      </c>
      <c r="L176">
        <v>14.4</v>
      </c>
      <c r="M176">
        <v>25.8</v>
      </c>
      <c r="N176" t="s">
        <v>63</v>
      </c>
      <c r="O176" t="s">
        <v>47</v>
      </c>
      <c r="P176" t="s">
        <v>66</v>
      </c>
      <c r="R176">
        <f>SUMIF(A176:A5175,"C00175",I176:I5175)</f>
        <v>42270.81</v>
      </c>
      <c r="S176" s="1">
        <v>42270.81</v>
      </c>
      <c r="T176">
        <f t="shared" si="14"/>
        <v>630.907611940298</v>
      </c>
      <c r="U176">
        <f t="shared" si="15"/>
        <v>1728.6</v>
      </c>
      <c r="V176">
        <f t="shared" si="19"/>
        <v>144.05</v>
      </c>
      <c r="W176">
        <f t="shared" si="16"/>
        <v>14819.3566666667</v>
      </c>
      <c r="X176">
        <f t="shared" si="17"/>
        <v>0.649053634974797</v>
      </c>
      <c r="AH176" t="str">
        <f t="shared" si="20"/>
        <v>1st Quality</v>
      </c>
      <c r="AJ176">
        <f>((T176-X176)*2)/14.4</f>
        <v>87.5359108757393</v>
      </c>
      <c r="AK176">
        <f t="shared" si="18"/>
        <v>895257.901343283</v>
      </c>
    </row>
    <row r="177" spans="1:37">
      <c r="A177" t="s">
        <v>240</v>
      </c>
      <c r="B177">
        <v>53</v>
      </c>
      <c r="C177" t="s">
        <v>50</v>
      </c>
      <c r="D177" t="s">
        <v>60</v>
      </c>
      <c r="E177">
        <v>675</v>
      </c>
      <c r="F177">
        <v>17</v>
      </c>
      <c r="G177">
        <v>32</v>
      </c>
      <c r="H177">
        <v>5787.45</v>
      </c>
      <c r="I177">
        <v>188596.25</v>
      </c>
      <c r="J177">
        <v>141</v>
      </c>
      <c r="K177">
        <v>2</v>
      </c>
      <c r="L177">
        <v>16.7</v>
      </c>
      <c r="M177">
        <v>46.3</v>
      </c>
      <c r="N177" t="s">
        <v>63</v>
      </c>
      <c r="O177" t="s">
        <v>47</v>
      </c>
      <c r="P177" t="s">
        <v>48</v>
      </c>
      <c r="R177">
        <f>SUMIF(A177:A5176,"C00176",I177:I5176)</f>
        <v>188596.25</v>
      </c>
      <c r="S177" s="1">
        <v>188596.25</v>
      </c>
      <c r="T177">
        <f t="shared" si="14"/>
        <v>1337.56205673759</v>
      </c>
      <c r="U177">
        <f t="shared" si="15"/>
        <v>6528.3</v>
      </c>
      <c r="V177">
        <f>U177*2</f>
        <v>13056.6</v>
      </c>
      <c r="W177">
        <f t="shared" si="16"/>
        <v>64794.9</v>
      </c>
      <c r="X177">
        <f t="shared" si="17"/>
        <v>0.116631677163518</v>
      </c>
      <c r="AH177" t="str">
        <f t="shared" si="20"/>
        <v>3rd Quality</v>
      </c>
      <c r="AJ177">
        <f>((T177-X177)*2)/16.7</f>
        <v>160.173104797656</v>
      </c>
      <c r="AK177">
        <f t="shared" si="18"/>
        <v>902854.388297872</v>
      </c>
    </row>
    <row r="178" spans="1:37">
      <c r="A178" t="s">
        <v>241</v>
      </c>
      <c r="B178">
        <v>20</v>
      </c>
      <c r="C178" t="s">
        <v>50</v>
      </c>
      <c r="D178" t="s">
        <v>60</v>
      </c>
      <c r="E178">
        <v>1416</v>
      </c>
      <c r="F178">
        <v>14</v>
      </c>
      <c r="G178">
        <v>5</v>
      </c>
      <c r="H178">
        <v>440.93</v>
      </c>
      <c r="I178">
        <v>2388.89</v>
      </c>
      <c r="J178">
        <v>29</v>
      </c>
      <c r="K178">
        <v>1</v>
      </c>
      <c r="L178">
        <v>20.5</v>
      </c>
      <c r="M178">
        <v>41.8</v>
      </c>
      <c r="N178" t="s">
        <v>46</v>
      </c>
      <c r="O178" t="s">
        <v>53</v>
      </c>
      <c r="P178" t="s">
        <v>58</v>
      </c>
      <c r="R178">
        <f>SUMIF(A178:A5177,"C00177",I178:I5177)</f>
        <v>2388.89</v>
      </c>
      <c r="S178" s="1">
        <v>2388.89</v>
      </c>
      <c r="T178">
        <f t="shared" si="14"/>
        <v>82.3755172413793</v>
      </c>
      <c r="U178">
        <f t="shared" si="15"/>
        <v>1212.2</v>
      </c>
      <c r="V178">
        <f>U178*1</f>
        <v>1212.2</v>
      </c>
      <c r="W178">
        <f t="shared" si="16"/>
        <v>943.606666666667</v>
      </c>
      <c r="X178">
        <f t="shared" si="17"/>
        <v>3.21139409883655</v>
      </c>
      <c r="AH178" t="str">
        <f t="shared" si="20"/>
        <v>3rd Quality</v>
      </c>
      <c r="AJ178">
        <f>((T178-X178)*2)/20.5</f>
        <v>7.72332908707734</v>
      </c>
      <c r="AK178">
        <f t="shared" si="18"/>
        <v>116643.732413793</v>
      </c>
    </row>
    <row r="179" spans="1:37">
      <c r="A179" t="s">
        <v>242</v>
      </c>
      <c r="B179">
        <v>50</v>
      </c>
      <c r="C179" t="s">
        <v>56</v>
      </c>
      <c r="D179" t="s">
        <v>45</v>
      </c>
      <c r="E179">
        <v>412</v>
      </c>
      <c r="F179">
        <v>140</v>
      </c>
      <c r="G179">
        <v>3</v>
      </c>
      <c r="H179">
        <v>172503</v>
      </c>
      <c r="I179">
        <v>5679.15</v>
      </c>
      <c r="J179">
        <v>37</v>
      </c>
      <c r="K179">
        <v>0</v>
      </c>
      <c r="L179">
        <v>20.6</v>
      </c>
      <c r="M179">
        <v>49.2</v>
      </c>
      <c r="N179" t="s">
        <v>52</v>
      </c>
      <c r="O179" t="s">
        <v>47</v>
      </c>
      <c r="P179" t="s">
        <v>66</v>
      </c>
      <c r="R179">
        <f>SUMIF(A179:A5178,"C00178",I179:I5178)</f>
        <v>5679.15</v>
      </c>
      <c r="S179" s="1">
        <v>5679.15</v>
      </c>
      <c r="T179">
        <f t="shared" si="14"/>
        <v>153.490540540541</v>
      </c>
      <c r="U179">
        <f t="shared" si="15"/>
        <v>1820.4</v>
      </c>
      <c r="V179">
        <f t="shared" si="19"/>
        <v>151.7</v>
      </c>
      <c r="W179">
        <f t="shared" si="16"/>
        <v>59394.3833333333</v>
      </c>
      <c r="X179">
        <f t="shared" si="17"/>
        <v>0.0023883642603317</v>
      </c>
      <c r="AH179" t="str">
        <f t="shared" si="20"/>
        <v>3rd Quality</v>
      </c>
      <c r="AJ179">
        <f>((T179-X179)*2)/20.6</f>
        <v>14.9017623472117</v>
      </c>
      <c r="AK179">
        <f t="shared" si="18"/>
        <v>63238.1027027027</v>
      </c>
    </row>
    <row r="180" spans="1:37">
      <c r="A180" t="s">
        <v>243</v>
      </c>
      <c r="B180">
        <v>31</v>
      </c>
      <c r="C180" t="s">
        <v>44</v>
      </c>
      <c r="D180" t="s">
        <v>51</v>
      </c>
      <c r="E180">
        <v>1136</v>
      </c>
      <c r="F180">
        <v>60</v>
      </c>
      <c r="G180">
        <v>1</v>
      </c>
      <c r="H180">
        <v>1846.55</v>
      </c>
      <c r="I180">
        <v>1761.66</v>
      </c>
      <c r="J180">
        <v>14</v>
      </c>
      <c r="K180">
        <v>0</v>
      </c>
      <c r="L180">
        <v>26.1</v>
      </c>
      <c r="M180">
        <v>36.9</v>
      </c>
      <c r="N180" t="s">
        <v>63</v>
      </c>
      <c r="O180" t="s">
        <v>47</v>
      </c>
      <c r="P180" t="s">
        <v>66</v>
      </c>
      <c r="R180">
        <f>SUMIF(A180:A5179,"C00179",I180:I5179)</f>
        <v>1761.66</v>
      </c>
      <c r="S180" s="1">
        <v>1761.66</v>
      </c>
      <c r="T180">
        <f t="shared" si="14"/>
        <v>125.832857142857</v>
      </c>
      <c r="U180">
        <f t="shared" si="15"/>
        <v>516.6</v>
      </c>
      <c r="V180">
        <f t="shared" si="19"/>
        <v>43.05</v>
      </c>
      <c r="W180">
        <f t="shared" si="16"/>
        <v>1203.07</v>
      </c>
      <c r="X180">
        <f t="shared" si="17"/>
        <v>0.61520132138312</v>
      </c>
      <c r="AH180" t="str">
        <f t="shared" si="20"/>
        <v>3rd Quality</v>
      </c>
      <c r="AJ180">
        <f>((T180-X180)*2)/26.1</f>
        <v>9.59522266831217</v>
      </c>
      <c r="AK180">
        <f t="shared" si="18"/>
        <v>142946.125714286</v>
      </c>
    </row>
    <row r="181" spans="1:37">
      <c r="A181" t="s">
        <v>244</v>
      </c>
      <c r="B181">
        <v>37</v>
      </c>
      <c r="C181" t="s">
        <v>44</v>
      </c>
      <c r="D181" t="s">
        <v>51</v>
      </c>
      <c r="E181">
        <v>800</v>
      </c>
      <c r="F181">
        <v>50</v>
      </c>
      <c r="G181">
        <v>2</v>
      </c>
      <c r="H181">
        <v>846.68</v>
      </c>
      <c r="I181">
        <v>1822.96</v>
      </c>
      <c r="J181">
        <v>21</v>
      </c>
      <c r="K181">
        <v>0</v>
      </c>
      <c r="L181">
        <v>34.7</v>
      </c>
      <c r="M181">
        <v>38</v>
      </c>
      <c r="N181" t="s">
        <v>61</v>
      </c>
      <c r="O181" t="s">
        <v>75</v>
      </c>
      <c r="P181" t="s">
        <v>66</v>
      </c>
      <c r="R181">
        <f>SUMIF(A181:A5180,"C00180",I181:I5180)</f>
        <v>1822.96</v>
      </c>
      <c r="S181" s="1">
        <v>1822.96</v>
      </c>
      <c r="T181">
        <f t="shared" si="14"/>
        <v>86.8076190476191</v>
      </c>
      <c r="U181">
        <f t="shared" si="15"/>
        <v>798</v>
      </c>
      <c r="V181">
        <f t="shared" si="19"/>
        <v>66.5</v>
      </c>
      <c r="W181">
        <f t="shared" si="16"/>
        <v>890.213333333333</v>
      </c>
      <c r="X181">
        <f t="shared" si="17"/>
        <v>0.944867009968347</v>
      </c>
      <c r="AH181" t="str">
        <f t="shared" si="20"/>
        <v>3rd Quality</v>
      </c>
      <c r="AJ181">
        <f>((T181-X181)*2)/34.7</f>
        <v>4.94886178891359</v>
      </c>
      <c r="AK181">
        <f t="shared" si="18"/>
        <v>69446.0952380953</v>
      </c>
    </row>
    <row r="182" spans="1:37">
      <c r="A182" t="s">
        <v>245</v>
      </c>
      <c r="B182">
        <v>37</v>
      </c>
      <c r="C182" t="s">
        <v>44</v>
      </c>
      <c r="D182" t="s">
        <v>51</v>
      </c>
      <c r="E182">
        <v>1068</v>
      </c>
      <c r="F182">
        <v>365</v>
      </c>
      <c r="G182">
        <v>1</v>
      </c>
      <c r="H182">
        <v>2055.8</v>
      </c>
      <c r="I182">
        <v>2242.69</v>
      </c>
      <c r="J182">
        <v>19</v>
      </c>
      <c r="K182">
        <v>0</v>
      </c>
      <c r="L182">
        <v>14.1</v>
      </c>
      <c r="M182">
        <v>37.4</v>
      </c>
      <c r="N182" t="s">
        <v>46</v>
      </c>
      <c r="O182" t="s">
        <v>47</v>
      </c>
      <c r="P182" t="s">
        <v>58</v>
      </c>
      <c r="R182">
        <f>SUMIF(A182:A5181,"C00181",I182:I5181)</f>
        <v>2242.69</v>
      </c>
      <c r="S182" s="1">
        <v>2242.69</v>
      </c>
      <c r="T182">
        <f t="shared" si="14"/>
        <v>118.036315789474</v>
      </c>
      <c r="U182">
        <f t="shared" si="15"/>
        <v>710.6</v>
      </c>
      <c r="V182">
        <f t="shared" si="19"/>
        <v>59.2166666666667</v>
      </c>
      <c r="W182">
        <f t="shared" si="16"/>
        <v>1433.16333333333</v>
      </c>
      <c r="X182">
        <f t="shared" si="17"/>
        <v>0.519505788500827</v>
      </c>
      <c r="AH182" t="str">
        <f t="shared" si="20"/>
        <v>3rd Quality</v>
      </c>
      <c r="AJ182">
        <f>((T182-X182)*2)/14.1</f>
        <v>16.6690510639678</v>
      </c>
      <c r="AK182">
        <f t="shared" si="18"/>
        <v>126062.785263158</v>
      </c>
    </row>
    <row r="183" spans="1:37">
      <c r="A183" t="s">
        <v>246</v>
      </c>
      <c r="B183">
        <v>18</v>
      </c>
      <c r="C183" t="s">
        <v>44</v>
      </c>
      <c r="D183" t="s">
        <v>60</v>
      </c>
      <c r="E183">
        <v>1343</v>
      </c>
      <c r="F183">
        <v>120</v>
      </c>
      <c r="G183">
        <v>1</v>
      </c>
      <c r="H183">
        <v>177303</v>
      </c>
      <c r="I183">
        <v>1633.79</v>
      </c>
      <c r="J183">
        <v>17</v>
      </c>
      <c r="K183">
        <v>0</v>
      </c>
      <c r="L183">
        <v>15.6</v>
      </c>
      <c r="M183">
        <v>12.1</v>
      </c>
      <c r="N183" t="s">
        <v>46</v>
      </c>
      <c r="O183" t="s">
        <v>75</v>
      </c>
      <c r="P183" t="s">
        <v>68</v>
      </c>
      <c r="R183">
        <f>SUMIF(A183:A5182,"C00182",I183:I5182)</f>
        <v>1633.79</v>
      </c>
      <c r="S183" s="1">
        <v>1633.79</v>
      </c>
      <c r="T183">
        <f t="shared" si="14"/>
        <v>96.1052941176471</v>
      </c>
      <c r="U183">
        <f t="shared" si="15"/>
        <v>205.7</v>
      </c>
      <c r="V183">
        <f t="shared" si="19"/>
        <v>17.1416666666667</v>
      </c>
      <c r="W183">
        <f t="shared" si="16"/>
        <v>59645.93</v>
      </c>
      <c r="X183">
        <f t="shared" si="17"/>
        <v>0.00757460392661151</v>
      </c>
      <c r="AH183" t="str">
        <f t="shared" si="20"/>
        <v>1st Quality</v>
      </c>
      <c r="AJ183">
        <f>((T183-X183)*2)/15.6</f>
        <v>12.320220450477</v>
      </c>
      <c r="AK183">
        <f t="shared" si="18"/>
        <v>129069.41</v>
      </c>
    </row>
    <row r="184" spans="1:37">
      <c r="A184" t="s">
        <v>247</v>
      </c>
      <c r="B184">
        <v>27</v>
      </c>
      <c r="C184" t="s">
        <v>101</v>
      </c>
      <c r="D184" t="s">
        <v>60</v>
      </c>
      <c r="E184">
        <v>992</v>
      </c>
      <c r="F184">
        <v>46</v>
      </c>
      <c r="G184">
        <v>5</v>
      </c>
      <c r="H184">
        <v>11486.39</v>
      </c>
      <c r="I184">
        <v>55843.03</v>
      </c>
      <c r="J184">
        <v>33</v>
      </c>
      <c r="K184">
        <v>2</v>
      </c>
      <c r="L184">
        <v>0</v>
      </c>
      <c r="M184">
        <v>9.9</v>
      </c>
      <c r="N184" t="s">
        <v>81</v>
      </c>
      <c r="O184" t="s">
        <v>47</v>
      </c>
      <c r="P184" t="s">
        <v>58</v>
      </c>
      <c r="R184">
        <f>SUMIF(A184:A5183,"C00183",I184:I5183)</f>
        <v>55843.03</v>
      </c>
      <c r="S184" s="1">
        <v>55843.03</v>
      </c>
      <c r="T184">
        <f t="shared" si="14"/>
        <v>1692.21303030303</v>
      </c>
      <c r="U184">
        <f t="shared" si="15"/>
        <v>326.7</v>
      </c>
      <c r="V184">
        <f>U184*2</f>
        <v>653.4</v>
      </c>
      <c r="W184">
        <f t="shared" si="16"/>
        <v>22443.4733333333</v>
      </c>
      <c r="X184">
        <f t="shared" si="17"/>
        <v>0.086363078391035</v>
      </c>
      <c r="AH184" t="str">
        <f t="shared" si="20"/>
        <v>1st Quality</v>
      </c>
      <c r="AJ184">
        <f>((T184-X184)*2)</f>
        <v>3384.25333444928</v>
      </c>
      <c r="AK184">
        <f t="shared" si="18"/>
        <v>1678675.32606061</v>
      </c>
    </row>
    <row r="185" spans="1:37">
      <c r="A185" t="s">
        <v>248</v>
      </c>
      <c r="B185">
        <v>29</v>
      </c>
      <c r="C185" t="s">
        <v>50</v>
      </c>
      <c r="D185" t="s">
        <v>60</v>
      </c>
      <c r="E185">
        <v>624</v>
      </c>
      <c r="F185">
        <v>22</v>
      </c>
      <c r="G185">
        <v>8</v>
      </c>
      <c r="H185">
        <v>1073.86</v>
      </c>
      <c r="I185">
        <v>9160.45</v>
      </c>
      <c r="J185">
        <v>61</v>
      </c>
      <c r="K185">
        <v>2</v>
      </c>
      <c r="L185">
        <v>34.7</v>
      </c>
      <c r="M185">
        <v>17.8</v>
      </c>
      <c r="N185" t="s">
        <v>81</v>
      </c>
      <c r="O185" t="s">
        <v>53</v>
      </c>
      <c r="P185" t="s">
        <v>58</v>
      </c>
      <c r="R185">
        <f>SUMIF(A185:A5184,"C00184",I185:I5184)</f>
        <v>9160.45</v>
      </c>
      <c r="S185" s="1">
        <v>9160.45</v>
      </c>
      <c r="T185">
        <f t="shared" si="14"/>
        <v>150.17131147541</v>
      </c>
      <c r="U185">
        <f t="shared" si="15"/>
        <v>1085.8</v>
      </c>
      <c r="V185">
        <f>U185*2</f>
        <v>2171.6</v>
      </c>
      <c r="W185">
        <f t="shared" si="16"/>
        <v>3411.77</v>
      </c>
      <c r="X185">
        <f t="shared" si="17"/>
        <v>0.581081332762185</v>
      </c>
      <c r="AH185" t="str">
        <f t="shared" si="20"/>
        <v>3rd Quality</v>
      </c>
      <c r="AJ185">
        <f>((T185-X185)*2)/34.7</f>
        <v>8.62191528199699</v>
      </c>
      <c r="AK185">
        <f t="shared" si="18"/>
        <v>93706.8983606557</v>
      </c>
    </row>
    <row r="186" spans="1:37">
      <c r="A186" t="s">
        <v>249</v>
      </c>
      <c r="B186">
        <v>18</v>
      </c>
      <c r="C186" t="s">
        <v>56</v>
      </c>
      <c r="D186" t="s">
        <v>45</v>
      </c>
      <c r="E186">
        <v>1410</v>
      </c>
      <c r="F186">
        <v>158</v>
      </c>
      <c r="G186">
        <v>3</v>
      </c>
      <c r="H186">
        <v>488.23</v>
      </c>
      <c r="I186">
        <v>1294.1</v>
      </c>
      <c r="J186">
        <v>22</v>
      </c>
      <c r="K186">
        <v>0</v>
      </c>
      <c r="L186">
        <v>31.1</v>
      </c>
      <c r="M186">
        <v>15.6</v>
      </c>
      <c r="N186" t="s">
        <v>46</v>
      </c>
      <c r="O186" t="s">
        <v>47</v>
      </c>
      <c r="P186" t="s">
        <v>58</v>
      </c>
      <c r="R186">
        <f>SUMIF(A186:A5185,"C00185",I186:I5185)</f>
        <v>1294.1</v>
      </c>
      <c r="S186" s="1">
        <v>1294.1</v>
      </c>
      <c r="T186">
        <f t="shared" si="14"/>
        <v>58.8227272727273</v>
      </c>
      <c r="U186">
        <f t="shared" si="15"/>
        <v>343.2</v>
      </c>
      <c r="V186">
        <f t="shared" si="19"/>
        <v>28.6</v>
      </c>
      <c r="W186">
        <f t="shared" si="16"/>
        <v>594.443333333333</v>
      </c>
      <c r="X186">
        <f t="shared" si="17"/>
        <v>2.88798312270856</v>
      </c>
      <c r="AH186" t="str">
        <f t="shared" si="20"/>
        <v>3rd Quality</v>
      </c>
      <c r="AJ186">
        <f>((T186-X186)*2)/31.1</f>
        <v>3.59708965594976</v>
      </c>
      <c r="AK186">
        <f t="shared" si="18"/>
        <v>82940.0454545455</v>
      </c>
    </row>
    <row r="187" spans="1:37">
      <c r="A187" t="s">
        <v>250</v>
      </c>
      <c r="B187">
        <v>31</v>
      </c>
      <c r="C187" t="s">
        <v>50</v>
      </c>
      <c r="D187" t="s">
        <v>51</v>
      </c>
      <c r="E187">
        <v>683</v>
      </c>
      <c r="F187">
        <v>37</v>
      </c>
      <c r="G187">
        <v>2</v>
      </c>
      <c r="H187">
        <v>835.16</v>
      </c>
      <c r="I187">
        <v>1720.74</v>
      </c>
      <c r="J187">
        <v>13</v>
      </c>
      <c r="K187">
        <v>1</v>
      </c>
      <c r="L187">
        <v>19.2</v>
      </c>
      <c r="M187">
        <v>19.6</v>
      </c>
      <c r="N187" t="s">
        <v>46</v>
      </c>
      <c r="O187" t="s">
        <v>47</v>
      </c>
      <c r="P187" t="s">
        <v>58</v>
      </c>
      <c r="R187">
        <f>SUMIF(A187:A5186,"C00186",I187:I5186)</f>
        <v>1720.74</v>
      </c>
      <c r="S187" s="1">
        <v>1720.74</v>
      </c>
      <c r="T187">
        <f t="shared" si="14"/>
        <v>132.364615384615</v>
      </c>
      <c r="U187">
        <f t="shared" si="15"/>
        <v>254.8</v>
      </c>
      <c r="V187">
        <f>U187*1</f>
        <v>254.8</v>
      </c>
      <c r="W187">
        <f t="shared" si="16"/>
        <v>852.3</v>
      </c>
      <c r="X187">
        <f t="shared" si="17"/>
        <v>0.817807366253173</v>
      </c>
      <c r="AH187" t="str">
        <f t="shared" si="20"/>
        <v>3rd Quality</v>
      </c>
      <c r="AJ187">
        <f>((T187-X187)*2)/19.2</f>
        <v>13.7027925019127</v>
      </c>
      <c r="AK187">
        <f t="shared" si="18"/>
        <v>90405.0323076923</v>
      </c>
    </row>
    <row r="188" spans="1:37">
      <c r="A188" t="s">
        <v>251</v>
      </c>
      <c r="B188">
        <v>34</v>
      </c>
      <c r="C188" t="s">
        <v>44</v>
      </c>
      <c r="D188" t="s">
        <v>45</v>
      </c>
      <c r="E188">
        <v>917</v>
      </c>
      <c r="F188">
        <v>11</v>
      </c>
      <c r="G188">
        <v>10</v>
      </c>
      <c r="H188">
        <v>913.95</v>
      </c>
      <c r="I188">
        <v>8952.27</v>
      </c>
      <c r="J188">
        <v>59</v>
      </c>
      <c r="K188">
        <v>0</v>
      </c>
      <c r="L188">
        <v>16.1</v>
      </c>
      <c r="M188">
        <v>47.2</v>
      </c>
      <c r="N188" t="s">
        <v>63</v>
      </c>
      <c r="O188" t="s">
        <v>47</v>
      </c>
      <c r="P188" t="s">
        <v>68</v>
      </c>
      <c r="R188">
        <f>SUMIF(A188:A5187,"C00187",I188:I5187)</f>
        <v>8952.27</v>
      </c>
      <c r="S188" s="1">
        <v>8952.27</v>
      </c>
      <c r="T188">
        <f t="shared" si="14"/>
        <v>151.733389830508</v>
      </c>
      <c r="U188">
        <f t="shared" si="15"/>
        <v>2784.8</v>
      </c>
      <c r="V188">
        <f t="shared" si="19"/>
        <v>232.066666666667</v>
      </c>
      <c r="W188">
        <f t="shared" si="16"/>
        <v>3289.07333333333</v>
      </c>
      <c r="X188">
        <f t="shared" si="17"/>
        <v>1.00333716286449</v>
      </c>
      <c r="AH188" t="str">
        <f t="shared" si="20"/>
        <v>3rd Quality</v>
      </c>
      <c r="AJ188">
        <f>((T188-X188)*2)/16.1</f>
        <v>18.7242301450489</v>
      </c>
      <c r="AK188">
        <f t="shared" si="18"/>
        <v>139139.518474576</v>
      </c>
    </row>
    <row r="189" spans="1:37">
      <c r="A189" t="s">
        <v>252</v>
      </c>
      <c r="B189">
        <v>19</v>
      </c>
      <c r="C189" t="s">
        <v>50</v>
      </c>
      <c r="D189" t="s">
        <v>45</v>
      </c>
      <c r="E189">
        <v>553</v>
      </c>
      <c r="F189">
        <v>33</v>
      </c>
      <c r="G189">
        <v>40</v>
      </c>
      <c r="H189">
        <v>2426.16</v>
      </c>
      <c r="I189">
        <v>97454.31</v>
      </c>
      <c r="J189">
        <v>250</v>
      </c>
      <c r="K189">
        <v>8</v>
      </c>
      <c r="L189">
        <v>7.9</v>
      </c>
      <c r="M189">
        <v>26.2</v>
      </c>
      <c r="N189" t="s">
        <v>61</v>
      </c>
      <c r="O189" t="s">
        <v>47</v>
      </c>
      <c r="P189" t="s">
        <v>58</v>
      </c>
      <c r="R189">
        <f>SUMIF(A189:A5188,"C00188",I189:I5188)</f>
        <v>97454.31</v>
      </c>
      <c r="S189" s="1">
        <v>97454.31</v>
      </c>
      <c r="T189">
        <f t="shared" si="14"/>
        <v>389.81724</v>
      </c>
      <c r="U189">
        <f t="shared" si="15"/>
        <v>6550</v>
      </c>
      <c r="V189">
        <f>U189*8</f>
        <v>52400</v>
      </c>
      <c r="W189">
        <f t="shared" si="16"/>
        <v>33293.8233333333</v>
      </c>
      <c r="X189">
        <f t="shared" si="17"/>
        <v>0.22793220562535</v>
      </c>
      <c r="AH189" t="str">
        <f t="shared" si="20"/>
        <v>2nd Quality</v>
      </c>
      <c r="AJ189">
        <f>((T189-X189)*2)/7.9</f>
        <v>98.630204504905</v>
      </c>
      <c r="AK189">
        <f t="shared" si="18"/>
        <v>215568.93372</v>
      </c>
    </row>
    <row r="190" spans="1:37">
      <c r="A190" t="s">
        <v>253</v>
      </c>
      <c r="B190">
        <v>48</v>
      </c>
      <c r="C190" t="s">
        <v>44</v>
      </c>
      <c r="D190" t="s">
        <v>60</v>
      </c>
      <c r="E190">
        <v>1324</v>
      </c>
      <c r="F190">
        <v>40</v>
      </c>
      <c r="G190">
        <v>2</v>
      </c>
      <c r="H190">
        <v>1321.6</v>
      </c>
      <c r="I190">
        <v>2591.41</v>
      </c>
      <c r="J190">
        <v>10</v>
      </c>
      <c r="K190">
        <v>0</v>
      </c>
      <c r="L190">
        <v>38.4</v>
      </c>
      <c r="M190">
        <v>7.8</v>
      </c>
      <c r="N190" t="s">
        <v>78</v>
      </c>
      <c r="O190" t="s">
        <v>75</v>
      </c>
      <c r="P190" t="s">
        <v>58</v>
      </c>
      <c r="R190">
        <f>SUMIF(A190:A5189,"C00189",I190:I5189)</f>
        <v>2591.41</v>
      </c>
      <c r="S190" s="1">
        <v>2591.41</v>
      </c>
      <c r="T190">
        <f t="shared" si="14"/>
        <v>259.141</v>
      </c>
      <c r="U190">
        <f t="shared" si="15"/>
        <v>78</v>
      </c>
      <c r="V190">
        <f t="shared" si="19"/>
        <v>6.5</v>
      </c>
      <c r="W190">
        <f t="shared" si="16"/>
        <v>1304.67</v>
      </c>
      <c r="X190">
        <f t="shared" si="17"/>
        <v>1.00181598062954</v>
      </c>
      <c r="AH190" t="str">
        <f t="shared" si="20"/>
        <v>3rd Quality</v>
      </c>
      <c r="AJ190">
        <f>((T190-X190)*2)/38.4</f>
        <v>13.4447491676755</v>
      </c>
      <c r="AK190">
        <f t="shared" si="18"/>
        <v>343102.684</v>
      </c>
    </row>
    <row r="191" spans="1:37">
      <c r="A191" t="s">
        <v>254</v>
      </c>
      <c r="B191">
        <v>24</v>
      </c>
      <c r="C191" t="s">
        <v>44</v>
      </c>
      <c r="D191" t="s">
        <v>51</v>
      </c>
      <c r="E191">
        <v>1440</v>
      </c>
      <c r="F191">
        <v>71</v>
      </c>
      <c r="G191">
        <v>10</v>
      </c>
      <c r="H191">
        <v>2440.36</v>
      </c>
      <c r="I191">
        <v>22619.53</v>
      </c>
      <c r="J191">
        <v>86</v>
      </c>
      <c r="K191">
        <v>0</v>
      </c>
      <c r="L191">
        <v>20.7</v>
      </c>
      <c r="M191">
        <v>54.7</v>
      </c>
      <c r="N191" t="s">
        <v>57</v>
      </c>
      <c r="O191" t="s">
        <v>47</v>
      </c>
      <c r="P191" t="s">
        <v>58</v>
      </c>
      <c r="R191">
        <f>SUMIF(A191:A5190,"C00190",I191:I5190)</f>
        <v>22619.53</v>
      </c>
      <c r="S191" s="1">
        <v>22619.53</v>
      </c>
      <c r="T191">
        <f t="shared" si="14"/>
        <v>263.017790697674</v>
      </c>
      <c r="U191">
        <f t="shared" si="15"/>
        <v>4704.2</v>
      </c>
      <c r="V191">
        <f t="shared" si="19"/>
        <v>392.016666666667</v>
      </c>
      <c r="W191">
        <f t="shared" si="16"/>
        <v>8353.63</v>
      </c>
      <c r="X191">
        <f t="shared" si="17"/>
        <v>0.59007687390385</v>
      </c>
      <c r="AH191" t="str">
        <f t="shared" si="20"/>
        <v>2nd Quality</v>
      </c>
      <c r="AJ191">
        <f>((T191-X191)*2)/20.7</f>
        <v>25.3553346689633</v>
      </c>
      <c r="AK191">
        <f t="shared" si="18"/>
        <v>378745.618604651</v>
      </c>
    </row>
    <row r="192" spans="1:37">
      <c r="A192" t="s">
        <v>255</v>
      </c>
      <c r="B192">
        <v>18</v>
      </c>
      <c r="C192" t="s">
        <v>50</v>
      </c>
      <c r="D192" t="s">
        <v>45</v>
      </c>
      <c r="E192">
        <v>787</v>
      </c>
      <c r="F192">
        <v>290</v>
      </c>
      <c r="G192">
        <v>1</v>
      </c>
      <c r="H192">
        <v>2624.41</v>
      </c>
      <c r="I192">
        <v>2528.96</v>
      </c>
      <c r="J192">
        <v>6</v>
      </c>
      <c r="K192">
        <v>0</v>
      </c>
      <c r="L192">
        <v>21.2</v>
      </c>
      <c r="M192">
        <v>26.8</v>
      </c>
      <c r="N192" t="s">
        <v>78</v>
      </c>
      <c r="O192" t="s">
        <v>47</v>
      </c>
      <c r="P192" t="s">
        <v>58</v>
      </c>
      <c r="R192">
        <f>SUMIF(A192:A5191,"C00191",I192:I5191)</f>
        <v>2528.96</v>
      </c>
      <c r="S192" s="1">
        <v>2528.96</v>
      </c>
      <c r="T192">
        <f t="shared" si="14"/>
        <v>421.493333333333</v>
      </c>
      <c r="U192">
        <f t="shared" si="15"/>
        <v>160.8</v>
      </c>
      <c r="V192">
        <f t="shared" si="19"/>
        <v>13.4</v>
      </c>
      <c r="W192">
        <f t="shared" si="16"/>
        <v>1718.12333333333</v>
      </c>
      <c r="X192">
        <f t="shared" si="17"/>
        <v>0.299876924718318</v>
      </c>
      <c r="AH192" t="str">
        <f t="shared" si="20"/>
        <v>3rd Quality</v>
      </c>
      <c r="AJ192">
        <f>((T192-X192)*2)/21.2</f>
        <v>39.7352317366618</v>
      </c>
      <c r="AK192">
        <f t="shared" si="18"/>
        <v>331715.253333333</v>
      </c>
    </row>
    <row r="193" spans="1:37">
      <c r="A193" t="s">
        <v>256</v>
      </c>
      <c r="B193">
        <v>45</v>
      </c>
      <c r="C193" t="s">
        <v>44</v>
      </c>
      <c r="D193" t="s">
        <v>45</v>
      </c>
      <c r="E193">
        <v>842</v>
      </c>
      <c r="F193">
        <v>18</v>
      </c>
      <c r="G193">
        <v>13</v>
      </c>
      <c r="H193">
        <v>1942.37</v>
      </c>
      <c r="I193">
        <v>27438.84</v>
      </c>
      <c r="J193">
        <v>86</v>
      </c>
      <c r="K193">
        <v>0</v>
      </c>
      <c r="L193">
        <v>17</v>
      </c>
      <c r="M193">
        <v>31</v>
      </c>
      <c r="N193" t="s">
        <v>63</v>
      </c>
      <c r="O193" t="s">
        <v>47</v>
      </c>
      <c r="P193" t="s">
        <v>48</v>
      </c>
      <c r="R193">
        <f>SUMIF(A193:A5192,"C00192",I193:I5192)</f>
        <v>27438.84</v>
      </c>
      <c r="S193" s="1">
        <v>27438.84</v>
      </c>
      <c r="T193">
        <f t="shared" si="14"/>
        <v>319.056279069767</v>
      </c>
      <c r="U193">
        <f t="shared" si="15"/>
        <v>2666</v>
      </c>
      <c r="V193">
        <f t="shared" si="19"/>
        <v>222.166666666667</v>
      </c>
      <c r="W193">
        <f t="shared" si="16"/>
        <v>9794.07</v>
      </c>
      <c r="X193">
        <f t="shared" si="17"/>
        <v>0.433491044445703</v>
      </c>
      <c r="AH193" t="str">
        <f t="shared" si="20"/>
        <v>3rd Quality</v>
      </c>
      <c r="AJ193">
        <f>((T193-X193)*2)/17</f>
        <v>37.4850338853319</v>
      </c>
      <c r="AK193">
        <f t="shared" si="18"/>
        <v>268645.386976744</v>
      </c>
    </row>
    <row r="194" spans="1:37">
      <c r="A194" t="s">
        <v>257</v>
      </c>
      <c r="B194">
        <v>21</v>
      </c>
      <c r="C194" t="s">
        <v>44</v>
      </c>
      <c r="D194" t="s">
        <v>45</v>
      </c>
      <c r="E194">
        <v>876</v>
      </c>
      <c r="F194">
        <v>5</v>
      </c>
      <c r="G194">
        <v>25</v>
      </c>
      <c r="H194">
        <v>3273.74</v>
      </c>
      <c r="I194">
        <v>84023.06</v>
      </c>
      <c r="J194">
        <v>106</v>
      </c>
      <c r="K194">
        <v>2</v>
      </c>
      <c r="L194">
        <v>13.5</v>
      </c>
      <c r="M194">
        <v>25.4</v>
      </c>
      <c r="N194" t="s">
        <v>81</v>
      </c>
      <c r="O194" t="s">
        <v>47</v>
      </c>
      <c r="P194" t="s">
        <v>68</v>
      </c>
      <c r="R194">
        <f>SUMIF(A194:A5193,"C00193",I194:I5193)</f>
        <v>84023.06</v>
      </c>
      <c r="S194" s="1">
        <v>84023.06</v>
      </c>
      <c r="T194">
        <f t="shared" si="14"/>
        <v>792.670377358491</v>
      </c>
      <c r="U194">
        <f t="shared" si="15"/>
        <v>2692.4</v>
      </c>
      <c r="V194">
        <f>U194*2</f>
        <v>5384.8</v>
      </c>
      <c r="W194">
        <f t="shared" si="16"/>
        <v>29099.2666666667</v>
      </c>
      <c r="X194">
        <f t="shared" si="17"/>
        <v>0.267583864326428</v>
      </c>
      <c r="AH194" t="str">
        <f t="shared" si="20"/>
        <v>2nd Quality</v>
      </c>
      <c r="AJ194">
        <f>((T194-X194)*2)/13.5</f>
        <v>117.39300644358</v>
      </c>
      <c r="AK194">
        <f t="shared" si="18"/>
        <v>694379.250566038</v>
      </c>
    </row>
    <row r="195" spans="1:37">
      <c r="A195" t="s">
        <v>258</v>
      </c>
      <c r="B195">
        <v>25</v>
      </c>
      <c r="C195" t="s">
        <v>44</v>
      </c>
      <c r="D195" t="s">
        <v>45</v>
      </c>
      <c r="E195">
        <v>1404</v>
      </c>
      <c r="F195">
        <v>71</v>
      </c>
      <c r="G195">
        <v>5</v>
      </c>
      <c r="H195">
        <v>1250.26</v>
      </c>
      <c r="I195">
        <v>6217.19</v>
      </c>
      <c r="J195">
        <v>51</v>
      </c>
      <c r="K195">
        <v>0</v>
      </c>
      <c r="L195">
        <v>38.1</v>
      </c>
      <c r="M195">
        <v>19.7</v>
      </c>
      <c r="N195" t="s">
        <v>57</v>
      </c>
      <c r="O195" t="s">
        <v>47</v>
      </c>
      <c r="P195" t="s">
        <v>58</v>
      </c>
      <c r="R195">
        <f>SUMIF(A195:A5194,"C00194",I195:I5194)</f>
        <v>6217.19</v>
      </c>
      <c r="S195" s="1">
        <v>6217.19</v>
      </c>
      <c r="T195">
        <f t="shared" ref="T195:T258" si="21">I195/J195</f>
        <v>121.90568627451</v>
      </c>
      <c r="U195">
        <f t="shared" ref="U195:U258" si="22">J195*M195</f>
        <v>1004.7</v>
      </c>
      <c r="V195">
        <f t="shared" ref="V195:V258" si="23">U195/12</f>
        <v>83.725</v>
      </c>
      <c r="W195">
        <f t="shared" ref="W195:W258" si="24">(H195+I195+1)/3</f>
        <v>2489.48333333333</v>
      </c>
      <c r="X195">
        <f t="shared" ref="X195:X238" si="25">E195/H195</f>
        <v>1.12296642298402</v>
      </c>
      <c r="AH195" t="str">
        <f t="shared" si="20"/>
        <v>3rd Quality</v>
      </c>
      <c r="AJ195">
        <f>((T195-X195)*2)/38.1</f>
        <v>6.34030025467328</v>
      </c>
      <c r="AK195">
        <f t="shared" ref="AK195:AK258" si="26">I195/J195*E195</f>
        <v>171155.583529412</v>
      </c>
    </row>
    <row r="196" spans="1:37">
      <c r="A196" t="s">
        <v>259</v>
      </c>
      <c r="B196">
        <v>43</v>
      </c>
      <c r="C196" t="s">
        <v>44</v>
      </c>
      <c r="D196" t="s">
        <v>60</v>
      </c>
      <c r="E196">
        <v>1036</v>
      </c>
      <c r="F196">
        <v>20</v>
      </c>
      <c r="G196">
        <v>27</v>
      </c>
      <c r="H196">
        <v>366301</v>
      </c>
      <c r="I196">
        <v>103792.19</v>
      </c>
      <c r="J196">
        <v>223</v>
      </c>
      <c r="K196">
        <v>2</v>
      </c>
      <c r="L196">
        <v>14.5</v>
      </c>
      <c r="M196">
        <v>23.4</v>
      </c>
      <c r="N196" t="s">
        <v>78</v>
      </c>
      <c r="O196" t="s">
        <v>47</v>
      </c>
      <c r="P196" t="s">
        <v>66</v>
      </c>
      <c r="R196">
        <f>SUMIF(A196:A5195,"C00195",I196:I5195)</f>
        <v>103792.19</v>
      </c>
      <c r="S196" s="1">
        <v>103792.19</v>
      </c>
      <c r="T196">
        <f t="shared" si="21"/>
        <v>465.435829596413</v>
      </c>
      <c r="U196">
        <f t="shared" si="22"/>
        <v>5218.2</v>
      </c>
      <c r="V196">
        <f>U196*2</f>
        <v>10436.4</v>
      </c>
      <c r="W196">
        <f t="shared" si="24"/>
        <v>156698.063333333</v>
      </c>
      <c r="X196">
        <f t="shared" si="25"/>
        <v>0.00282827510708406</v>
      </c>
      <c r="AH196" t="str">
        <f t="shared" si="20"/>
        <v>2nd Quality</v>
      </c>
      <c r="AJ196">
        <f>((T196-X196)*2)/14.5</f>
        <v>64.1976553546629</v>
      </c>
      <c r="AK196">
        <f t="shared" si="26"/>
        <v>482191.519461883</v>
      </c>
    </row>
    <row r="197" spans="1:37">
      <c r="A197" t="s">
        <v>260</v>
      </c>
      <c r="B197">
        <v>26</v>
      </c>
      <c r="C197" t="s">
        <v>44</v>
      </c>
      <c r="D197" t="s">
        <v>60</v>
      </c>
      <c r="E197">
        <v>470</v>
      </c>
      <c r="F197">
        <v>6</v>
      </c>
      <c r="G197">
        <v>15</v>
      </c>
      <c r="H197">
        <v>67073</v>
      </c>
      <c r="I197">
        <v>92972.75</v>
      </c>
      <c r="J197">
        <v>82</v>
      </c>
      <c r="K197">
        <v>1</v>
      </c>
      <c r="L197">
        <v>0</v>
      </c>
      <c r="M197">
        <v>37.2</v>
      </c>
      <c r="N197" t="s">
        <v>52</v>
      </c>
      <c r="O197" t="s">
        <v>47</v>
      </c>
      <c r="P197" t="s">
        <v>66</v>
      </c>
      <c r="R197">
        <f>SUMIF(A197:A5196,"C00196",I197:I5196)</f>
        <v>92972.75</v>
      </c>
      <c r="S197" s="1">
        <v>92972.75</v>
      </c>
      <c r="T197">
        <f t="shared" si="21"/>
        <v>1133.81402439024</v>
      </c>
      <c r="U197">
        <f t="shared" si="22"/>
        <v>3050.4</v>
      </c>
      <c r="V197">
        <f>U197*1</f>
        <v>3050.4</v>
      </c>
      <c r="W197">
        <f t="shared" si="24"/>
        <v>53348.9166666667</v>
      </c>
      <c r="X197">
        <f t="shared" si="25"/>
        <v>0.00700729056401234</v>
      </c>
      <c r="AH197" t="str">
        <f t="shared" si="20"/>
        <v>2nd Quality</v>
      </c>
      <c r="AJ197">
        <f>((T197-X197)*2)</f>
        <v>2267.61403419935</v>
      </c>
      <c r="AK197">
        <f t="shared" si="26"/>
        <v>532892.591463415</v>
      </c>
    </row>
    <row r="198" spans="1:37">
      <c r="A198" t="s">
        <v>261</v>
      </c>
      <c r="B198">
        <v>45</v>
      </c>
      <c r="C198" t="s">
        <v>44</v>
      </c>
      <c r="D198" t="s">
        <v>60</v>
      </c>
      <c r="E198">
        <v>1192</v>
      </c>
      <c r="F198">
        <v>46</v>
      </c>
      <c r="G198">
        <v>9</v>
      </c>
      <c r="H198">
        <v>6702.05</v>
      </c>
      <c r="I198">
        <v>54288.63</v>
      </c>
      <c r="J198">
        <v>79</v>
      </c>
      <c r="K198">
        <v>0</v>
      </c>
      <c r="L198">
        <v>4.9</v>
      </c>
      <c r="M198">
        <v>17.8</v>
      </c>
      <c r="N198" t="s">
        <v>46</v>
      </c>
      <c r="O198" t="s">
        <v>47</v>
      </c>
      <c r="P198" t="s">
        <v>58</v>
      </c>
      <c r="R198">
        <f>SUMIF(A198:A5197,"C00197",I198:I5197)</f>
        <v>54288.63</v>
      </c>
      <c r="S198" s="1">
        <v>54288.63</v>
      </c>
      <c r="T198">
        <f t="shared" si="21"/>
        <v>687.197848101266</v>
      </c>
      <c r="U198">
        <f t="shared" si="22"/>
        <v>1406.2</v>
      </c>
      <c r="V198">
        <f t="shared" si="23"/>
        <v>117.183333333333</v>
      </c>
      <c r="W198">
        <f t="shared" si="24"/>
        <v>20330.56</v>
      </c>
      <c r="X198">
        <f t="shared" si="25"/>
        <v>0.177856029125417</v>
      </c>
      <c r="AH198" t="str">
        <f t="shared" si="20"/>
        <v>3rd Quality</v>
      </c>
      <c r="AJ198">
        <f>((T198-X198)*2)/4.9</f>
        <v>280.416323294751</v>
      </c>
      <c r="AK198">
        <f t="shared" si="26"/>
        <v>819139.834936709</v>
      </c>
    </row>
    <row r="199" spans="1:37">
      <c r="A199" t="s">
        <v>262</v>
      </c>
      <c r="B199">
        <v>33</v>
      </c>
      <c r="C199" t="s">
        <v>50</v>
      </c>
      <c r="D199" t="s">
        <v>45</v>
      </c>
      <c r="E199">
        <v>859</v>
      </c>
      <c r="F199">
        <v>265</v>
      </c>
      <c r="G199">
        <v>1</v>
      </c>
      <c r="H199">
        <v>2195.08</v>
      </c>
      <c r="I199">
        <v>2220.68</v>
      </c>
      <c r="J199">
        <v>19</v>
      </c>
      <c r="K199">
        <v>1</v>
      </c>
      <c r="L199">
        <v>9.6</v>
      </c>
      <c r="M199">
        <v>60.2</v>
      </c>
      <c r="N199" t="s">
        <v>52</v>
      </c>
      <c r="O199" t="s">
        <v>53</v>
      </c>
      <c r="P199" t="s">
        <v>58</v>
      </c>
      <c r="R199">
        <f>SUMIF(A199:A5198,"C00198",I199:I5198)</f>
        <v>2220.68</v>
      </c>
      <c r="S199" s="1">
        <v>2220.68</v>
      </c>
      <c r="T199">
        <f t="shared" si="21"/>
        <v>116.877894736842</v>
      </c>
      <c r="U199">
        <f t="shared" si="22"/>
        <v>1143.8</v>
      </c>
      <c r="V199">
        <f>U199*1</f>
        <v>1143.8</v>
      </c>
      <c r="W199">
        <f t="shared" si="24"/>
        <v>1472.25333333333</v>
      </c>
      <c r="X199">
        <f t="shared" si="25"/>
        <v>0.391329700967618</v>
      </c>
      <c r="AH199" t="str">
        <f t="shared" si="20"/>
        <v>3rd Quality</v>
      </c>
      <c r="AJ199">
        <f>((T199-X199)*2)/9.6</f>
        <v>24.2680343824738</v>
      </c>
      <c r="AK199">
        <f t="shared" si="26"/>
        <v>100398.111578947</v>
      </c>
    </row>
    <row r="200" spans="1:37">
      <c r="A200" t="s">
        <v>263</v>
      </c>
      <c r="B200">
        <v>26</v>
      </c>
      <c r="C200" t="s">
        <v>44</v>
      </c>
      <c r="D200" t="s">
        <v>51</v>
      </c>
      <c r="E200">
        <v>443</v>
      </c>
      <c r="F200">
        <v>13</v>
      </c>
      <c r="G200">
        <v>34</v>
      </c>
      <c r="H200">
        <v>1979.25</v>
      </c>
      <c r="I200">
        <v>59404.93</v>
      </c>
      <c r="J200">
        <v>278</v>
      </c>
      <c r="K200">
        <v>3</v>
      </c>
      <c r="L200">
        <v>13.7</v>
      </c>
      <c r="M200">
        <v>56.1</v>
      </c>
      <c r="N200" t="s">
        <v>61</v>
      </c>
      <c r="O200" t="s">
        <v>47</v>
      </c>
      <c r="P200" t="s">
        <v>68</v>
      </c>
      <c r="R200">
        <f>SUMIF(A200:A5199,"C00199",I200:I5199)</f>
        <v>59404.93</v>
      </c>
      <c r="S200" s="1">
        <v>59404.93</v>
      </c>
      <c r="T200">
        <f t="shared" si="21"/>
        <v>213.686798561151</v>
      </c>
      <c r="U200">
        <f t="shared" si="22"/>
        <v>15595.8</v>
      </c>
      <c r="V200">
        <f>U200*3</f>
        <v>46787.4</v>
      </c>
      <c r="W200">
        <f t="shared" si="24"/>
        <v>20461.7266666667</v>
      </c>
      <c r="X200">
        <f t="shared" si="25"/>
        <v>0.223822154856638</v>
      </c>
      <c r="AH200" t="str">
        <f t="shared" si="20"/>
        <v>3rd Quality</v>
      </c>
      <c r="AJ200">
        <f>((T200-X200)*2)/13.7</f>
        <v>31.1624783074882</v>
      </c>
      <c r="AK200">
        <f t="shared" si="26"/>
        <v>94663.2517625899</v>
      </c>
    </row>
    <row r="201" spans="1:37">
      <c r="A201" t="s">
        <v>264</v>
      </c>
      <c r="B201">
        <v>38</v>
      </c>
      <c r="C201" t="s">
        <v>50</v>
      </c>
      <c r="D201" t="s">
        <v>60</v>
      </c>
      <c r="E201">
        <v>887</v>
      </c>
      <c r="F201">
        <v>120</v>
      </c>
      <c r="G201">
        <v>7</v>
      </c>
      <c r="H201">
        <v>1746.96</v>
      </c>
      <c r="I201">
        <v>11196.27</v>
      </c>
      <c r="J201">
        <v>40</v>
      </c>
      <c r="K201">
        <v>1</v>
      </c>
      <c r="L201">
        <v>22.5</v>
      </c>
      <c r="M201">
        <v>37.3</v>
      </c>
      <c r="N201" t="s">
        <v>57</v>
      </c>
      <c r="O201" t="s">
        <v>47</v>
      </c>
      <c r="P201" t="s">
        <v>58</v>
      </c>
      <c r="R201">
        <f>SUMIF(A201:A5200,"C00200",I201:I5200)</f>
        <v>11196.27</v>
      </c>
      <c r="S201" s="1">
        <v>11196.27</v>
      </c>
      <c r="T201">
        <f t="shared" si="21"/>
        <v>279.90675</v>
      </c>
      <c r="U201">
        <f t="shared" si="22"/>
        <v>1492</v>
      </c>
      <c r="V201">
        <f>U201*1</f>
        <v>1492</v>
      </c>
      <c r="W201">
        <f t="shared" si="24"/>
        <v>4314.74333333333</v>
      </c>
      <c r="X201">
        <f t="shared" si="25"/>
        <v>0.507739158309292</v>
      </c>
      <c r="AH201" t="str">
        <f t="shared" si="20"/>
        <v>3rd Quality</v>
      </c>
      <c r="AJ201">
        <f>((T201-X201)*2)/22.5</f>
        <v>24.8354676303725</v>
      </c>
      <c r="AK201">
        <f t="shared" si="26"/>
        <v>248277.28725</v>
      </c>
    </row>
    <row r="202" spans="1:37">
      <c r="A202" t="s">
        <v>265</v>
      </c>
      <c r="B202">
        <v>26</v>
      </c>
      <c r="C202" t="s">
        <v>44</v>
      </c>
      <c r="D202" t="s">
        <v>60</v>
      </c>
      <c r="E202">
        <v>439</v>
      </c>
      <c r="F202">
        <v>138</v>
      </c>
      <c r="G202">
        <v>2</v>
      </c>
      <c r="H202">
        <v>442.29</v>
      </c>
      <c r="I202">
        <v>930.66</v>
      </c>
      <c r="J202">
        <v>22</v>
      </c>
      <c r="K202">
        <v>0</v>
      </c>
      <c r="L202">
        <v>41</v>
      </c>
      <c r="M202">
        <v>37.1</v>
      </c>
      <c r="N202" t="s">
        <v>61</v>
      </c>
      <c r="O202" t="s">
        <v>47</v>
      </c>
      <c r="P202" t="s">
        <v>58</v>
      </c>
      <c r="R202">
        <f>SUMIF(A202:A5201,"C00201",I202:I5201)</f>
        <v>930.66</v>
      </c>
      <c r="S202" s="1">
        <v>930.66</v>
      </c>
      <c r="T202">
        <f t="shared" si="21"/>
        <v>42.3027272727273</v>
      </c>
      <c r="U202">
        <f t="shared" si="22"/>
        <v>816.2</v>
      </c>
      <c r="V202">
        <f t="shared" si="23"/>
        <v>68.0166666666667</v>
      </c>
      <c r="W202">
        <f t="shared" si="24"/>
        <v>457.983333333333</v>
      </c>
      <c r="X202">
        <f t="shared" si="25"/>
        <v>0.992561441588098</v>
      </c>
      <c r="AH202" t="str">
        <f t="shared" si="20"/>
        <v>3rd Quality</v>
      </c>
      <c r="AJ202">
        <f>((T202-X202)*2)/41</f>
        <v>2.01513004054338</v>
      </c>
      <c r="AK202">
        <f t="shared" si="26"/>
        <v>18570.8972727273</v>
      </c>
    </row>
    <row r="203" spans="1:37">
      <c r="A203" t="s">
        <v>266</v>
      </c>
      <c r="B203">
        <v>46</v>
      </c>
      <c r="C203" t="s">
        <v>50</v>
      </c>
      <c r="D203" t="s">
        <v>45</v>
      </c>
      <c r="E203">
        <v>649</v>
      </c>
      <c r="F203">
        <v>268</v>
      </c>
      <c r="G203">
        <v>1</v>
      </c>
      <c r="H203">
        <v>1071.95</v>
      </c>
      <c r="I203">
        <v>1175.27</v>
      </c>
      <c r="J203">
        <v>11</v>
      </c>
      <c r="K203">
        <v>1</v>
      </c>
      <c r="L203">
        <v>14.7</v>
      </c>
      <c r="M203">
        <v>16.9</v>
      </c>
      <c r="N203" t="s">
        <v>61</v>
      </c>
      <c r="O203" t="s">
        <v>53</v>
      </c>
      <c r="P203" t="s">
        <v>58</v>
      </c>
      <c r="R203">
        <f>SUMIF(A203:A5202,"C00202",I203:I5202)</f>
        <v>1175.27</v>
      </c>
      <c r="S203" s="1">
        <v>1175.27</v>
      </c>
      <c r="T203">
        <f t="shared" si="21"/>
        <v>106.842727272727</v>
      </c>
      <c r="U203">
        <f t="shared" si="22"/>
        <v>185.9</v>
      </c>
      <c r="V203">
        <f>U203*1</f>
        <v>185.9</v>
      </c>
      <c r="W203">
        <f t="shared" si="24"/>
        <v>749.406666666667</v>
      </c>
      <c r="X203">
        <f t="shared" si="25"/>
        <v>0.6054386865059</v>
      </c>
      <c r="AH203" t="str">
        <f t="shared" si="20"/>
        <v>3rd Quality</v>
      </c>
      <c r="AJ203">
        <f>((T203-X203)*2)/14.7</f>
        <v>14.4540528688736</v>
      </c>
      <c r="AK203">
        <f t="shared" si="26"/>
        <v>69340.93</v>
      </c>
    </row>
    <row r="204" spans="1:37">
      <c r="A204" t="s">
        <v>267</v>
      </c>
      <c r="B204">
        <v>33</v>
      </c>
      <c r="C204" t="s">
        <v>50</v>
      </c>
      <c r="D204" t="s">
        <v>45</v>
      </c>
      <c r="E204">
        <v>1175</v>
      </c>
      <c r="F204">
        <v>5</v>
      </c>
      <c r="G204">
        <v>5</v>
      </c>
      <c r="H204">
        <v>5835.12</v>
      </c>
      <c r="I204">
        <v>27671.99</v>
      </c>
      <c r="J204">
        <v>41</v>
      </c>
      <c r="K204">
        <v>0</v>
      </c>
      <c r="L204">
        <v>6.5</v>
      </c>
      <c r="M204">
        <v>24.6</v>
      </c>
      <c r="N204" t="s">
        <v>63</v>
      </c>
      <c r="O204" t="s">
        <v>47</v>
      </c>
      <c r="P204" t="s">
        <v>68</v>
      </c>
      <c r="R204">
        <f>SUMIF(A204:A5203,"C00203",I204:I5203)</f>
        <v>27671.99</v>
      </c>
      <c r="S204" s="1">
        <v>27671.99</v>
      </c>
      <c r="T204">
        <f t="shared" si="21"/>
        <v>674.926585365854</v>
      </c>
      <c r="U204">
        <f t="shared" si="22"/>
        <v>1008.6</v>
      </c>
      <c r="V204">
        <f t="shared" si="23"/>
        <v>84.05</v>
      </c>
      <c r="W204">
        <f t="shared" si="24"/>
        <v>11169.37</v>
      </c>
      <c r="X204">
        <f t="shared" si="25"/>
        <v>0.201366895625111</v>
      </c>
      <c r="AH204" t="str">
        <f t="shared" si="20"/>
        <v>2nd Quality</v>
      </c>
      <c r="AJ204">
        <f>((T204-X204)*2)/6.5</f>
        <v>207.607759529301</v>
      </c>
      <c r="AK204">
        <f t="shared" si="26"/>
        <v>793038.737804878</v>
      </c>
    </row>
    <row r="205" spans="1:37">
      <c r="A205" t="s">
        <v>268</v>
      </c>
      <c r="B205">
        <v>41</v>
      </c>
      <c r="C205" t="s">
        <v>50</v>
      </c>
      <c r="D205" t="s">
        <v>45</v>
      </c>
      <c r="E205">
        <v>912</v>
      </c>
      <c r="F205">
        <v>24</v>
      </c>
      <c r="G205">
        <v>21</v>
      </c>
      <c r="H205">
        <v>3521.76</v>
      </c>
      <c r="I205">
        <v>71873.59</v>
      </c>
      <c r="J205">
        <v>112</v>
      </c>
      <c r="K205">
        <v>2</v>
      </c>
      <c r="L205">
        <v>8.1</v>
      </c>
      <c r="M205">
        <v>20.2</v>
      </c>
      <c r="N205" t="s">
        <v>46</v>
      </c>
      <c r="O205" t="s">
        <v>47</v>
      </c>
      <c r="P205" t="s">
        <v>58</v>
      </c>
      <c r="R205">
        <f>SUMIF(A205:A5204,"C00204",I205:I5204)</f>
        <v>71873.59</v>
      </c>
      <c r="S205" s="1">
        <v>71873.59</v>
      </c>
      <c r="T205">
        <f t="shared" si="21"/>
        <v>641.728482142857</v>
      </c>
      <c r="U205">
        <f t="shared" si="22"/>
        <v>2262.4</v>
      </c>
      <c r="V205">
        <f>U205*2</f>
        <v>4524.8</v>
      </c>
      <c r="W205">
        <f t="shared" si="24"/>
        <v>25132.1166666667</v>
      </c>
      <c r="X205">
        <f t="shared" si="25"/>
        <v>0.258961428376721</v>
      </c>
      <c r="AH205" t="str">
        <f t="shared" si="20"/>
        <v>2nd Quality</v>
      </c>
      <c r="AJ205">
        <f>((T205-X205)*2)/8.1</f>
        <v>158.387535978884</v>
      </c>
      <c r="AK205">
        <f t="shared" si="26"/>
        <v>585256.375714286</v>
      </c>
    </row>
    <row r="206" spans="1:37">
      <c r="A206" t="s">
        <v>269</v>
      </c>
      <c r="B206">
        <v>18</v>
      </c>
      <c r="C206" t="s">
        <v>44</v>
      </c>
      <c r="D206" t="s">
        <v>45</v>
      </c>
      <c r="E206">
        <v>845</v>
      </c>
      <c r="F206">
        <v>17</v>
      </c>
      <c r="G206">
        <v>24</v>
      </c>
      <c r="H206">
        <v>3661.49</v>
      </c>
      <c r="I206">
        <v>91693.53</v>
      </c>
      <c r="J206">
        <v>101</v>
      </c>
      <c r="K206">
        <v>1</v>
      </c>
      <c r="L206">
        <v>14</v>
      </c>
      <c r="M206">
        <v>23.6</v>
      </c>
      <c r="N206" t="s">
        <v>57</v>
      </c>
      <c r="O206" t="s">
        <v>75</v>
      </c>
      <c r="P206" t="s">
        <v>58</v>
      </c>
      <c r="R206">
        <f>SUMIF(A206:A5205,"C00205",I206:I5205)</f>
        <v>91693.53</v>
      </c>
      <c r="S206" s="1">
        <v>91693.53</v>
      </c>
      <c r="T206">
        <f t="shared" si="21"/>
        <v>907.856732673267</v>
      </c>
      <c r="U206">
        <f t="shared" si="22"/>
        <v>2383.6</v>
      </c>
      <c r="V206">
        <f>U206*1</f>
        <v>2383.6</v>
      </c>
      <c r="W206">
        <f t="shared" si="24"/>
        <v>31785.34</v>
      </c>
      <c r="X206">
        <f t="shared" si="25"/>
        <v>0.230780365370382</v>
      </c>
      <c r="AH206" t="str">
        <f t="shared" ref="AH206:AH269" si="27">IF(AND(W206&gt;=12550,B206&lt;=33,E206&gt;=915),"1st Quality",IF(AND(W206&gt;=6275,B206&lt;=43,E206&gt;=457),"2nd Quality","3rd Quality"))</f>
        <v>2nd Quality</v>
      </c>
      <c r="AJ206">
        <f>((T206-X206)*2)/14</f>
        <v>129.6608503297</v>
      </c>
      <c r="AK206">
        <f t="shared" si="26"/>
        <v>767138.939108911</v>
      </c>
    </row>
    <row r="207" spans="1:37">
      <c r="A207" t="s">
        <v>270</v>
      </c>
      <c r="B207">
        <v>25</v>
      </c>
      <c r="C207" t="s">
        <v>44</v>
      </c>
      <c r="D207" t="s">
        <v>51</v>
      </c>
      <c r="E207">
        <v>752</v>
      </c>
      <c r="F207">
        <v>44</v>
      </c>
      <c r="G207">
        <v>4</v>
      </c>
      <c r="H207">
        <v>3425.63</v>
      </c>
      <c r="I207">
        <v>14705.17</v>
      </c>
      <c r="J207">
        <v>30</v>
      </c>
      <c r="K207">
        <v>1</v>
      </c>
      <c r="L207">
        <v>15.2</v>
      </c>
      <c r="M207">
        <v>56.1</v>
      </c>
      <c r="N207" t="s">
        <v>61</v>
      </c>
      <c r="O207" t="s">
        <v>47</v>
      </c>
      <c r="P207" t="s">
        <v>68</v>
      </c>
      <c r="R207">
        <f>SUMIF(A207:A5206,"C00206",I207:I5206)</f>
        <v>14705.17</v>
      </c>
      <c r="S207" s="1">
        <v>14705.17</v>
      </c>
      <c r="T207">
        <f t="shared" si="21"/>
        <v>490.172333333333</v>
      </c>
      <c r="U207">
        <f t="shared" si="22"/>
        <v>1683</v>
      </c>
      <c r="V207">
        <f>U207*1</f>
        <v>1683</v>
      </c>
      <c r="W207">
        <f t="shared" si="24"/>
        <v>6043.93333333333</v>
      </c>
      <c r="X207">
        <f t="shared" si="25"/>
        <v>0.219521664628112</v>
      </c>
      <c r="AH207" t="str">
        <f t="shared" si="27"/>
        <v>3rd Quality</v>
      </c>
      <c r="AJ207">
        <f>((T207-X207)*2)/15.2</f>
        <v>64.4674752195664</v>
      </c>
      <c r="AK207">
        <f t="shared" si="26"/>
        <v>368609.594666667</v>
      </c>
    </row>
    <row r="208" spans="1:37">
      <c r="A208" t="s">
        <v>271</v>
      </c>
      <c r="B208">
        <v>18</v>
      </c>
      <c r="C208" t="s">
        <v>50</v>
      </c>
      <c r="D208" t="s">
        <v>51</v>
      </c>
      <c r="E208">
        <v>1329</v>
      </c>
      <c r="F208">
        <v>7</v>
      </c>
      <c r="G208">
        <v>26</v>
      </c>
      <c r="H208">
        <v>3090.89</v>
      </c>
      <c r="I208">
        <v>75738.31</v>
      </c>
      <c r="J208">
        <v>219</v>
      </c>
      <c r="K208">
        <v>0</v>
      </c>
      <c r="L208">
        <v>2</v>
      </c>
      <c r="M208">
        <v>54.8</v>
      </c>
      <c r="N208" t="s">
        <v>81</v>
      </c>
      <c r="O208" t="s">
        <v>47</v>
      </c>
      <c r="P208" t="s">
        <v>58</v>
      </c>
      <c r="R208">
        <f>SUMIF(A208:A5207,"C00207",I208:I5207)</f>
        <v>75738.31</v>
      </c>
      <c r="S208" s="1">
        <v>75738.31</v>
      </c>
      <c r="T208">
        <f t="shared" si="21"/>
        <v>345.83703196347</v>
      </c>
      <c r="U208">
        <f t="shared" si="22"/>
        <v>12001.2</v>
      </c>
      <c r="V208">
        <f>U208/12</f>
        <v>1000.1</v>
      </c>
      <c r="W208">
        <f t="shared" si="24"/>
        <v>26276.7333333333</v>
      </c>
      <c r="X208">
        <f t="shared" si="25"/>
        <v>0.429973243952389</v>
      </c>
      <c r="AH208" t="str">
        <f t="shared" si="27"/>
        <v>1st Quality</v>
      </c>
      <c r="AJ208">
        <f>((T208-X208)*2)/2</f>
        <v>345.407058719518</v>
      </c>
      <c r="AK208">
        <f t="shared" si="26"/>
        <v>459617.415479452</v>
      </c>
    </row>
    <row r="209" spans="1:37">
      <c r="A209" t="s">
        <v>272</v>
      </c>
      <c r="B209">
        <v>49</v>
      </c>
      <c r="C209" t="s">
        <v>44</v>
      </c>
      <c r="D209" t="s">
        <v>60</v>
      </c>
      <c r="E209">
        <v>639</v>
      </c>
      <c r="F209">
        <v>17</v>
      </c>
      <c r="G209">
        <v>3</v>
      </c>
      <c r="H209">
        <v>114002</v>
      </c>
      <c r="I209">
        <v>3687.78</v>
      </c>
      <c r="J209">
        <v>13</v>
      </c>
      <c r="K209">
        <v>0</v>
      </c>
      <c r="L209">
        <v>25.1</v>
      </c>
      <c r="M209">
        <v>10.3</v>
      </c>
      <c r="N209" t="s">
        <v>61</v>
      </c>
      <c r="O209" t="s">
        <v>53</v>
      </c>
      <c r="P209" t="s">
        <v>58</v>
      </c>
      <c r="R209">
        <f>SUMIF(A209:A5208,"C00208",I209:I5208)</f>
        <v>3687.78</v>
      </c>
      <c r="S209" s="1">
        <v>3687.78</v>
      </c>
      <c r="T209">
        <f t="shared" si="21"/>
        <v>283.675384615385</v>
      </c>
      <c r="U209">
        <f t="shared" si="22"/>
        <v>133.9</v>
      </c>
      <c r="V209">
        <f t="shared" si="23"/>
        <v>11.1583333333333</v>
      </c>
      <c r="W209">
        <f t="shared" si="24"/>
        <v>39230.26</v>
      </c>
      <c r="X209">
        <f t="shared" si="25"/>
        <v>0.00560516482166979</v>
      </c>
      <c r="AH209" t="str">
        <f t="shared" si="27"/>
        <v>3rd Quality</v>
      </c>
      <c r="AJ209">
        <f>((T209-X209)*2)/25.1</f>
        <v>22.6031696773357</v>
      </c>
      <c r="AK209">
        <f t="shared" si="26"/>
        <v>181268.570769231</v>
      </c>
    </row>
    <row r="210" spans="1:37">
      <c r="A210" t="s">
        <v>273</v>
      </c>
      <c r="B210">
        <v>29</v>
      </c>
      <c r="C210" t="s">
        <v>44</v>
      </c>
      <c r="D210" t="s">
        <v>45</v>
      </c>
      <c r="E210">
        <v>1398</v>
      </c>
      <c r="F210">
        <v>14</v>
      </c>
      <c r="G210">
        <v>23</v>
      </c>
      <c r="H210">
        <v>3401.72</v>
      </c>
      <c r="I210">
        <v>87115.38</v>
      </c>
      <c r="J210">
        <v>191</v>
      </c>
      <c r="K210">
        <v>1</v>
      </c>
      <c r="L210">
        <v>13.1</v>
      </c>
      <c r="M210">
        <v>47.6</v>
      </c>
      <c r="N210" t="s">
        <v>63</v>
      </c>
      <c r="O210" t="s">
        <v>75</v>
      </c>
      <c r="P210" t="s">
        <v>68</v>
      </c>
      <c r="R210">
        <f>SUMIF(A210:A5209,"C00209",I210:I5209)</f>
        <v>87115.38</v>
      </c>
      <c r="S210" s="1">
        <v>87115.38</v>
      </c>
      <c r="T210">
        <f t="shared" si="21"/>
        <v>456.101465968586</v>
      </c>
      <c r="U210">
        <f t="shared" si="22"/>
        <v>9091.6</v>
      </c>
      <c r="V210">
        <f>U210*1</f>
        <v>9091.6</v>
      </c>
      <c r="W210">
        <f t="shared" si="24"/>
        <v>30172.7</v>
      </c>
      <c r="X210">
        <f t="shared" si="25"/>
        <v>0.410968568841645</v>
      </c>
      <c r="AH210" t="str">
        <f t="shared" si="27"/>
        <v>1st Quality</v>
      </c>
      <c r="AJ210">
        <f>((T210-X210)*2)/13.1</f>
        <v>69.5710683053045</v>
      </c>
      <c r="AK210">
        <f t="shared" si="26"/>
        <v>637629.849424084</v>
      </c>
    </row>
    <row r="211" spans="1:37">
      <c r="A211" t="s">
        <v>274</v>
      </c>
      <c r="B211">
        <v>22</v>
      </c>
      <c r="C211" t="s">
        <v>50</v>
      </c>
      <c r="D211" t="s">
        <v>45</v>
      </c>
      <c r="E211">
        <v>768</v>
      </c>
      <c r="F211">
        <v>29</v>
      </c>
      <c r="G211">
        <v>4</v>
      </c>
      <c r="H211">
        <v>12342.8</v>
      </c>
      <c r="I211">
        <v>44488.89</v>
      </c>
      <c r="J211">
        <v>32</v>
      </c>
      <c r="K211">
        <v>0</v>
      </c>
      <c r="L211">
        <v>13.3</v>
      </c>
      <c r="M211">
        <v>10.4</v>
      </c>
      <c r="N211" t="s">
        <v>61</v>
      </c>
      <c r="O211" t="s">
        <v>53</v>
      </c>
      <c r="P211" t="s">
        <v>66</v>
      </c>
      <c r="R211">
        <f>SUMIF(A211:A5210,"C00210",I211:I5210)</f>
        <v>44488.89</v>
      </c>
      <c r="S211" s="1">
        <v>44488.89</v>
      </c>
      <c r="T211">
        <f t="shared" si="21"/>
        <v>1390.2778125</v>
      </c>
      <c r="U211">
        <f t="shared" si="22"/>
        <v>332.8</v>
      </c>
      <c r="V211">
        <f t="shared" si="23"/>
        <v>27.7333333333333</v>
      </c>
      <c r="W211">
        <f t="shared" si="24"/>
        <v>18944.23</v>
      </c>
      <c r="X211">
        <f t="shared" si="25"/>
        <v>0.0622225102893995</v>
      </c>
      <c r="AH211" t="str">
        <f t="shared" si="27"/>
        <v>2nd Quality</v>
      </c>
      <c r="AJ211">
        <f>((T211-X211)*2)/13.3</f>
        <v>209.054975938302</v>
      </c>
      <c r="AK211">
        <f t="shared" si="26"/>
        <v>1067733.36</v>
      </c>
    </row>
    <row r="212" spans="1:37">
      <c r="A212" t="s">
        <v>275</v>
      </c>
      <c r="B212">
        <v>27</v>
      </c>
      <c r="C212" t="s">
        <v>50</v>
      </c>
      <c r="D212" t="s">
        <v>60</v>
      </c>
      <c r="E212">
        <v>796</v>
      </c>
      <c r="F212">
        <v>300</v>
      </c>
      <c r="G212">
        <v>1</v>
      </c>
      <c r="H212">
        <v>897.69</v>
      </c>
      <c r="I212">
        <v>838.3</v>
      </c>
      <c r="J212">
        <v>11</v>
      </c>
      <c r="K212">
        <v>0</v>
      </c>
      <c r="L212">
        <v>28.3</v>
      </c>
      <c r="M212">
        <v>25.5</v>
      </c>
      <c r="N212" t="s">
        <v>46</v>
      </c>
      <c r="O212" t="s">
        <v>75</v>
      </c>
      <c r="P212" t="s">
        <v>66</v>
      </c>
      <c r="R212">
        <f>SUMIF(A212:A5211,"C00211",I212:I5211)</f>
        <v>838.3</v>
      </c>
      <c r="S212" s="1">
        <v>838.3</v>
      </c>
      <c r="T212">
        <f t="shared" si="21"/>
        <v>76.2090909090909</v>
      </c>
      <c r="U212">
        <f t="shared" si="22"/>
        <v>280.5</v>
      </c>
      <c r="V212">
        <f t="shared" si="23"/>
        <v>23.375</v>
      </c>
      <c r="W212">
        <f t="shared" si="24"/>
        <v>578.996666666667</v>
      </c>
      <c r="X212">
        <f t="shared" si="25"/>
        <v>0.886720360035201</v>
      </c>
      <c r="AH212" t="str">
        <f t="shared" si="27"/>
        <v>3rd Quality</v>
      </c>
      <c r="AJ212">
        <f>((T212-X212)*2)/28.3</f>
        <v>5.32313572784846</v>
      </c>
      <c r="AK212">
        <f t="shared" si="26"/>
        <v>60662.4363636364</v>
      </c>
    </row>
    <row r="213" spans="1:37">
      <c r="A213" t="s">
        <v>276</v>
      </c>
      <c r="B213">
        <v>25</v>
      </c>
      <c r="C213" t="s">
        <v>101</v>
      </c>
      <c r="D213" t="s">
        <v>60</v>
      </c>
      <c r="E213">
        <v>1062</v>
      </c>
      <c r="F213">
        <v>46</v>
      </c>
      <c r="G213">
        <v>1</v>
      </c>
      <c r="H213">
        <v>14427.65</v>
      </c>
      <c r="I213">
        <v>15210.71</v>
      </c>
      <c r="J213">
        <v>19</v>
      </c>
      <c r="K213">
        <v>0</v>
      </c>
      <c r="L213">
        <v>10.1</v>
      </c>
      <c r="M213">
        <v>13.4</v>
      </c>
      <c r="N213" t="s">
        <v>63</v>
      </c>
      <c r="O213" t="s">
        <v>47</v>
      </c>
      <c r="P213" t="s">
        <v>58</v>
      </c>
      <c r="R213">
        <f>SUMIF(A213:A5212,"C00212",I213:I5212)</f>
        <v>15210.71</v>
      </c>
      <c r="S213" s="1">
        <v>15210.71</v>
      </c>
      <c r="T213">
        <f t="shared" si="21"/>
        <v>800.563684210526</v>
      </c>
      <c r="U213">
        <f t="shared" si="22"/>
        <v>254.6</v>
      </c>
      <c r="V213">
        <f t="shared" si="23"/>
        <v>21.2166666666667</v>
      </c>
      <c r="W213">
        <f t="shared" si="24"/>
        <v>9879.78666666667</v>
      </c>
      <c r="X213">
        <f t="shared" si="25"/>
        <v>0.0736086611471723</v>
      </c>
      <c r="AH213" t="str">
        <f t="shared" si="27"/>
        <v>2nd Quality</v>
      </c>
      <c r="AJ213">
        <f>((T213-X213)*2)/10.1</f>
        <v>158.512886247402</v>
      </c>
      <c r="AK213">
        <f t="shared" si="26"/>
        <v>850198.632631579</v>
      </c>
    </row>
    <row r="214" spans="1:37">
      <c r="A214" t="s">
        <v>277</v>
      </c>
      <c r="B214">
        <v>52</v>
      </c>
      <c r="C214" t="s">
        <v>44</v>
      </c>
      <c r="D214" t="s">
        <v>60</v>
      </c>
      <c r="E214">
        <v>1205</v>
      </c>
      <c r="F214">
        <v>11</v>
      </c>
      <c r="G214">
        <v>20</v>
      </c>
      <c r="H214">
        <v>2144.99</v>
      </c>
      <c r="I214">
        <v>38129.72</v>
      </c>
      <c r="J214">
        <v>170</v>
      </c>
      <c r="K214">
        <v>4</v>
      </c>
      <c r="L214">
        <v>12.6</v>
      </c>
      <c r="M214">
        <v>30.8</v>
      </c>
      <c r="N214" t="s">
        <v>46</v>
      </c>
      <c r="O214" t="s">
        <v>75</v>
      </c>
      <c r="P214" t="s">
        <v>58</v>
      </c>
      <c r="R214">
        <f>SUMIF(A214:A5213,"C00213",I214:I5213)</f>
        <v>38129.72</v>
      </c>
      <c r="S214" s="1">
        <v>38129.72</v>
      </c>
      <c r="T214">
        <f t="shared" si="21"/>
        <v>224.292470588235</v>
      </c>
      <c r="U214">
        <f t="shared" si="22"/>
        <v>5236</v>
      </c>
      <c r="V214">
        <f>U214*4</f>
        <v>20944</v>
      </c>
      <c r="W214">
        <f t="shared" si="24"/>
        <v>13425.2366666667</v>
      </c>
      <c r="X214">
        <f t="shared" si="25"/>
        <v>0.561774180765412</v>
      </c>
      <c r="AH214" t="str">
        <f t="shared" si="27"/>
        <v>3rd Quality</v>
      </c>
      <c r="AJ214">
        <f>((T214-X214)*2)/12.6</f>
        <v>35.5128089535666</v>
      </c>
      <c r="AK214">
        <f t="shared" si="26"/>
        <v>270272.427058824</v>
      </c>
    </row>
    <row r="215" spans="1:37">
      <c r="A215" t="s">
        <v>278</v>
      </c>
      <c r="B215">
        <v>39</v>
      </c>
      <c r="C215" t="s">
        <v>44</v>
      </c>
      <c r="D215" t="s">
        <v>60</v>
      </c>
      <c r="E215">
        <v>880</v>
      </c>
      <c r="F215">
        <v>363</v>
      </c>
      <c r="G215">
        <v>3</v>
      </c>
      <c r="H215">
        <v>335.36</v>
      </c>
      <c r="I215">
        <v>953.93</v>
      </c>
      <c r="J215">
        <v>28</v>
      </c>
      <c r="K215">
        <v>0</v>
      </c>
      <c r="L215">
        <v>28.6</v>
      </c>
      <c r="M215">
        <v>38</v>
      </c>
      <c r="N215" t="s">
        <v>81</v>
      </c>
      <c r="O215" t="s">
        <v>47</v>
      </c>
      <c r="P215" t="s">
        <v>58</v>
      </c>
      <c r="R215">
        <f>SUMIF(A215:A5214,"C00214",I215:I5214)</f>
        <v>953.93</v>
      </c>
      <c r="S215" s="1">
        <v>953.93</v>
      </c>
      <c r="T215">
        <f t="shared" si="21"/>
        <v>34.0689285714286</v>
      </c>
      <c r="U215">
        <f t="shared" si="22"/>
        <v>1064</v>
      </c>
      <c r="V215">
        <f t="shared" si="23"/>
        <v>88.6666666666667</v>
      </c>
      <c r="W215">
        <f t="shared" si="24"/>
        <v>430.096666666667</v>
      </c>
      <c r="X215">
        <f t="shared" si="25"/>
        <v>2.62404580152672</v>
      </c>
      <c r="AH215" t="str">
        <f t="shared" si="27"/>
        <v>3rd Quality</v>
      </c>
      <c r="AJ215">
        <f>((T215-X215)*2)/28.6</f>
        <v>2.19894285104209</v>
      </c>
      <c r="AK215">
        <f t="shared" si="26"/>
        <v>29980.6571428571</v>
      </c>
    </row>
    <row r="216" spans="1:37">
      <c r="A216" t="s">
        <v>279</v>
      </c>
      <c r="B216">
        <v>19</v>
      </c>
      <c r="C216" t="s">
        <v>44</v>
      </c>
      <c r="D216" t="s">
        <v>60</v>
      </c>
      <c r="E216">
        <v>1064</v>
      </c>
      <c r="F216">
        <v>92</v>
      </c>
      <c r="G216">
        <v>2</v>
      </c>
      <c r="H216">
        <v>9961</v>
      </c>
      <c r="I216">
        <v>2156.93</v>
      </c>
      <c r="J216">
        <v>21</v>
      </c>
      <c r="K216">
        <v>0</v>
      </c>
      <c r="L216">
        <v>28.4</v>
      </c>
      <c r="M216">
        <v>12.2</v>
      </c>
      <c r="N216" t="s">
        <v>63</v>
      </c>
      <c r="O216" t="s">
        <v>53</v>
      </c>
      <c r="P216" t="s">
        <v>66</v>
      </c>
      <c r="R216">
        <f>SUMIF(A216:A5215,"C00215",I216:I5215)</f>
        <v>2156.93</v>
      </c>
      <c r="S216" s="1">
        <v>2156.93</v>
      </c>
      <c r="T216">
        <f t="shared" si="21"/>
        <v>102.710952380952</v>
      </c>
      <c r="U216">
        <f t="shared" si="22"/>
        <v>256.2</v>
      </c>
      <c r="V216">
        <f t="shared" si="23"/>
        <v>21.35</v>
      </c>
      <c r="W216">
        <f t="shared" si="24"/>
        <v>4039.64333333333</v>
      </c>
      <c r="X216">
        <f t="shared" si="25"/>
        <v>0.106816584680253</v>
      </c>
      <c r="AH216" t="str">
        <f t="shared" si="27"/>
        <v>3rd Quality</v>
      </c>
      <c r="AJ216">
        <f>((T216-X216)*2)/28.4</f>
        <v>7.22564336593463</v>
      </c>
      <c r="AK216">
        <f t="shared" si="26"/>
        <v>109284.453333333</v>
      </c>
    </row>
    <row r="217" spans="1:37">
      <c r="A217" t="s">
        <v>280</v>
      </c>
      <c r="B217">
        <v>28</v>
      </c>
      <c r="C217" t="s">
        <v>44</v>
      </c>
      <c r="D217" t="s">
        <v>45</v>
      </c>
      <c r="E217">
        <v>816</v>
      </c>
      <c r="F217">
        <v>283</v>
      </c>
      <c r="G217">
        <v>1</v>
      </c>
      <c r="H217">
        <v>428.08</v>
      </c>
      <c r="I217">
        <v>446.74</v>
      </c>
      <c r="J217">
        <v>7</v>
      </c>
      <c r="K217">
        <v>1</v>
      </c>
      <c r="L217">
        <v>34.3</v>
      </c>
      <c r="M217">
        <v>30.5</v>
      </c>
      <c r="N217" t="s">
        <v>52</v>
      </c>
      <c r="O217" t="s">
        <v>47</v>
      </c>
      <c r="P217" t="s">
        <v>58</v>
      </c>
      <c r="R217">
        <f>SUMIF(A217:A5216,"C00216",I217:I5216)</f>
        <v>446.74</v>
      </c>
      <c r="S217" s="1">
        <v>446.74</v>
      </c>
      <c r="T217">
        <f t="shared" si="21"/>
        <v>63.82</v>
      </c>
      <c r="U217">
        <f t="shared" si="22"/>
        <v>213.5</v>
      </c>
      <c r="V217">
        <f>U217*1</f>
        <v>213.5</v>
      </c>
      <c r="W217">
        <f t="shared" si="24"/>
        <v>291.94</v>
      </c>
      <c r="X217">
        <f t="shared" si="25"/>
        <v>1.90618575967109</v>
      </c>
      <c r="AH217" t="str">
        <f t="shared" si="27"/>
        <v>3rd Quality</v>
      </c>
      <c r="AJ217">
        <f>((T217-X217)*2)/34.3</f>
        <v>3.61013494112705</v>
      </c>
      <c r="AK217">
        <f t="shared" si="26"/>
        <v>52077.12</v>
      </c>
    </row>
    <row r="218" spans="1:37">
      <c r="A218" t="s">
        <v>281</v>
      </c>
      <c r="B218">
        <v>35</v>
      </c>
      <c r="C218" t="s">
        <v>50</v>
      </c>
      <c r="D218" t="s">
        <v>51</v>
      </c>
      <c r="E218">
        <v>1216</v>
      </c>
      <c r="F218">
        <v>1</v>
      </c>
      <c r="G218">
        <v>17</v>
      </c>
      <c r="H218">
        <v>5267.79</v>
      </c>
      <c r="I218">
        <v>92576.58</v>
      </c>
      <c r="J218">
        <v>89</v>
      </c>
      <c r="K218">
        <v>1</v>
      </c>
      <c r="L218">
        <v>22.4</v>
      </c>
      <c r="M218">
        <v>33.5</v>
      </c>
      <c r="N218" t="s">
        <v>78</v>
      </c>
      <c r="O218" t="s">
        <v>47</v>
      </c>
      <c r="P218" t="s">
        <v>58</v>
      </c>
      <c r="R218">
        <f>SUMIF(A218:A5217,"C00217",I218:I5217)</f>
        <v>92576.58</v>
      </c>
      <c r="S218" s="1">
        <v>92576.58</v>
      </c>
      <c r="T218">
        <f t="shared" si="21"/>
        <v>1040.18629213483</v>
      </c>
      <c r="U218">
        <f t="shared" si="22"/>
        <v>2981.5</v>
      </c>
      <c r="V218">
        <f>U218*1</f>
        <v>2981.5</v>
      </c>
      <c r="W218">
        <f t="shared" si="24"/>
        <v>32615.1233333333</v>
      </c>
      <c r="X218">
        <f t="shared" si="25"/>
        <v>0.230836840496679</v>
      </c>
      <c r="AH218" t="str">
        <f t="shared" si="27"/>
        <v>2nd Quality</v>
      </c>
      <c r="AJ218">
        <f>((T218-X218)*2)/22.4</f>
        <v>92.8531656512798</v>
      </c>
      <c r="AK218">
        <f t="shared" si="26"/>
        <v>1264866.53123596</v>
      </c>
    </row>
    <row r="219" spans="1:37">
      <c r="A219" t="s">
        <v>282</v>
      </c>
      <c r="B219">
        <v>37</v>
      </c>
      <c r="C219" t="s">
        <v>44</v>
      </c>
      <c r="D219" t="s">
        <v>60</v>
      </c>
      <c r="E219">
        <v>1301</v>
      </c>
      <c r="F219">
        <v>44</v>
      </c>
      <c r="G219">
        <v>25</v>
      </c>
      <c r="H219">
        <v>2598.32</v>
      </c>
      <c r="I219">
        <v>66704.06</v>
      </c>
      <c r="J219">
        <v>109</v>
      </c>
      <c r="K219">
        <v>0</v>
      </c>
      <c r="L219">
        <v>15.9</v>
      </c>
      <c r="M219">
        <v>26</v>
      </c>
      <c r="N219" t="s">
        <v>52</v>
      </c>
      <c r="O219" t="s">
        <v>47</v>
      </c>
      <c r="P219" t="s">
        <v>66</v>
      </c>
      <c r="R219">
        <f>SUMIF(A219:A5218,"C00218",I219:I5218)</f>
        <v>66704.06</v>
      </c>
      <c r="S219" s="1">
        <v>66704.06</v>
      </c>
      <c r="T219">
        <f t="shared" si="21"/>
        <v>611.963853211009</v>
      </c>
      <c r="U219">
        <f t="shared" si="22"/>
        <v>2834</v>
      </c>
      <c r="V219">
        <f t="shared" si="23"/>
        <v>236.166666666667</v>
      </c>
      <c r="W219">
        <f t="shared" si="24"/>
        <v>23101.1266666667</v>
      </c>
      <c r="X219">
        <f t="shared" si="25"/>
        <v>0.500708149881462</v>
      </c>
      <c r="AH219" t="str">
        <f t="shared" si="27"/>
        <v>2nd Quality</v>
      </c>
      <c r="AJ219">
        <f>((T219-X219)*2)/15.9</f>
        <v>76.9136031523431</v>
      </c>
      <c r="AK219">
        <f t="shared" si="26"/>
        <v>796164.973027523</v>
      </c>
    </row>
    <row r="220" spans="1:37">
      <c r="A220" t="s">
        <v>283</v>
      </c>
      <c r="B220">
        <v>33</v>
      </c>
      <c r="C220" t="s">
        <v>50</v>
      </c>
      <c r="D220" t="s">
        <v>51</v>
      </c>
      <c r="E220">
        <v>1314</v>
      </c>
      <c r="F220">
        <v>365</v>
      </c>
      <c r="G220">
        <v>1</v>
      </c>
      <c r="H220">
        <v>1145.79</v>
      </c>
      <c r="I220">
        <v>1146.31</v>
      </c>
      <c r="J220">
        <v>19</v>
      </c>
      <c r="K220">
        <v>0</v>
      </c>
      <c r="L220">
        <v>25.4</v>
      </c>
      <c r="M220">
        <v>21.8</v>
      </c>
      <c r="N220" t="s">
        <v>57</v>
      </c>
      <c r="O220" t="s">
        <v>47</v>
      </c>
      <c r="P220" t="s">
        <v>68</v>
      </c>
      <c r="R220">
        <f>SUMIF(A220:A5219,"C00219",I220:I5219)</f>
        <v>1146.31</v>
      </c>
      <c r="S220" s="1">
        <v>1146.31</v>
      </c>
      <c r="T220">
        <f t="shared" si="21"/>
        <v>60.3321052631579</v>
      </c>
      <c r="U220">
        <f t="shared" si="22"/>
        <v>414.2</v>
      </c>
      <c r="V220">
        <f t="shared" si="23"/>
        <v>34.5166666666667</v>
      </c>
      <c r="W220">
        <f t="shared" si="24"/>
        <v>764.366666666667</v>
      </c>
      <c r="X220">
        <f t="shared" si="25"/>
        <v>1.14680700651952</v>
      </c>
      <c r="AH220" t="str">
        <f t="shared" si="27"/>
        <v>3rd Quality</v>
      </c>
      <c r="AJ220">
        <f>((T220-X220)*2)/25.4</f>
        <v>4.66025970524712</v>
      </c>
      <c r="AK220">
        <f t="shared" si="26"/>
        <v>79276.3863157895</v>
      </c>
    </row>
    <row r="221" spans="1:37">
      <c r="A221" t="s">
        <v>284</v>
      </c>
      <c r="B221">
        <v>22</v>
      </c>
      <c r="C221" t="s">
        <v>44</v>
      </c>
      <c r="D221" t="s">
        <v>51</v>
      </c>
      <c r="E221">
        <v>1073</v>
      </c>
      <c r="F221">
        <v>16</v>
      </c>
      <c r="G221">
        <v>7</v>
      </c>
      <c r="H221">
        <v>3767.09</v>
      </c>
      <c r="I221">
        <v>28057.75</v>
      </c>
      <c r="J221">
        <v>42</v>
      </c>
      <c r="K221">
        <v>0</v>
      </c>
      <c r="L221">
        <v>36.3</v>
      </c>
      <c r="M221">
        <v>31.4</v>
      </c>
      <c r="N221" t="s">
        <v>78</v>
      </c>
      <c r="O221" t="s">
        <v>47</v>
      </c>
      <c r="P221" t="s">
        <v>58</v>
      </c>
      <c r="R221">
        <f>SUMIF(A221:A5220,"C00220",I221:I5220)</f>
        <v>28057.75</v>
      </c>
      <c r="S221" s="1">
        <v>28057.75</v>
      </c>
      <c r="T221">
        <f t="shared" si="21"/>
        <v>668.041666666667</v>
      </c>
      <c r="U221">
        <f t="shared" si="22"/>
        <v>1318.8</v>
      </c>
      <c r="V221">
        <f t="shared" si="23"/>
        <v>109.9</v>
      </c>
      <c r="W221">
        <f t="shared" si="24"/>
        <v>10608.6133333333</v>
      </c>
      <c r="X221">
        <f t="shared" si="25"/>
        <v>0.284835244180521</v>
      </c>
      <c r="AH221" t="str">
        <f t="shared" si="27"/>
        <v>2nd Quality</v>
      </c>
      <c r="AJ221">
        <f>((T221-X221)*2)/36.3</f>
        <v>36.7910099957293</v>
      </c>
      <c r="AK221">
        <f t="shared" si="26"/>
        <v>716808.708333333</v>
      </c>
    </row>
    <row r="222" spans="1:37">
      <c r="A222" t="s">
        <v>285</v>
      </c>
      <c r="B222">
        <v>40</v>
      </c>
      <c r="C222" t="s">
        <v>44</v>
      </c>
      <c r="D222" t="s">
        <v>45</v>
      </c>
      <c r="E222">
        <v>674</v>
      </c>
      <c r="F222">
        <v>129</v>
      </c>
      <c r="G222">
        <v>11</v>
      </c>
      <c r="H222">
        <v>1340.57</v>
      </c>
      <c r="I222">
        <v>16039.07</v>
      </c>
      <c r="J222">
        <v>40</v>
      </c>
      <c r="K222">
        <v>1</v>
      </c>
      <c r="L222">
        <v>17.1</v>
      </c>
      <c r="M222">
        <v>39.6</v>
      </c>
      <c r="N222" t="s">
        <v>78</v>
      </c>
      <c r="O222" t="s">
        <v>75</v>
      </c>
      <c r="P222" t="s">
        <v>48</v>
      </c>
      <c r="R222">
        <f>SUMIF(A222:A5221,"C00221",I222:I5221)</f>
        <v>16039.07</v>
      </c>
      <c r="S222" s="1">
        <v>16039.07</v>
      </c>
      <c r="T222">
        <f t="shared" si="21"/>
        <v>400.97675</v>
      </c>
      <c r="U222">
        <f t="shared" si="22"/>
        <v>1584</v>
      </c>
      <c r="V222">
        <f>U222*1</f>
        <v>1584</v>
      </c>
      <c r="W222">
        <f t="shared" si="24"/>
        <v>5793.54666666667</v>
      </c>
      <c r="X222">
        <f t="shared" si="25"/>
        <v>0.502771209261732</v>
      </c>
      <c r="AH222" t="str">
        <f t="shared" si="27"/>
        <v>3rd Quality</v>
      </c>
      <c r="AJ222">
        <f>((T222-X222)*2)/17.1</f>
        <v>46.83906184687</v>
      </c>
      <c r="AK222">
        <f t="shared" si="26"/>
        <v>270258.3295</v>
      </c>
    </row>
    <row r="223" spans="1:37">
      <c r="A223" t="s">
        <v>286</v>
      </c>
      <c r="B223">
        <v>33</v>
      </c>
      <c r="C223" t="s">
        <v>50</v>
      </c>
      <c r="D223" t="s">
        <v>60</v>
      </c>
      <c r="E223">
        <v>1064</v>
      </c>
      <c r="F223">
        <v>3</v>
      </c>
      <c r="G223">
        <v>8</v>
      </c>
      <c r="H223">
        <v>1246.41</v>
      </c>
      <c r="I223">
        <v>10678.53</v>
      </c>
      <c r="J223">
        <v>46</v>
      </c>
      <c r="K223">
        <v>0</v>
      </c>
      <c r="L223">
        <v>26.9</v>
      </c>
      <c r="M223">
        <v>10.6</v>
      </c>
      <c r="N223" t="s">
        <v>81</v>
      </c>
      <c r="O223" t="s">
        <v>53</v>
      </c>
      <c r="P223" t="s">
        <v>58</v>
      </c>
      <c r="R223">
        <f>SUMIF(A223:A5222,"C00222",I223:I5222)</f>
        <v>10678.53</v>
      </c>
      <c r="S223" s="1">
        <v>10678.53</v>
      </c>
      <c r="T223">
        <f t="shared" si="21"/>
        <v>232.141956521739</v>
      </c>
      <c r="U223">
        <f t="shared" si="22"/>
        <v>487.6</v>
      </c>
      <c r="V223">
        <f t="shared" si="23"/>
        <v>40.6333333333333</v>
      </c>
      <c r="W223">
        <f t="shared" si="24"/>
        <v>3975.31333333333</v>
      </c>
      <c r="X223">
        <f t="shared" si="25"/>
        <v>0.853651687646922</v>
      </c>
      <c r="AH223" t="str">
        <f t="shared" si="27"/>
        <v>3rd Quality</v>
      </c>
      <c r="AJ223">
        <f>((T223-X223)*2)/26.9</f>
        <v>17.196156493241</v>
      </c>
      <c r="AK223">
        <f t="shared" si="26"/>
        <v>246999.04173913</v>
      </c>
    </row>
    <row r="224" spans="1:37">
      <c r="A224" t="s">
        <v>287</v>
      </c>
      <c r="B224">
        <v>38</v>
      </c>
      <c r="C224" t="s">
        <v>50</v>
      </c>
      <c r="D224" t="s">
        <v>60</v>
      </c>
      <c r="E224">
        <v>1050</v>
      </c>
      <c r="F224">
        <v>31</v>
      </c>
      <c r="G224">
        <v>1</v>
      </c>
      <c r="H224">
        <v>1129.43</v>
      </c>
      <c r="I224">
        <v>1124.74</v>
      </c>
      <c r="J224">
        <v>14</v>
      </c>
      <c r="K224">
        <v>0</v>
      </c>
      <c r="L224">
        <v>39.2</v>
      </c>
      <c r="M224">
        <v>35.4</v>
      </c>
      <c r="N224" t="s">
        <v>81</v>
      </c>
      <c r="O224" t="s">
        <v>47</v>
      </c>
      <c r="P224" t="s">
        <v>58</v>
      </c>
      <c r="R224">
        <f>SUMIF(A224:A5223,"C00223",I224:I5223)</f>
        <v>1124.74</v>
      </c>
      <c r="S224" s="1">
        <v>1124.74</v>
      </c>
      <c r="T224">
        <f t="shared" si="21"/>
        <v>80.3385714285714</v>
      </c>
      <c r="U224">
        <f t="shared" si="22"/>
        <v>495.6</v>
      </c>
      <c r="V224">
        <f t="shared" si="23"/>
        <v>41.3</v>
      </c>
      <c r="W224">
        <f t="shared" si="24"/>
        <v>751.723333333333</v>
      </c>
      <c r="X224">
        <f t="shared" si="25"/>
        <v>0.929672489662927</v>
      </c>
      <c r="AH224" t="str">
        <f t="shared" si="27"/>
        <v>3rd Quality</v>
      </c>
      <c r="AJ224">
        <f>((T224-X224)*2)/39.2</f>
        <v>4.0514744356586</v>
      </c>
      <c r="AK224">
        <f t="shared" si="26"/>
        <v>84355.5</v>
      </c>
    </row>
    <row r="225" spans="1:37">
      <c r="A225" t="s">
        <v>288</v>
      </c>
      <c r="B225">
        <v>18</v>
      </c>
      <c r="C225" t="s">
        <v>44</v>
      </c>
      <c r="D225" t="s">
        <v>51</v>
      </c>
      <c r="E225">
        <v>612</v>
      </c>
      <c r="F225">
        <v>295</v>
      </c>
      <c r="G225">
        <v>1</v>
      </c>
      <c r="H225">
        <v>2317.54</v>
      </c>
      <c r="I225">
        <v>2472.45</v>
      </c>
      <c r="J225">
        <v>11</v>
      </c>
      <c r="K225">
        <v>0</v>
      </c>
      <c r="L225">
        <v>23.6</v>
      </c>
      <c r="M225">
        <v>31.7</v>
      </c>
      <c r="N225" t="s">
        <v>57</v>
      </c>
      <c r="O225" t="s">
        <v>47</v>
      </c>
      <c r="P225" t="s">
        <v>66</v>
      </c>
      <c r="R225">
        <f>SUMIF(A225:A5224,"C00224",I225:I5224)</f>
        <v>2472.45</v>
      </c>
      <c r="S225" s="1">
        <v>2472.45</v>
      </c>
      <c r="T225">
        <f t="shared" si="21"/>
        <v>224.768181818182</v>
      </c>
      <c r="U225">
        <f t="shared" si="22"/>
        <v>348.7</v>
      </c>
      <c r="V225">
        <f t="shared" si="23"/>
        <v>29.0583333333333</v>
      </c>
      <c r="W225">
        <f t="shared" si="24"/>
        <v>1596.99666666667</v>
      </c>
      <c r="X225">
        <f t="shared" si="25"/>
        <v>0.264073112006697</v>
      </c>
      <c r="AH225" t="str">
        <f t="shared" si="27"/>
        <v>3rd Quality</v>
      </c>
      <c r="AJ225">
        <f>((T225-X225)*2)/23.6</f>
        <v>19.0257719242521</v>
      </c>
      <c r="AK225">
        <f t="shared" si="26"/>
        <v>137558.127272727</v>
      </c>
    </row>
    <row r="226" spans="1:37">
      <c r="A226" t="s">
        <v>289</v>
      </c>
      <c r="B226">
        <v>36</v>
      </c>
      <c r="C226" t="s">
        <v>50</v>
      </c>
      <c r="D226" t="s">
        <v>45</v>
      </c>
      <c r="E226">
        <v>1302</v>
      </c>
      <c r="F226">
        <v>85</v>
      </c>
      <c r="G226">
        <v>6</v>
      </c>
      <c r="H226">
        <v>2081.26</v>
      </c>
      <c r="I226">
        <v>13252.85</v>
      </c>
      <c r="J226">
        <v>39</v>
      </c>
      <c r="K226">
        <v>0</v>
      </c>
      <c r="L226">
        <v>17.8</v>
      </c>
      <c r="M226">
        <v>10.6</v>
      </c>
      <c r="N226" t="s">
        <v>61</v>
      </c>
      <c r="O226" t="s">
        <v>47</v>
      </c>
      <c r="P226" t="s">
        <v>66</v>
      </c>
      <c r="R226">
        <f>SUMIF(A226:A5225,"C00225",I226:I5225)</f>
        <v>13252.85</v>
      </c>
      <c r="S226" s="1">
        <v>13252.85</v>
      </c>
      <c r="T226">
        <f t="shared" si="21"/>
        <v>339.816666666667</v>
      </c>
      <c r="U226">
        <f t="shared" si="22"/>
        <v>413.4</v>
      </c>
      <c r="V226">
        <f t="shared" si="23"/>
        <v>34.45</v>
      </c>
      <c r="W226">
        <f t="shared" si="24"/>
        <v>5111.70333333333</v>
      </c>
      <c r="X226">
        <f t="shared" si="25"/>
        <v>0.6255825797834</v>
      </c>
      <c r="AH226" t="str">
        <f t="shared" si="27"/>
        <v>3rd Quality</v>
      </c>
      <c r="AJ226">
        <f>((T226-X226)*2)/17.8</f>
        <v>38.1113577625712</v>
      </c>
      <c r="AK226">
        <f t="shared" si="26"/>
        <v>442441.3</v>
      </c>
    </row>
    <row r="227" spans="1:37">
      <c r="A227" t="s">
        <v>290</v>
      </c>
      <c r="B227">
        <v>47</v>
      </c>
      <c r="C227" t="s">
        <v>50</v>
      </c>
      <c r="D227" t="s">
        <v>60</v>
      </c>
      <c r="E227">
        <v>1188</v>
      </c>
      <c r="F227">
        <v>263</v>
      </c>
      <c r="G227">
        <v>1</v>
      </c>
      <c r="H227">
        <v>1024.39</v>
      </c>
      <c r="I227">
        <v>1013.51</v>
      </c>
      <c r="J227">
        <v>16</v>
      </c>
      <c r="K227">
        <v>0</v>
      </c>
      <c r="L227">
        <v>11.4</v>
      </c>
      <c r="M227">
        <v>34.6</v>
      </c>
      <c r="N227" t="s">
        <v>61</v>
      </c>
      <c r="O227" t="s">
        <v>47</v>
      </c>
      <c r="P227" t="s">
        <v>58</v>
      </c>
      <c r="R227">
        <f>SUMIF(A227:A5226,"C00226",I227:I5226)</f>
        <v>1013.51</v>
      </c>
      <c r="S227" s="1">
        <v>1013.51</v>
      </c>
      <c r="T227">
        <f t="shared" si="21"/>
        <v>63.344375</v>
      </c>
      <c r="U227">
        <f t="shared" si="22"/>
        <v>553.6</v>
      </c>
      <c r="V227">
        <f t="shared" si="23"/>
        <v>46.1333333333333</v>
      </c>
      <c r="W227">
        <f t="shared" si="24"/>
        <v>679.633333333333</v>
      </c>
      <c r="X227">
        <f t="shared" si="25"/>
        <v>1.1597145618368</v>
      </c>
      <c r="AH227" t="str">
        <f t="shared" si="27"/>
        <v>3rd Quality</v>
      </c>
      <c r="AJ227">
        <f>((T227-X227)*2)/11.4</f>
        <v>10.9095895505549</v>
      </c>
      <c r="AK227">
        <f t="shared" si="26"/>
        <v>75253.1175</v>
      </c>
    </row>
    <row r="228" spans="1:37">
      <c r="A228" t="s">
        <v>291</v>
      </c>
      <c r="B228">
        <v>33</v>
      </c>
      <c r="C228" t="s">
        <v>50</v>
      </c>
      <c r="D228" t="s">
        <v>45</v>
      </c>
      <c r="E228">
        <v>852</v>
      </c>
      <c r="F228">
        <v>2</v>
      </c>
      <c r="G228">
        <v>22</v>
      </c>
      <c r="H228">
        <v>3923.06</v>
      </c>
      <c r="I228">
        <v>82871.13</v>
      </c>
      <c r="J228">
        <v>77</v>
      </c>
      <c r="K228">
        <v>1</v>
      </c>
      <c r="L228">
        <v>20.4</v>
      </c>
      <c r="M228">
        <v>39.4</v>
      </c>
      <c r="N228" t="s">
        <v>81</v>
      </c>
      <c r="O228" t="s">
        <v>47</v>
      </c>
      <c r="P228" t="s">
        <v>68</v>
      </c>
      <c r="R228">
        <f>SUMIF(A228:A5227,"C00227",I228:I5227)</f>
        <v>82871.13</v>
      </c>
      <c r="S228" s="1">
        <v>82871.13</v>
      </c>
      <c r="T228">
        <f t="shared" si="21"/>
        <v>1076.24844155844</v>
      </c>
      <c r="U228">
        <f t="shared" si="22"/>
        <v>3033.8</v>
      </c>
      <c r="V228">
        <f>U228*1</f>
        <v>3033.8</v>
      </c>
      <c r="W228">
        <f t="shared" si="24"/>
        <v>28931.73</v>
      </c>
      <c r="X228">
        <f t="shared" si="25"/>
        <v>0.217177407431954</v>
      </c>
      <c r="AH228" t="str">
        <f t="shared" si="27"/>
        <v>2nd Quality</v>
      </c>
      <c r="AJ228">
        <f>((T228-X228)*2)/20.4</f>
        <v>105.493261191275</v>
      </c>
      <c r="AK228">
        <f t="shared" si="26"/>
        <v>916963.672207792</v>
      </c>
    </row>
    <row r="229" spans="1:37">
      <c r="A229" t="s">
        <v>292</v>
      </c>
      <c r="B229">
        <v>30</v>
      </c>
      <c r="C229" t="s">
        <v>44</v>
      </c>
      <c r="D229" t="s">
        <v>45</v>
      </c>
      <c r="E229">
        <v>410</v>
      </c>
      <c r="F229">
        <v>15</v>
      </c>
      <c r="G229">
        <v>3</v>
      </c>
      <c r="H229">
        <v>8498.43</v>
      </c>
      <c r="I229">
        <v>24945.42</v>
      </c>
      <c r="J229">
        <v>19</v>
      </c>
      <c r="K229">
        <v>0</v>
      </c>
      <c r="L229">
        <v>8.9</v>
      </c>
      <c r="M229">
        <v>48.5</v>
      </c>
      <c r="N229" t="s">
        <v>61</v>
      </c>
      <c r="O229" t="s">
        <v>47</v>
      </c>
      <c r="P229" t="s">
        <v>68</v>
      </c>
      <c r="R229">
        <f>SUMIF(A229:A5228,"C00228",I229:I5228)</f>
        <v>24945.42</v>
      </c>
      <c r="S229" s="1">
        <v>24945.42</v>
      </c>
      <c r="T229">
        <f t="shared" si="21"/>
        <v>1312.91684210526</v>
      </c>
      <c r="U229">
        <f t="shared" si="22"/>
        <v>921.5</v>
      </c>
      <c r="V229">
        <f t="shared" si="23"/>
        <v>76.7916666666667</v>
      </c>
      <c r="W229">
        <f t="shared" si="24"/>
        <v>11148.2833333333</v>
      </c>
      <c r="X229">
        <f t="shared" si="25"/>
        <v>0.0482442051061196</v>
      </c>
      <c r="AH229" t="str">
        <f t="shared" si="27"/>
        <v>3rd Quality</v>
      </c>
      <c r="AJ229">
        <f>((T229-X229)*2)/8.9</f>
        <v>295.026651213518</v>
      </c>
      <c r="AK229">
        <f t="shared" si="26"/>
        <v>538295.905263158</v>
      </c>
    </row>
    <row r="230" spans="1:37">
      <c r="A230" t="s">
        <v>293</v>
      </c>
      <c r="B230">
        <v>24</v>
      </c>
      <c r="C230" t="s">
        <v>44</v>
      </c>
      <c r="D230" t="s">
        <v>60</v>
      </c>
      <c r="E230">
        <v>1156</v>
      </c>
      <c r="F230">
        <v>19</v>
      </c>
      <c r="G230">
        <v>3</v>
      </c>
      <c r="H230">
        <v>6694.6</v>
      </c>
      <c r="I230">
        <v>20051.06</v>
      </c>
      <c r="J230">
        <v>28</v>
      </c>
      <c r="K230">
        <v>2</v>
      </c>
      <c r="L230">
        <v>8.1</v>
      </c>
      <c r="M230">
        <v>7</v>
      </c>
      <c r="N230" t="s">
        <v>61</v>
      </c>
      <c r="O230" t="s">
        <v>47</v>
      </c>
      <c r="P230" t="s">
        <v>58</v>
      </c>
      <c r="R230">
        <f>SUMIF(A230:A5229,"C00229",I230:I5229)</f>
        <v>20051.06</v>
      </c>
      <c r="S230" s="1">
        <v>20051.06</v>
      </c>
      <c r="T230">
        <f t="shared" si="21"/>
        <v>716.109285714286</v>
      </c>
      <c r="U230">
        <f t="shared" si="22"/>
        <v>196</v>
      </c>
      <c r="V230">
        <f>U230*2</f>
        <v>392</v>
      </c>
      <c r="W230">
        <f t="shared" si="24"/>
        <v>8915.55333333334</v>
      </c>
      <c r="X230">
        <f t="shared" si="25"/>
        <v>0.172676485525648</v>
      </c>
      <c r="AH230" t="str">
        <f t="shared" si="27"/>
        <v>2nd Quality</v>
      </c>
      <c r="AJ230">
        <f>((T230-X230)*2)/8.1</f>
        <v>176.774471414509</v>
      </c>
      <c r="AK230">
        <f t="shared" si="26"/>
        <v>827822.334285714</v>
      </c>
    </row>
    <row r="231" spans="1:37">
      <c r="A231" t="s">
        <v>294</v>
      </c>
      <c r="B231">
        <v>18</v>
      </c>
      <c r="C231" t="s">
        <v>44</v>
      </c>
      <c r="D231" t="s">
        <v>45</v>
      </c>
      <c r="E231">
        <v>603</v>
      </c>
      <c r="F231">
        <v>14</v>
      </c>
      <c r="G231">
        <v>20</v>
      </c>
      <c r="H231">
        <v>325904</v>
      </c>
      <c r="I231">
        <v>59657.93</v>
      </c>
      <c r="J231">
        <v>83</v>
      </c>
      <c r="K231">
        <v>0</v>
      </c>
      <c r="L231">
        <v>9.1</v>
      </c>
      <c r="M231">
        <v>15.3</v>
      </c>
      <c r="N231" t="s">
        <v>52</v>
      </c>
      <c r="O231" t="s">
        <v>47</v>
      </c>
      <c r="P231" t="s">
        <v>58</v>
      </c>
      <c r="R231">
        <f>SUMIF(A231:A5230,"C00230",I231:I5230)</f>
        <v>59657.93</v>
      </c>
      <c r="S231" s="1">
        <v>59657.93</v>
      </c>
      <c r="T231">
        <f t="shared" si="21"/>
        <v>718.770240963855</v>
      </c>
      <c r="U231">
        <f t="shared" si="22"/>
        <v>1269.9</v>
      </c>
      <c r="V231">
        <f t="shared" si="23"/>
        <v>105.825</v>
      </c>
      <c r="W231">
        <f t="shared" si="24"/>
        <v>128520.976666667</v>
      </c>
      <c r="X231">
        <f t="shared" si="25"/>
        <v>0.00185023810692719</v>
      </c>
      <c r="AH231" t="str">
        <f t="shared" si="27"/>
        <v>2nd Quality</v>
      </c>
      <c r="AJ231">
        <f>((T231-X231)*2)/9.1</f>
        <v>157.97107488478</v>
      </c>
      <c r="AK231">
        <f t="shared" si="26"/>
        <v>433418.455301205</v>
      </c>
    </row>
    <row r="232" spans="1:37">
      <c r="A232" t="s">
        <v>295</v>
      </c>
      <c r="B232">
        <v>33</v>
      </c>
      <c r="C232" t="s">
        <v>44</v>
      </c>
      <c r="D232" t="s">
        <v>45</v>
      </c>
      <c r="E232">
        <v>1188</v>
      </c>
      <c r="F232">
        <v>9</v>
      </c>
      <c r="G232">
        <v>17</v>
      </c>
      <c r="H232">
        <v>1607.82</v>
      </c>
      <c r="I232">
        <v>25486.2</v>
      </c>
      <c r="J232">
        <v>142</v>
      </c>
      <c r="K232">
        <v>3</v>
      </c>
      <c r="L232">
        <v>19.6</v>
      </c>
      <c r="M232">
        <v>69.9</v>
      </c>
      <c r="N232" t="s">
        <v>78</v>
      </c>
      <c r="O232" t="s">
        <v>47</v>
      </c>
      <c r="P232" t="s">
        <v>58</v>
      </c>
      <c r="R232">
        <f>SUMIF(A232:A5231,"C00231",I232:I5231)</f>
        <v>25486.2</v>
      </c>
      <c r="S232" s="1">
        <v>25486.2</v>
      </c>
      <c r="T232">
        <f t="shared" si="21"/>
        <v>179.480281690141</v>
      </c>
      <c r="U232">
        <f t="shared" si="22"/>
        <v>9925.8</v>
      </c>
      <c r="V232">
        <f>U232*3</f>
        <v>29777.4</v>
      </c>
      <c r="W232">
        <f t="shared" si="24"/>
        <v>9031.67333333333</v>
      </c>
      <c r="X232">
        <f t="shared" si="25"/>
        <v>0.738888681568832</v>
      </c>
      <c r="AH232" t="str">
        <f t="shared" si="27"/>
        <v>2nd Quality</v>
      </c>
      <c r="AJ232">
        <f>((T232-X232)*2)/19.6</f>
        <v>18.2389176539359</v>
      </c>
      <c r="AK232">
        <f t="shared" si="26"/>
        <v>213222.574647887</v>
      </c>
    </row>
    <row r="233" spans="1:37">
      <c r="A233" t="s">
        <v>296</v>
      </c>
      <c r="B233">
        <v>27</v>
      </c>
      <c r="C233" t="s">
        <v>50</v>
      </c>
      <c r="D233" t="s">
        <v>60</v>
      </c>
      <c r="E233">
        <v>820</v>
      </c>
      <c r="F233">
        <v>81</v>
      </c>
      <c r="G233">
        <v>12</v>
      </c>
      <c r="H233">
        <v>1917.11</v>
      </c>
      <c r="I233">
        <v>20806.98</v>
      </c>
      <c r="J233">
        <v>54</v>
      </c>
      <c r="K233">
        <v>0</v>
      </c>
      <c r="L233">
        <v>28.8</v>
      </c>
      <c r="M233">
        <v>18.3</v>
      </c>
      <c r="N233" t="s">
        <v>52</v>
      </c>
      <c r="O233" t="s">
        <v>75</v>
      </c>
      <c r="P233" t="s">
        <v>68</v>
      </c>
      <c r="R233">
        <f>SUMIF(A233:A5232,"C00232",I233:I5232)</f>
        <v>20806.98</v>
      </c>
      <c r="S233" s="1">
        <v>20806.98</v>
      </c>
      <c r="T233">
        <f t="shared" si="21"/>
        <v>385.314444444444</v>
      </c>
      <c r="U233">
        <f t="shared" si="22"/>
        <v>988.2</v>
      </c>
      <c r="V233">
        <f t="shared" si="23"/>
        <v>82.35</v>
      </c>
      <c r="W233">
        <f t="shared" si="24"/>
        <v>7575.03</v>
      </c>
      <c r="X233">
        <f t="shared" si="25"/>
        <v>0.427727151806626</v>
      </c>
      <c r="AH233" t="str">
        <f t="shared" si="27"/>
        <v>2nd Quality</v>
      </c>
      <c r="AJ233">
        <f>((T233-X233)*2)/28.8</f>
        <v>26.7282442564332</v>
      </c>
      <c r="AK233">
        <f t="shared" si="26"/>
        <v>315957.844444444</v>
      </c>
    </row>
    <row r="234" spans="1:37">
      <c r="A234" t="s">
        <v>297</v>
      </c>
      <c r="B234">
        <v>47</v>
      </c>
      <c r="C234" t="s">
        <v>50</v>
      </c>
      <c r="D234" t="s">
        <v>60</v>
      </c>
      <c r="E234">
        <v>1149</v>
      </c>
      <c r="F234">
        <v>39</v>
      </c>
      <c r="G234">
        <v>1</v>
      </c>
      <c r="H234">
        <v>1522.22</v>
      </c>
      <c r="I234">
        <v>1365.97</v>
      </c>
      <c r="J234">
        <v>14</v>
      </c>
      <c r="K234">
        <v>0</v>
      </c>
      <c r="L234">
        <v>15.7</v>
      </c>
      <c r="M234">
        <v>30.8</v>
      </c>
      <c r="N234" t="s">
        <v>63</v>
      </c>
      <c r="O234" t="s">
        <v>47</v>
      </c>
      <c r="P234" t="s">
        <v>68</v>
      </c>
      <c r="R234">
        <f>SUMIF(A234:A5233,"C00233",I234:I5233)</f>
        <v>1365.97</v>
      </c>
      <c r="S234" s="1">
        <v>1365.97</v>
      </c>
      <c r="T234">
        <f t="shared" si="21"/>
        <v>97.5692857142857</v>
      </c>
      <c r="U234">
        <f t="shared" si="22"/>
        <v>431.2</v>
      </c>
      <c r="V234">
        <f t="shared" si="23"/>
        <v>35.9333333333333</v>
      </c>
      <c r="W234">
        <f t="shared" si="24"/>
        <v>963.063333333333</v>
      </c>
      <c r="X234">
        <f t="shared" si="25"/>
        <v>0.754818620173168</v>
      </c>
      <c r="AH234" t="str">
        <f t="shared" si="27"/>
        <v>3rd Quality</v>
      </c>
      <c r="AJ234">
        <f>((T234-X234)*2)/15.7</f>
        <v>12.333053133008</v>
      </c>
      <c r="AK234">
        <f t="shared" si="26"/>
        <v>112107.109285714</v>
      </c>
    </row>
    <row r="235" spans="1:37">
      <c r="A235" t="s">
        <v>298</v>
      </c>
      <c r="B235">
        <v>20</v>
      </c>
      <c r="C235" t="s">
        <v>50</v>
      </c>
      <c r="D235" t="s">
        <v>60</v>
      </c>
      <c r="E235">
        <v>1340</v>
      </c>
      <c r="F235">
        <v>47</v>
      </c>
      <c r="G235">
        <v>1</v>
      </c>
      <c r="H235">
        <v>7923.57</v>
      </c>
      <c r="I235">
        <v>8049.31</v>
      </c>
      <c r="J235">
        <v>15</v>
      </c>
      <c r="K235">
        <v>0</v>
      </c>
      <c r="L235">
        <v>12.4</v>
      </c>
      <c r="M235">
        <v>22.2</v>
      </c>
      <c r="N235" t="s">
        <v>63</v>
      </c>
      <c r="O235" t="s">
        <v>53</v>
      </c>
      <c r="P235" t="s">
        <v>58</v>
      </c>
      <c r="R235">
        <f>SUMIF(A235:A5234,"C00234",I235:I5234)</f>
        <v>8049.31</v>
      </c>
      <c r="S235" s="1">
        <v>8049.31</v>
      </c>
      <c r="T235">
        <f t="shared" si="21"/>
        <v>536.620666666667</v>
      </c>
      <c r="U235">
        <f t="shared" si="22"/>
        <v>333</v>
      </c>
      <c r="V235">
        <f t="shared" si="23"/>
        <v>27.75</v>
      </c>
      <c r="W235">
        <f t="shared" si="24"/>
        <v>5324.62666666667</v>
      </c>
      <c r="X235">
        <f t="shared" si="25"/>
        <v>0.169115689013917</v>
      </c>
      <c r="AH235" t="str">
        <f t="shared" si="27"/>
        <v>3rd Quality</v>
      </c>
      <c r="AJ235">
        <f>((T235-X235)*2)/12.4</f>
        <v>86.5244437060731</v>
      </c>
      <c r="AK235">
        <f t="shared" si="26"/>
        <v>719071.693333333</v>
      </c>
    </row>
    <row r="236" spans="1:37">
      <c r="A236" t="s">
        <v>299</v>
      </c>
      <c r="B236">
        <v>34</v>
      </c>
      <c r="C236" t="s">
        <v>44</v>
      </c>
      <c r="D236" t="s">
        <v>45</v>
      </c>
      <c r="E236">
        <v>468</v>
      </c>
      <c r="F236">
        <v>71</v>
      </c>
      <c r="G236">
        <v>2</v>
      </c>
      <c r="H236">
        <v>1613.35</v>
      </c>
      <c r="I236">
        <v>3380.09</v>
      </c>
      <c r="J236">
        <v>18</v>
      </c>
      <c r="K236">
        <v>0</v>
      </c>
      <c r="L236">
        <v>18.2</v>
      </c>
      <c r="M236">
        <v>50.5</v>
      </c>
      <c r="N236" t="s">
        <v>61</v>
      </c>
      <c r="O236" t="s">
        <v>47</v>
      </c>
      <c r="P236" t="s">
        <v>68</v>
      </c>
      <c r="R236">
        <f>SUMIF(A236:A5235,"C00235",I236:I5235)</f>
        <v>3380.09</v>
      </c>
      <c r="S236" s="1">
        <v>3380.09</v>
      </c>
      <c r="T236">
        <f t="shared" si="21"/>
        <v>187.782777777778</v>
      </c>
      <c r="U236">
        <f t="shared" si="22"/>
        <v>909</v>
      </c>
      <c r="V236">
        <f t="shared" si="23"/>
        <v>75.75</v>
      </c>
      <c r="W236">
        <f t="shared" si="24"/>
        <v>1664.81333333333</v>
      </c>
      <c r="X236">
        <f t="shared" si="25"/>
        <v>0.290079647937521</v>
      </c>
      <c r="AH236" t="str">
        <f t="shared" si="27"/>
        <v>3rd Quality</v>
      </c>
      <c r="AJ236">
        <f>((T236-X236)*2)/18.2</f>
        <v>20.6035932010814</v>
      </c>
      <c r="AK236">
        <f t="shared" si="26"/>
        <v>87882.34</v>
      </c>
    </row>
    <row r="237" spans="1:37">
      <c r="A237" t="s">
        <v>300</v>
      </c>
      <c r="B237">
        <v>37</v>
      </c>
      <c r="C237" t="s">
        <v>50</v>
      </c>
      <c r="D237" t="s">
        <v>60</v>
      </c>
      <c r="E237">
        <v>400</v>
      </c>
      <c r="F237">
        <v>253</v>
      </c>
      <c r="G237">
        <v>5</v>
      </c>
      <c r="H237">
        <v>797.58</v>
      </c>
      <c r="I237">
        <v>4096.64</v>
      </c>
      <c r="J237">
        <v>23</v>
      </c>
      <c r="K237">
        <v>0</v>
      </c>
      <c r="L237">
        <v>35.1</v>
      </c>
      <c r="M237">
        <v>31.6</v>
      </c>
      <c r="N237" t="s">
        <v>61</v>
      </c>
      <c r="O237" t="s">
        <v>47</v>
      </c>
      <c r="P237" t="s">
        <v>58</v>
      </c>
      <c r="R237">
        <f>SUMIF(A237:A5236,"C00236",I237:I5236)</f>
        <v>4096.64</v>
      </c>
      <c r="S237" s="1">
        <v>4096.64</v>
      </c>
      <c r="T237">
        <f t="shared" si="21"/>
        <v>178.114782608696</v>
      </c>
      <c r="U237">
        <f t="shared" si="22"/>
        <v>726.8</v>
      </c>
      <c r="V237">
        <f t="shared" si="23"/>
        <v>60.5666666666667</v>
      </c>
      <c r="W237">
        <f t="shared" si="24"/>
        <v>1631.74</v>
      </c>
      <c r="X237">
        <f t="shared" si="25"/>
        <v>0.501517089194814</v>
      </c>
      <c r="AH237" t="str">
        <f t="shared" si="27"/>
        <v>3rd Quality</v>
      </c>
      <c r="AJ237">
        <f>((T237-X237)*2)/35.1</f>
        <v>10.1204139897152</v>
      </c>
      <c r="AK237">
        <f t="shared" si="26"/>
        <v>71245.9130434783</v>
      </c>
    </row>
    <row r="238" spans="1:37">
      <c r="A238" t="s">
        <v>301</v>
      </c>
      <c r="B238">
        <v>37</v>
      </c>
      <c r="C238" t="s">
        <v>50</v>
      </c>
      <c r="D238" t="s">
        <v>45</v>
      </c>
      <c r="E238">
        <v>1106</v>
      </c>
      <c r="F238">
        <v>57</v>
      </c>
      <c r="G238">
        <v>12</v>
      </c>
      <c r="H238">
        <v>2082.49</v>
      </c>
      <c r="I238">
        <v>26350.74</v>
      </c>
      <c r="J238">
        <v>33</v>
      </c>
      <c r="K238">
        <v>1</v>
      </c>
      <c r="L238">
        <v>31.5</v>
      </c>
      <c r="M238">
        <v>17.6</v>
      </c>
      <c r="N238" t="s">
        <v>78</v>
      </c>
      <c r="O238" t="s">
        <v>75</v>
      </c>
      <c r="P238" t="s">
        <v>68</v>
      </c>
      <c r="R238">
        <f>SUMIF(A238:A5237,"C00237",I238:I5237)</f>
        <v>26350.74</v>
      </c>
      <c r="S238" s="1">
        <v>26350.74</v>
      </c>
      <c r="T238">
        <f t="shared" si="21"/>
        <v>798.507272727273</v>
      </c>
      <c r="U238">
        <f t="shared" si="22"/>
        <v>580.8</v>
      </c>
      <c r="V238">
        <f>U238*1</f>
        <v>580.8</v>
      </c>
      <c r="W238">
        <f t="shared" si="24"/>
        <v>9478.07666666667</v>
      </c>
      <c r="X238">
        <f t="shared" si="25"/>
        <v>0.531094987250839</v>
      </c>
      <c r="AH238" t="str">
        <f t="shared" si="27"/>
        <v>2nd Quality</v>
      </c>
      <c r="AJ238">
        <f>((T238-X238)*2)/31.5</f>
        <v>50.6651541422236</v>
      </c>
      <c r="AK238">
        <f t="shared" si="26"/>
        <v>883149.043636364</v>
      </c>
    </row>
    <row r="239" spans="1:37">
      <c r="A239" t="s">
        <v>302</v>
      </c>
      <c r="B239">
        <v>24</v>
      </c>
      <c r="C239" t="s">
        <v>44</v>
      </c>
      <c r="D239" t="s">
        <v>45</v>
      </c>
      <c r="E239">
        <v>855</v>
      </c>
      <c r="F239">
        <v>84</v>
      </c>
      <c r="G239">
        <v>4</v>
      </c>
      <c r="H239">
        <v>560.52</v>
      </c>
      <c r="I239">
        <v>2191.77</v>
      </c>
      <c r="J239">
        <v>36</v>
      </c>
      <c r="K239">
        <v>1</v>
      </c>
      <c r="L239">
        <v>37.7</v>
      </c>
      <c r="M239">
        <v>40.6</v>
      </c>
      <c r="N239" t="s">
        <v>78</v>
      </c>
      <c r="O239" t="s">
        <v>75</v>
      </c>
      <c r="P239" t="s">
        <v>68</v>
      </c>
      <c r="R239">
        <f>SUMIF(A239:A5238,"C00238",I239:I5238)</f>
        <v>2191.77</v>
      </c>
      <c r="S239" s="1">
        <v>2191.77</v>
      </c>
      <c r="T239">
        <f t="shared" si="21"/>
        <v>60.8825</v>
      </c>
      <c r="U239">
        <f t="shared" si="22"/>
        <v>1461.6</v>
      </c>
      <c r="V239">
        <f>U239*1</f>
        <v>1461.6</v>
      </c>
      <c r="W239">
        <f t="shared" si="24"/>
        <v>917.763333333333</v>
      </c>
      <c r="X239">
        <f t="shared" ref="X239:X302" si="28">E239/H239</f>
        <v>1.52536929993577</v>
      </c>
      <c r="AH239" t="str">
        <f t="shared" si="27"/>
        <v>3rd Quality</v>
      </c>
      <c r="AJ239">
        <f>((T239-X239)*2)/37.7</f>
        <v>3.14891940053391</v>
      </c>
      <c r="AK239">
        <f t="shared" si="26"/>
        <v>52054.5375</v>
      </c>
    </row>
    <row r="240" spans="1:37">
      <c r="A240" t="s">
        <v>303</v>
      </c>
      <c r="B240">
        <v>29</v>
      </c>
      <c r="C240" t="s">
        <v>50</v>
      </c>
      <c r="D240" t="s">
        <v>45</v>
      </c>
      <c r="E240">
        <v>1131</v>
      </c>
      <c r="F240">
        <v>7</v>
      </c>
      <c r="G240">
        <v>28</v>
      </c>
      <c r="H240">
        <v>2767.41</v>
      </c>
      <c r="I240">
        <v>83050.76</v>
      </c>
      <c r="J240">
        <v>92</v>
      </c>
      <c r="K240">
        <v>1</v>
      </c>
      <c r="L240">
        <v>0</v>
      </c>
      <c r="M240">
        <v>28.9</v>
      </c>
      <c r="N240" t="s">
        <v>52</v>
      </c>
      <c r="O240" t="s">
        <v>75</v>
      </c>
      <c r="P240" t="s">
        <v>58</v>
      </c>
      <c r="R240">
        <f>SUMIF(A240:A5239,"C00239",I240:I5239)</f>
        <v>83050.76</v>
      </c>
      <c r="S240" s="1">
        <v>83050.76</v>
      </c>
      <c r="T240">
        <f t="shared" si="21"/>
        <v>902.725652173913</v>
      </c>
      <c r="U240">
        <f t="shared" si="22"/>
        <v>2658.8</v>
      </c>
      <c r="V240">
        <f>U240*1</f>
        <v>2658.8</v>
      </c>
      <c r="W240">
        <f t="shared" si="24"/>
        <v>28606.39</v>
      </c>
      <c r="X240">
        <f t="shared" si="28"/>
        <v>0.408685377302243</v>
      </c>
      <c r="AH240" t="str">
        <f t="shared" si="27"/>
        <v>1st Quality</v>
      </c>
      <c r="AJ240">
        <f>((T240-X240)*2)</f>
        <v>1804.63393359322</v>
      </c>
      <c r="AK240">
        <f t="shared" si="26"/>
        <v>1020982.7126087</v>
      </c>
    </row>
    <row r="241" spans="1:37">
      <c r="A241" t="s">
        <v>304</v>
      </c>
      <c r="B241">
        <v>37</v>
      </c>
      <c r="C241" t="s">
        <v>50</v>
      </c>
      <c r="D241" t="s">
        <v>60</v>
      </c>
      <c r="E241">
        <v>500</v>
      </c>
      <c r="F241">
        <v>13</v>
      </c>
      <c r="G241">
        <v>27</v>
      </c>
      <c r="H241">
        <v>2947.21</v>
      </c>
      <c r="I241">
        <v>84304.91</v>
      </c>
      <c r="J241">
        <v>94</v>
      </c>
      <c r="K241">
        <v>0</v>
      </c>
      <c r="L241">
        <v>12.6</v>
      </c>
      <c r="M241">
        <v>66.7</v>
      </c>
      <c r="N241" t="s">
        <v>52</v>
      </c>
      <c r="O241" t="s">
        <v>47</v>
      </c>
      <c r="P241" t="s">
        <v>58</v>
      </c>
      <c r="R241">
        <f>SUMIF(A241:A5240,"C00240",I241:I5240)</f>
        <v>84304.91</v>
      </c>
      <c r="S241" s="1">
        <v>84304.91</v>
      </c>
      <c r="T241">
        <f t="shared" si="21"/>
        <v>896.860744680851</v>
      </c>
      <c r="U241">
        <f t="shared" si="22"/>
        <v>6269.8</v>
      </c>
      <c r="V241">
        <f t="shared" si="23"/>
        <v>522.483333333333</v>
      </c>
      <c r="W241">
        <f t="shared" si="24"/>
        <v>29084.3733333333</v>
      </c>
      <c r="X241">
        <f t="shared" si="28"/>
        <v>0.169651975936564</v>
      </c>
      <c r="AH241" t="str">
        <f t="shared" si="27"/>
        <v>2nd Quality</v>
      </c>
      <c r="AJ241">
        <f>((T241-X241)*2)/12.6</f>
        <v>142.331919476971</v>
      </c>
      <c r="AK241">
        <f t="shared" si="26"/>
        <v>448430.372340426</v>
      </c>
    </row>
    <row r="242" spans="1:37">
      <c r="A242" t="s">
        <v>305</v>
      </c>
      <c r="B242">
        <v>31</v>
      </c>
      <c r="C242" t="s">
        <v>50</v>
      </c>
      <c r="D242" t="s">
        <v>45</v>
      </c>
      <c r="E242">
        <v>1317</v>
      </c>
      <c r="F242">
        <v>207</v>
      </c>
      <c r="G242">
        <v>2</v>
      </c>
      <c r="H242">
        <v>567.07</v>
      </c>
      <c r="I242">
        <v>1191.57</v>
      </c>
      <c r="J242">
        <v>23</v>
      </c>
      <c r="K242">
        <v>0</v>
      </c>
      <c r="L242">
        <v>39.3</v>
      </c>
      <c r="M242">
        <v>22.7</v>
      </c>
      <c r="N242" t="s">
        <v>78</v>
      </c>
      <c r="O242" t="s">
        <v>47</v>
      </c>
      <c r="P242" t="s">
        <v>66</v>
      </c>
      <c r="R242">
        <f>SUMIF(A242:A5241,"C00241",I242:I5241)</f>
        <v>1191.57</v>
      </c>
      <c r="S242" s="1">
        <v>1191.57</v>
      </c>
      <c r="T242">
        <f t="shared" si="21"/>
        <v>51.8073913043478</v>
      </c>
      <c r="U242">
        <f t="shared" si="22"/>
        <v>522.1</v>
      </c>
      <c r="V242">
        <f t="shared" si="23"/>
        <v>43.5083333333333</v>
      </c>
      <c r="W242">
        <f t="shared" si="24"/>
        <v>586.546666666667</v>
      </c>
      <c r="X242">
        <f t="shared" si="28"/>
        <v>2.32246459872679</v>
      </c>
      <c r="AH242" t="str">
        <f t="shared" si="27"/>
        <v>3rd Quality</v>
      </c>
      <c r="AJ242">
        <f>((T242-X242)*2)/39.3</f>
        <v>2.51831688069318</v>
      </c>
      <c r="AK242">
        <f t="shared" si="26"/>
        <v>68230.3343478261</v>
      </c>
    </row>
    <row r="243" spans="1:37">
      <c r="A243" t="s">
        <v>306</v>
      </c>
      <c r="B243">
        <v>36</v>
      </c>
      <c r="C243" t="s">
        <v>44</v>
      </c>
      <c r="D243" t="s">
        <v>45</v>
      </c>
      <c r="E243">
        <v>620</v>
      </c>
      <c r="F243">
        <v>119</v>
      </c>
      <c r="G243">
        <v>1</v>
      </c>
      <c r="H243">
        <v>903.05</v>
      </c>
      <c r="I243">
        <v>960.7</v>
      </c>
      <c r="J243">
        <v>9</v>
      </c>
      <c r="K243">
        <v>0</v>
      </c>
      <c r="L243">
        <v>24</v>
      </c>
      <c r="M243">
        <v>6.6</v>
      </c>
      <c r="N243" t="s">
        <v>61</v>
      </c>
      <c r="O243" t="s">
        <v>75</v>
      </c>
      <c r="P243" t="s">
        <v>58</v>
      </c>
      <c r="R243">
        <f>SUMIF(A243:A5242,"C00242",I243:I5242)</f>
        <v>960.7</v>
      </c>
      <c r="S243" s="1">
        <v>960.7</v>
      </c>
      <c r="T243">
        <f t="shared" si="21"/>
        <v>106.744444444444</v>
      </c>
      <c r="U243">
        <f t="shared" si="22"/>
        <v>59.4</v>
      </c>
      <c r="V243">
        <f t="shared" si="23"/>
        <v>4.95</v>
      </c>
      <c r="W243">
        <f t="shared" si="24"/>
        <v>621.583333333333</v>
      </c>
      <c r="X243">
        <f t="shared" si="28"/>
        <v>0.686562205857926</v>
      </c>
      <c r="AH243" t="str">
        <f t="shared" si="27"/>
        <v>3rd Quality</v>
      </c>
      <c r="AJ243">
        <f>((T243-X243)*2)/24</f>
        <v>8.83815685321551</v>
      </c>
      <c r="AK243">
        <f t="shared" si="26"/>
        <v>66181.5555555556</v>
      </c>
    </row>
    <row r="244" spans="1:37">
      <c r="A244" t="s">
        <v>307</v>
      </c>
      <c r="B244">
        <v>18</v>
      </c>
      <c r="C244" t="s">
        <v>50</v>
      </c>
      <c r="D244" t="s">
        <v>60</v>
      </c>
      <c r="E244">
        <v>515</v>
      </c>
      <c r="F244">
        <v>32</v>
      </c>
      <c r="G244">
        <v>9</v>
      </c>
      <c r="H244">
        <v>1025.35</v>
      </c>
      <c r="I244">
        <v>8633.37</v>
      </c>
      <c r="J244">
        <v>48</v>
      </c>
      <c r="K244">
        <v>1</v>
      </c>
      <c r="L244">
        <v>35.9</v>
      </c>
      <c r="M244">
        <v>31.6</v>
      </c>
      <c r="N244" t="s">
        <v>57</v>
      </c>
      <c r="O244" t="s">
        <v>47</v>
      </c>
      <c r="P244" t="s">
        <v>58</v>
      </c>
      <c r="R244">
        <f>SUMIF(A244:A5243,"C00243",I244:I5243)</f>
        <v>8633.37</v>
      </c>
      <c r="S244" s="1">
        <v>8633.37</v>
      </c>
      <c r="T244">
        <f t="shared" si="21"/>
        <v>179.861875</v>
      </c>
      <c r="U244">
        <f t="shared" si="22"/>
        <v>1516.8</v>
      </c>
      <c r="V244">
        <f>U244*1</f>
        <v>1516.8</v>
      </c>
      <c r="W244">
        <f t="shared" si="24"/>
        <v>3219.90666666667</v>
      </c>
      <c r="X244">
        <f t="shared" si="28"/>
        <v>0.502267518408348</v>
      </c>
      <c r="AH244" t="str">
        <f t="shared" si="27"/>
        <v>3rd Quality</v>
      </c>
      <c r="AJ244">
        <f>((T244-X244)*2)/35.9</f>
        <v>9.99217868978226</v>
      </c>
      <c r="AK244">
        <f t="shared" si="26"/>
        <v>92628.865625</v>
      </c>
    </row>
    <row r="245" spans="1:37">
      <c r="A245" t="s">
        <v>308</v>
      </c>
      <c r="B245">
        <v>30</v>
      </c>
      <c r="C245" t="s">
        <v>101</v>
      </c>
      <c r="D245" t="s">
        <v>51</v>
      </c>
      <c r="E245">
        <v>812</v>
      </c>
      <c r="F245">
        <v>12</v>
      </c>
      <c r="G245">
        <v>3</v>
      </c>
      <c r="H245">
        <v>5571.5</v>
      </c>
      <c r="I245">
        <v>16993.06</v>
      </c>
      <c r="J245">
        <v>28</v>
      </c>
      <c r="K245">
        <v>0</v>
      </c>
      <c r="L245">
        <v>10.3</v>
      </c>
      <c r="M245">
        <v>38.8</v>
      </c>
      <c r="N245" t="s">
        <v>63</v>
      </c>
      <c r="O245" t="s">
        <v>47</v>
      </c>
      <c r="P245" t="s">
        <v>68</v>
      </c>
      <c r="R245">
        <f>SUMIF(A245:A5244,"C00244",I245:I5244)</f>
        <v>16993.06</v>
      </c>
      <c r="S245" s="1">
        <v>16993.06</v>
      </c>
      <c r="T245">
        <f t="shared" si="21"/>
        <v>606.895</v>
      </c>
      <c r="U245">
        <f t="shared" si="22"/>
        <v>1086.4</v>
      </c>
      <c r="V245">
        <f t="shared" si="23"/>
        <v>90.5333333333333</v>
      </c>
      <c r="W245">
        <f t="shared" si="24"/>
        <v>7521.85333333333</v>
      </c>
      <c r="X245">
        <f t="shared" si="28"/>
        <v>0.145741721259984</v>
      </c>
      <c r="AH245" t="str">
        <f t="shared" si="27"/>
        <v>2nd Quality</v>
      </c>
      <c r="AJ245">
        <f>((T245-X245)*2)/10.3</f>
        <v>117.815389957037</v>
      </c>
      <c r="AK245">
        <f t="shared" si="26"/>
        <v>492798.74</v>
      </c>
    </row>
    <row r="246" spans="1:37">
      <c r="A246" t="s">
        <v>309</v>
      </c>
      <c r="B246">
        <v>40</v>
      </c>
      <c r="C246" t="s">
        <v>50</v>
      </c>
      <c r="D246" t="s">
        <v>60</v>
      </c>
      <c r="E246">
        <v>1262</v>
      </c>
      <c r="F246">
        <v>25</v>
      </c>
      <c r="G246">
        <v>3</v>
      </c>
      <c r="H246">
        <v>11602.94</v>
      </c>
      <c r="I246">
        <v>37105.67</v>
      </c>
      <c r="J246">
        <v>27</v>
      </c>
      <c r="K246">
        <v>0</v>
      </c>
      <c r="L246">
        <v>12.7</v>
      </c>
      <c r="M246">
        <v>33</v>
      </c>
      <c r="N246" t="s">
        <v>57</v>
      </c>
      <c r="O246" t="s">
        <v>75</v>
      </c>
      <c r="P246" t="s">
        <v>58</v>
      </c>
      <c r="R246">
        <f>SUMIF(A246:A5245,"C00245",I246:I5245)</f>
        <v>37105.67</v>
      </c>
      <c r="S246" s="1">
        <v>37105.67</v>
      </c>
      <c r="T246">
        <f t="shared" si="21"/>
        <v>1374.28407407407</v>
      </c>
      <c r="U246">
        <f t="shared" si="22"/>
        <v>891</v>
      </c>
      <c r="V246">
        <f t="shared" si="23"/>
        <v>74.25</v>
      </c>
      <c r="W246">
        <f t="shared" si="24"/>
        <v>16236.5366666667</v>
      </c>
      <c r="X246">
        <f t="shared" si="28"/>
        <v>0.108765537010447</v>
      </c>
      <c r="AH246" t="str">
        <f t="shared" si="27"/>
        <v>2nd Quality</v>
      </c>
      <c r="AJ246">
        <f>((T246-X246)*2)/12.7</f>
        <v>216.405560399537</v>
      </c>
      <c r="AK246">
        <f t="shared" si="26"/>
        <v>1734346.50148148</v>
      </c>
    </row>
    <row r="247" spans="1:37">
      <c r="A247" t="s">
        <v>310</v>
      </c>
      <c r="B247">
        <v>31</v>
      </c>
      <c r="C247" t="s">
        <v>101</v>
      </c>
      <c r="D247" t="s">
        <v>60</v>
      </c>
      <c r="E247">
        <v>477</v>
      </c>
      <c r="F247">
        <v>365</v>
      </c>
      <c r="G247">
        <v>1</v>
      </c>
      <c r="H247">
        <v>3060.54</v>
      </c>
      <c r="I247">
        <v>2765.9</v>
      </c>
      <c r="J247">
        <v>16</v>
      </c>
      <c r="K247">
        <v>0</v>
      </c>
      <c r="L247">
        <v>23.7</v>
      </c>
      <c r="M247">
        <v>30.5</v>
      </c>
      <c r="N247" t="s">
        <v>78</v>
      </c>
      <c r="O247" t="s">
        <v>47</v>
      </c>
      <c r="P247" t="s">
        <v>68</v>
      </c>
      <c r="R247">
        <f>SUMIF(A247:A5246,"C00246",I247:I5246)</f>
        <v>2765.9</v>
      </c>
      <c r="S247" s="1">
        <v>2765.9</v>
      </c>
      <c r="T247">
        <f t="shared" si="21"/>
        <v>172.86875</v>
      </c>
      <c r="U247">
        <f t="shared" si="22"/>
        <v>488</v>
      </c>
      <c r="V247">
        <f t="shared" si="23"/>
        <v>40.6666666666667</v>
      </c>
      <c r="W247">
        <f t="shared" si="24"/>
        <v>1942.48</v>
      </c>
      <c r="X247">
        <f t="shared" si="28"/>
        <v>0.155854849144269</v>
      </c>
      <c r="AH247" t="str">
        <f t="shared" si="27"/>
        <v>3rd Quality</v>
      </c>
      <c r="AJ247">
        <f>((T247-X247)*2)/23.7</f>
        <v>14.5749278608317</v>
      </c>
      <c r="AK247">
        <f t="shared" si="26"/>
        <v>82458.39375</v>
      </c>
    </row>
    <row r="248" spans="1:37">
      <c r="A248" t="s">
        <v>311</v>
      </c>
      <c r="B248">
        <v>18</v>
      </c>
      <c r="C248" t="s">
        <v>50</v>
      </c>
      <c r="D248" t="s">
        <v>45</v>
      </c>
      <c r="E248">
        <v>916</v>
      </c>
      <c r="F248">
        <v>52</v>
      </c>
      <c r="G248">
        <v>3</v>
      </c>
      <c r="H248">
        <v>9676.42</v>
      </c>
      <c r="I248">
        <v>27267.1</v>
      </c>
      <c r="J248">
        <v>27</v>
      </c>
      <c r="K248">
        <v>0</v>
      </c>
      <c r="L248">
        <v>0</v>
      </c>
      <c r="M248">
        <v>18.3</v>
      </c>
      <c r="N248" t="s">
        <v>61</v>
      </c>
      <c r="O248" t="s">
        <v>47</v>
      </c>
      <c r="P248" t="s">
        <v>58</v>
      </c>
      <c r="R248">
        <f>SUMIF(A248:A5247,"C00247",I248:I5247)</f>
        <v>27267.1</v>
      </c>
      <c r="S248" s="1">
        <v>27267.1</v>
      </c>
      <c r="T248">
        <f t="shared" si="21"/>
        <v>1009.89259259259</v>
      </c>
      <c r="U248">
        <f t="shared" si="22"/>
        <v>494.1</v>
      </c>
      <c r="V248">
        <f t="shared" si="23"/>
        <v>41.175</v>
      </c>
      <c r="W248">
        <f t="shared" si="24"/>
        <v>12314.84</v>
      </c>
      <c r="X248">
        <f t="shared" si="28"/>
        <v>0.0946631088770434</v>
      </c>
      <c r="AH248" t="str">
        <f t="shared" si="27"/>
        <v>2nd Quality</v>
      </c>
      <c r="AJ248">
        <f>((T248-X248)*2)</f>
        <v>2019.59585896743</v>
      </c>
      <c r="AK248">
        <f t="shared" si="26"/>
        <v>925061.614814815</v>
      </c>
    </row>
    <row r="249" spans="1:37">
      <c r="A249" t="s">
        <v>312</v>
      </c>
      <c r="B249">
        <v>35</v>
      </c>
      <c r="C249" t="s">
        <v>44</v>
      </c>
      <c r="D249" t="s">
        <v>45</v>
      </c>
      <c r="E249">
        <v>1274</v>
      </c>
      <c r="F249">
        <v>87</v>
      </c>
      <c r="G249">
        <v>7</v>
      </c>
      <c r="H249">
        <v>129804</v>
      </c>
      <c r="I249">
        <v>9066.29</v>
      </c>
      <c r="J249">
        <v>34</v>
      </c>
      <c r="K249">
        <v>1</v>
      </c>
      <c r="L249">
        <v>29</v>
      </c>
      <c r="M249">
        <v>44.3</v>
      </c>
      <c r="N249" t="s">
        <v>61</v>
      </c>
      <c r="O249" t="s">
        <v>47</v>
      </c>
      <c r="P249" t="s">
        <v>66</v>
      </c>
      <c r="R249">
        <f>SUMIF(A249:A5248,"C00248",I249:I5248)</f>
        <v>9066.29</v>
      </c>
      <c r="S249" s="1">
        <v>9066.29</v>
      </c>
      <c r="T249">
        <f t="shared" si="21"/>
        <v>266.655588235294</v>
      </c>
      <c r="U249">
        <f t="shared" si="22"/>
        <v>1506.2</v>
      </c>
      <c r="V249">
        <f>U249*1</f>
        <v>1506.2</v>
      </c>
      <c r="W249">
        <f t="shared" si="24"/>
        <v>46290.43</v>
      </c>
      <c r="X249">
        <f t="shared" si="28"/>
        <v>0.00981479769498629</v>
      </c>
      <c r="AH249" t="str">
        <f t="shared" si="27"/>
        <v>2nd Quality</v>
      </c>
      <c r="AJ249">
        <f>((T249-X249)*2)/29</f>
        <v>18.3893636853517</v>
      </c>
      <c r="AK249">
        <f t="shared" si="26"/>
        <v>339719.219411765</v>
      </c>
    </row>
    <row r="250" spans="1:37">
      <c r="A250" t="s">
        <v>313</v>
      </c>
      <c r="B250">
        <v>31</v>
      </c>
      <c r="C250" t="s">
        <v>44</v>
      </c>
      <c r="D250" t="s">
        <v>51</v>
      </c>
      <c r="E250">
        <v>933</v>
      </c>
      <c r="F250">
        <v>14</v>
      </c>
      <c r="G250">
        <v>9</v>
      </c>
      <c r="H250">
        <v>1287.63</v>
      </c>
      <c r="I250">
        <v>11349.99</v>
      </c>
      <c r="J250">
        <v>39</v>
      </c>
      <c r="K250">
        <v>1</v>
      </c>
      <c r="L250">
        <v>25.5</v>
      </c>
      <c r="M250">
        <v>58.1</v>
      </c>
      <c r="N250" t="s">
        <v>81</v>
      </c>
      <c r="O250" t="s">
        <v>75</v>
      </c>
      <c r="P250" t="s">
        <v>48</v>
      </c>
      <c r="R250">
        <f>SUMIF(A250:A5249,"C00249",I250:I5249)</f>
        <v>11349.99</v>
      </c>
      <c r="S250" s="1">
        <v>11349.99</v>
      </c>
      <c r="T250">
        <f t="shared" si="21"/>
        <v>291.025384615385</v>
      </c>
      <c r="U250">
        <f t="shared" si="22"/>
        <v>2265.9</v>
      </c>
      <c r="V250">
        <f>U250*1</f>
        <v>2265.9</v>
      </c>
      <c r="W250">
        <f t="shared" si="24"/>
        <v>4212.87333333333</v>
      </c>
      <c r="X250">
        <f t="shared" si="28"/>
        <v>0.724587031989003</v>
      </c>
      <c r="AH250" t="str">
        <f t="shared" si="27"/>
        <v>3rd Quality</v>
      </c>
      <c r="AJ250">
        <f>((T250-X250)*2)/25.5</f>
        <v>22.7686900065409</v>
      </c>
      <c r="AK250">
        <f t="shared" si="26"/>
        <v>271526.683846154</v>
      </c>
    </row>
    <row r="251" spans="1:37">
      <c r="A251" t="s">
        <v>314</v>
      </c>
      <c r="B251">
        <v>24</v>
      </c>
      <c r="C251" t="s">
        <v>50</v>
      </c>
      <c r="D251" t="s">
        <v>51</v>
      </c>
      <c r="E251">
        <v>460</v>
      </c>
      <c r="F251">
        <v>7</v>
      </c>
      <c r="G251">
        <v>8</v>
      </c>
      <c r="H251">
        <v>1109.65</v>
      </c>
      <c r="I251">
        <v>9759.81</v>
      </c>
      <c r="J251">
        <v>52</v>
      </c>
      <c r="K251">
        <v>1</v>
      </c>
      <c r="L251">
        <v>18.9</v>
      </c>
      <c r="M251">
        <v>13.8</v>
      </c>
      <c r="N251" t="s">
        <v>52</v>
      </c>
      <c r="O251" t="s">
        <v>53</v>
      </c>
      <c r="P251" t="s">
        <v>58</v>
      </c>
      <c r="R251">
        <f>SUMIF(A251:A5250,"C00250",I251:I5250)</f>
        <v>9759.81</v>
      </c>
      <c r="S251" s="1">
        <v>9759.81</v>
      </c>
      <c r="T251">
        <f t="shared" si="21"/>
        <v>187.688653846154</v>
      </c>
      <c r="U251">
        <f t="shared" si="22"/>
        <v>717.6</v>
      </c>
      <c r="V251">
        <f>U251*1</f>
        <v>717.6</v>
      </c>
      <c r="W251">
        <f t="shared" si="24"/>
        <v>3623.48666666667</v>
      </c>
      <c r="X251">
        <f t="shared" si="28"/>
        <v>0.414545126841797</v>
      </c>
      <c r="AH251" t="str">
        <f t="shared" si="27"/>
        <v>3rd Quality</v>
      </c>
      <c r="AJ251">
        <f>((T251-X251)*2)/18.9</f>
        <v>19.8173660020436</v>
      </c>
      <c r="AK251">
        <f t="shared" si="26"/>
        <v>86336.7807692308</v>
      </c>
    </row>
    <row r="252" spans="1:37">
      <c r="A252" t="s">
        <v>315</v>
      </c>
      <c r="B252">
        <v>43</v>
      </c>
      <c r="C252" t="s">
        <v>44</v>
      </c>
      <c r="D252" t="s">
        <v>60</v>
      </c>
      <c r="E252">
        <v>589</v>
      </c>
      <c r="F252">
        <v>49</v>
      </c>
      <c r="G252">
        <v>6</v>
      </c>
      <c r="H252">
        <v>14819.28</v>
      </c>
      <c r="I252">
        <v>94264.34</v>
      </c>
      <c r="J252">
        <v>47</v>
      </c>
      <c r="K252">
        <v>0</v>
      </c>
      <c r="L252">
        <v>17.4</v>
      </c>
      <c r="M252">
        <v>8.7</v>
      </c>
      <c r="N252" t="s">
        <v>57</v>
      </c>
      <c r="O252" t="s">
        <v>53</v>
      </c>
      <c r="P252" t="s">
        <v>68</v>
      </c>
      <c r="R252">
        <f>SUMIF(A252:A5251,"C00251",I252:I5251)</f>
        <v>94264.34</v>
      </c>
      <c r="S252" s="1">
        <v>94264.34</v>
      </c>
      <c r="T252">
        <f t="shared" si="21"/>
        <v>2005.62425531915</v>
      </c>
      <c r="U252">
        <f t="shared" si="22"/>
        <v>408.9</v>
      </c>
      <c r="V252">
        <f t="shared" si="23"/>
        <v>34.075</v>
      </c>
      <c r="W252">
        <f t="shared" si="24"/>
        <v>36361.54</v>
      </c>
      <c r="X252">
        <f t="shared" si="28"/>
        <v>0.039745520700061</v>
      </c>
      <c r="AH252" t="str">
        <f t="shared" si="27"/>
        <v>2nd Quality</v>
      </c>
      <c r="AJ252">
        <f>((T252-X252)*2)/17.4</f>
        <v>230.526955149247</v>
      </c>
      <c r="AK252">
        <f t="shared" si="26"/>
        <v>1181312.68638298</v>
      </c>
    </row>
    <row r="253" spans="1:37">
      <c r="A253" t="s">
        <v>316</v>
      </c>
      <c r="B253">
        <v>42</v>
      </c>
      <c r="C253" t="s">
        <v>50</v>
      </c>
      <c r="D253" t="s">
        <v>60</v>
      </c>
      <c r="E253">
        <v>1008</v>
      </c>
      <c r="F253">
        <v>54</v>
      </c>
      <c r="G253">
        <v>1</v>
      </c>
      <c r="H253">
        <v>1761.85</v>
      </c>
      <c r="I253">
        <v>1567.69</v>
      </c>
      <c r="J253">
        <v>14</v>
      </c>
      <c r="K253">
        <v>0</v>
      </c>
      <c r="L253">
        <v>3.7</v>
      </c>
      <c r="M253">
        <v>65.5</v>
      </c>
      <c r="N253" t="s">
        <v>46</v>
      </c>
      <c r="O253" t="s">
        <v>75</v>
      </c>
      <c r="P253" t="s">
        <v>58</v>
      </c>
      <c r="R253">
        <f>SUMIF(A253:A5252,"C00252",I253:I5252)</f>
        <v>1567.69</v>
      </c>
      <c r="S253" s="1">
        <v>1567.69</v>
      </c>
      <c r="T253">
        <f t="shared" si="21"/>
        <v>111.977857142857</v>
      </c>
      <c r="U253">
        <f t="shared" si="22"/>
        <v>917</v>
      </c>
      <c r="V253">
        <f t="shared" si="23"/>
        <v>76.4166666666667</v>
      </c>
      <c r="W253">
        <f t="shared" si="24"/>
        <v>1110.18</v>
      </c>
      <c r="X253">
        <f t="shared" si="28"/>
        <v>0.572125890399296</v>
      </c>
      <c r="AH253" t="str">
        <f t="shared" si="27"/>
        <v>3rd Quality</v>
      </c>
      <c r="AJ253">
        <f>((T253-X253)*2)/3.7</f>
        <v>60.2193141905177</v>
      </c>
      <c r="AK253">
        <f t="shared" si="26"/>
        <v>112873.68</v>
      </c>
    </row>
    <row r="254" spans="1:37">
      <c r="A254" t="s">
        <v>317</v>
      </c>
      <c r="B254">
        <v>27</v>
      </c>
      <c r="C254" t="s">
        <v>56</v>
      </c>
      <c r="D254" t="s">
        <v>60</v>
      </c>
      <c r="E254">
        <v>1078</v>
      </c>
      <c r="F254">
        <v>87</v>
      </c>
      <c r="G254">
        <v>8</v>
      </c>
      <c r="H254">
        <v>589.91</v>
      </c>
      <c r="I254">
        <v>4679.98</v>
      </c>
      <c r="J254">
        <v>68</v>
      </c>
      <c r="K254">
        <v>1</v>
      </c>
      <c r="L254">
        <v>17.7</v>
      </c>
      <c r="M254">
        <v>19.7</v>
      </c>
      <c r="N254" t="s">
        <v>57</v>
      </c>
      <c r="O254" t="s">
        <v>75</v>
      </c>
      <c r="P254" t="s">
        <v>58</v>
      </c>
      <c r="R254">
        <f>SUMIF(A254:A5253,"C00253",I254:I5253)</f>
        <v>4679.98</v>
      </c>
      <c r="S254" s="1">
        <v>4679.98</v>
      </c>
      <c r="T254">
        <f t="shared" si="21"/>
        <v>68.8232352941176</v>
      </c>
      <c r="U254">
        <f t="shared" si="22"/>
        <v>1339.6</v>
      </c>
      <c r="V254">
        <f>U254*1</f>
        <v>1339.6</v>
      </c>
      <c r="W254">
        <f t="shared" si="24"/>
        <v>1756.96333333333</v>
      </c>
      <c r="X254">
        <f t="shared" si="28"/>
        <v>1.82739739960333</v>
      </c>
      <c r="AH254" t="str">
        <f t="shared" si="27"/>
        <v>3rd Quality</v>
      </c>
      <c r="AJ254">
        <f>((T254-X254)*2)/17.7</f>
        <v>7.57015117452139</v>
      </c>
      <c r="AK254">
        <f t="shared" si="26"/>
        <v>74191.4476470588</v>
      </c>
    </row>
    <row r="255" spans="1:37">
      <c r="A255" t="s">
        <v>318</v>
      </c>
      <c r="B255">
        <v>36</v>
      </c>
      <c r="C255" t="s">
        <v>44</v>
      </c>
      <c r="D255" t="s">
        <v>45</v>
      </c>
      <c r="E255">
        <v>548</v>
      </c>
      <c r="F255">
        <v>60</v>
      </c>
      <c r="G255">
        <v>6</v>
      </c>
      <c r="H255">
        <v>2129.12</v>
      </c>
      <c r="I255">
        <v>13579.71</v>
      </c>
      <c r="J255">
        <v>45</v>
      </c>
      <c r="K255">
        <v>0</v>
      </c>
      <c r="L255">
        <v>32.2</v>
      </c>
      <c r="M255">
        <v>9.4</v>
      </c>
      <c r="N255" t="s">
        <v>57</v>
      </c>
      <c r="O255" t="s">
        <v>47</v>
      </c>
      <c r="P255" t="s">
        <v>58</v>
      </c>
      <c r="R255">
        <f>SUMIF(A255:A5254,"C00254",I255:I5254)</f>
        <v>13579.71</v>
      </c>
      <c r="S255" s="1">
        <v>13579.71</v>
      </c>
      <c r="T255">
        <f t="shared" si="21"/>
        <v>301.771333333333</v>
      </c>
      <c r="U255">
        <f t="shared" si="22"/>
        <v>423</v>
      </c>
      <c r="V255">
        <f t="shared" si="23"/>
        <v>35.25</v>
      </c>
      <c r="W255">
        <f t="shared" si="24"/>
        <v>5236.61</v>
      </c>
      <c r="X255">
        <f t="shared" si="28"/>
        <v>0.25738333208086</v>
      </c>
      <c r="AH255" t="str">
        <f t="shared" si="27"/>
        <v>3rd Quality</v>
      </c>
      <c r="AJ255">
        <f>((T255-X255)*2)/32.2</f>
        <v>18.7275745342393</v>
      </c>
      <c r="AK255">
        <f t="shared" si="26"/>
        <v>165370.690666667</v>
      </c>
    </row>
    <row r="256" spans="1:37">
      <c r="A256" t="s">
        <v>319</v>
      </c>
      <c r="B256">
        <v>33</v>
      </c>
      <c r="C256" t="s">
        <v>44</v>
      </c>
      <c r="D256" t="s">
        <v>45</v>
      </c>
      <c r="E256">
        <v>795</v>
      </c>
      <c r="F256">
        <v>44</v>
      </c>
      <c r="G256">
        <v>4</v>
      </c>
      <c r="H256">
        <v>1939.76</v>
      </c>
      <c r="I256">
        <v>8073.77</v>
      </c>
      <c r="J256">
        <v>25</v>
      </c>
      <c r="K256">
        <v>0</v>
      </c>
      <c r="L256">
        <v>29.1</v>
      </c>
      <c r="M256">
        <v>25.2</v>
      </c>
      <c r="N256" t="s">
        <v>57</v>
      </c>
      <c r="O256" t="s">
        <v>47</v>
      </c>
      <c r="P256" t="s">
        <v>58</v>
      </c>
      <c r="R256">
        <f>SUMIF(A256:A5255,"C00255",I256:I5255)</f>
        <v>8073.77</v>
      </c>
      <c r="S256" s="1">
        <v>8073.77</v>
      </c>
      <c r="T256">
        <f t="shared" si="21"/>
        <v>322.9508</v>
      </c>
      <c r="U256">
        <f t="shared" si="22"/>
        <v>630</v>
      </c>
      <c r="V256">
        <f t="shared" si="23"/>
        <v>52.5</v>
      </c>
      <c r="W256">
        <f t="shared" si="24"/>
        <v>3338.17666666667</v>
      </c>
      <c r="X256">
        <f t="shared" si="28"/>
        <v>0.409844516847445</v>
      </c>
      <c r="AH256" t="str">
        <f t="shared" si="27"/>
        <v>3rd Quality</v>
      </c>
      <c r="AJ256">
        <f>((T256-X256)*2)/29.1</f>
        <v>22.1677632634469</v>
      </c>
      <c r="AK256">
        <f t="shared" si="26"/>
        <v>256745.886</v>
      </c>
    </row>
    <row r="257" spans="1:37">
      <c r="A257" t="s">
        <v>320</v>
      </c>
      <c r="B257">
        <v>25</v>
      </c>
      <c r="C257" t="s">
        <v>50</v>
      </c>
      <c r="D257" t="s">
        <v>60</v>
      </c>
      <c r="E257">
        <v>486</v>
      </c>
      <c r="F257">
        <v>33</v>
      </c>
      <c r="G257">
        <v>4</v>
      </c>
      <c r="H257">
        <v>1068.32</v>
      </c>
      <c r="I257">
        <v>4311.89</v>
      </c>
      <c r="J257">
        <v>33</v>
      </c>
      <c r="K257">
        <v>1</v>
      </c>
      <c r="L257">
        <v>25.2</v>
      </c>
      <c r="M257">
        <v>2.7</v>
      </c>
      <c r="N257" t="s">
        <v>52</v>
      </c>
      <c r="O257" t="s">
        <v>47</v>
      </c>
      <c r="P257" t="s">
        <v>66</v>
      </c>
      <c r="R257">
        <f>SUMIF(A257:A5256,"C00256",I257:I5256)</f>
        <v>4311.89</v>
      </c>
      <c r="S257" s="1">
        <v>4311.89</v>
      </c>
      <c r="T257">
        <f t="shared" si="21"/>
        <v>130.663333333333</v>
      </c>
      <c r="U257">
        <f t="shared" si="22"/>
        <v>89.1</v>
      </c>
      <c r="V257">
        <f>U257*1</f>
        <v>89.1</v>
      </c>
      <c r="W257">
        <f t="shared" si="24"/>
        <v>1793.73666666667</v>
      </c>
      <c r="X257">
        <f t="shared" si="28"/>
        <v>0.454919874194998</v>
      </c>
      <c r="AH257" t="str">
        <f t="shared" si="27"/>
        <v>3rd Quality</v>
      </c>
      <c r="AJ257">
        <f>((T257-X257)*2)/25.2</f>
        <v>10.3340010681856</v>
      </c>
      <c r="AK257">
        <f t="shared" si="26"/>
        <v>63502.38</v>
      </c>
    </row>
    <row r="258" spans="1:37">
      <c r="A258" t="s">
        <v>321</v>
      </c>
      <c r="B258">
        <v>47</v>
      </c>
      <c r="C258" t="s">
        <v>50</v>
      </c>
      <c r="D258" t="s">
        <v>51</v>
      </c>
      <c r="E258">
        <v>996</v>
      </c>
      <c r="F258">
        <v>93</v>
      </c>
      <c r="G258">
        <v>3</v>
      </c>
      <c r="H258">
        <v>298.32</v>
      </c>
      <c r="I258">
        <v>805.86</v>
      </c>
      <c r="J258">
        <v>27</v>
      </c>
      <c r="K258">
        <v>2</v>
      </c>
      <c r="L258">
        <v>24</v>
      </c>
      <c r="M258">
        <v>31.8</v>
      </c>
      <c r="N258" t="s">
        <v>61</v>
      </c>
      <c r="O258" t="s">
        <v>47</v>
      </c>
      <c r="P258" t="s">
        <v>54</v>
      </c>
      <c r="R258">
        <f>SUMIF(A258:A5257,"C00257",I258:I5257)</f>
        <v>805.86</v>
      </c>
      <c r="S258" s="1">
        <v>805.86</v>
      </c>
      <c r="T258">
        <f t="shared" si="21"/>
        <v>29.8466666666667</v>
      </c>
      <c r="U258">
        <f t="shared" si="22"/>
        <v>858.6</v>
      </c>
      <c r="V258">
        <f>U258*2</f>
        <v>1717.2</v>
      </c>
      <c r="W258">
        <f t="shared" si="24"/>
        <v>368.393333333333</v>
      </c>
      <c r="X258">
        <f t="shared" si="28"/>
        <v>3.33869670152856</v>
      </c>
      <c r="AH258" t="str">
        <f t="shared" si="27"/>
        <v>3rd Quality</v>
      </c>
      <c r="AJ258">
        <f>((T258-X258)*2)/24</f>
        <v>2.20899749709484</v>
      </c>
      <c r="AK258">
        <f t="shared" si="26"/>
        <v>29727.28</v>
      </c>
    </row>
    <row r="259" spans="1:37">
      <c r="A259" t="s">
        <v>322</v>
      </c>
      <c r="B259">
        <v>27</v>
      </c>
      <c r="C259" t="s">
        <v>50</v>
      </c>
      <c r="D259" t="s">
        <v>51</v>
      </c>
      <c r="E259">
        <v>874</v>
      </c>
      <c r="F259">
        <v>8</v>
      </c>
      <c r="G259">
        <v>31</v>
      </c>
      <c r="H259">
        <v>3196.42</v>
      </c>
      <c r="I259">
        <v>108961.51</v>
      </c>
      <c r="J259">
        <v>258</v>
      </c>
      <c r="K259">
        <v>3</v>
      </c>
      <c r="L259">
        <v>7.9</v>
      </c>
      <c r="M259">
        <v>17.7</v>
      </c>
      <c r="N259" t="s">
        <v>81</v>
      </c>
      <c r="O259" t="s">
        <v>47</v>
      </c>
      <c r="P259" t="s">
        <v>66</v>
      </c>
      <c r="R259">
        <f>SUMIF(A259:A5258,"C00258",I259:I5258)</f>
        <v>108961.51</v>
      </c>
      <c r="S259" s="1">
        <v>108961.51</v>
      </c>
      <c r="T259">
        <f t="shared" ref="T259:T322" si="29">I259/J259</f>
        <v>422.331434108527</v>
      </c>
      <c r="U259">
        <f t="shared" ref="U259:U322" si="30">J259*M259</f>
        <v>4566.6</v>
      </c>
      <c r="V259">
        <f>U259*3</f>
        <v>13699.8</v>
      </c>
      <c r="W259">
        <f t="shared" ref="W259:W322" si="31">(H259+I259+1)/3</f>
        <v>37386.31</v>
      </c>
      <c r="X259">
        <f t="shared" si="28"/>
        <v>0.273430900820293</v>
      </c>
      <c r="AH259" t="str">
        <f t="shared" si="27"/>
        <v>2nd Quality</v>
      </c>
      <c r="AJ259">
        <f>((T259-X259)*2)/7.9</f>
        <v>106.850127394356</v>
      </c>
      <c r="AK259">
        <f t="shared" ref="AK259:AK322" si="32">I259/J259*E259</f>
        <v>369117.673410853</v>
      </c>
    </row>
    <row r="260" spans="1:37">
      <c r="A260" t="s">
        <v>323</v>
      </c>
      <c r="B260">
        <v>31</v>
      </c>
      <c r="C260" t="s">
        <v>44</v>
      </c>
      <c r="D260" t="s">
        <v>60</v>
      </c>
      <c r="E260">
        <v>1083</v>
      </c>
      <c r="F260">
        <v>13</v>
      </c>
      <c r="G260">
        <v>22</v>
      </c>
      <c r="H260">
        <v>4493.6</v>
      </c>
      <c r="I260">
        <v>96844.79</v>
      </c>
      <c r="J260">
        <v>96</v>
      </c>
      <c r="K260">
        <v>0</v>
      </c>
      <c r="L260">
        <v>11.7</v>
      </c>
      <c r="M260">
        <v>44.9</v>
      </c>
      <c r="N260" t="s">
        <v>52</v>
      </c>
      <c r="O260" t="s">
        <v>53</v>
      </c>
      <c r="P260" t="s">
        <v>66</v>
      </c>
      <c r="R260">
        <f>SUMIF(A260:A5259,"C00259",I260:I5259)</f>
        <v>96844.79</v>
      </c>
      <c r="S260" s="1">
        <v>96844.79</v>
      </c>
      <c r="T260">
        <f t="shared" si="29"/>
        <v>1008.79989583333</v>
      </c>
      <c r="U260">
        <f t="shared" si="30"/>
        <v>4310.4</v>
      </c>
      <c r="V260">
        <f t="shared" ref="V259:V322" si="33">U260/12</f>
        <v>359.2</v>
      </c>
      <c r="W260">
        <f t="shared" si="31"/>
        <v>33779.7966666667</v>
      </c>
      <c r="X260">
        <f t="shared" si="28"/>
        <v>0.241009435641802</v>
      </c>
      <c r="AH260" t="str">
        <f t="shared" si="27"/>
        <v>1st Quality</v>
      </c>
      <c r="AJ260">
        <f>((T260-X260)*2)/11.7</f>
        <v>172.403228444049</v>
      </c>
      <c r="AK260">
        <f t="shared" si="32"/>
        <v>1092530.2871875</v>
      </c>
    </row>
    <row r="261" spans="1:37">
      <c r="A261" t="s">
        <v>324</v>
      </c>
      <c r="B261">
        <v>29</v>
      </c>
      <c r="C261" t="s">
        <v>50</v>
      </c>
      <c r="D261" t="s">
        <v>60</v>
      </c>
      <c r="E261">
        <v>746</v>
      </c>
      <c r="F261">
        <v>88</v>
      </c>
      <c r="G261">
        <v>8</v>
      </c>
      <c r="H261">
        <v>10973.7</v>
      </c>
      <c r="I261">
        <v>80312.76</v>
      </c>
      <c r="J261">
        <v>32</v>
      </c>
      <c r="K261">
        <v>4</v>
      </c>
      <c r="L261">
        <v>3.6</v>
      </c>
      <c r="M261">
        <v>65.8</v>
      </c>
      <c r="N261" t="s">
        <v>78</v>
      </c>
      <c r="O261" t="s">
        <v>47</v>
      </c>
      <c r="P261" t="s">
        <v>48</v>
      </c>
      <c r="R261">
        <f>SUMIF(A261:A5260,"C00260",I261:I5260)</f>
        <v>80312.76</v>
      </c>
      <c r="S261" s="1">
        <v>80312.76</v>
      </c>
      <c r="T261">
        <f t="shared" si="29"/>
        <v>2509.77375</v>
      </c>
      <c r="U261">
        <f t="shared" si="30"/>
        <v>2105.6</v>
      </c>
      <c r="V261">
        <f>U261*4</f>
        <v>8422.4</v>
      </c>
      <c r="W261">
        <f t="shared" si="31"/>
        <v>30429.1533333333</v>
      </c>
      <c r="X261">
        <f t="shared" si="28"/>
        <v>0.0679807175337398</v>
      </c>
      <c r="AH261" t="str">
        <f t="shared" si="27"/>
        <v>2nd Quality</v>
      </c>
      <c r="AJ261">
        <f>((T261-X261)*2)/3.6</f>
        <v>1394.2809829347</v>
      </c>
      <c r="AK261">
        <f t="shared" si="32"/>
        <v>1872291.2175</v>
      </c>
    </row>
    <row r="262" spans="1:37">
      <c r="A262" t="s">
        <v>325</v>
      </c>
      <c r="B262">
        <v>36</v>
      </c>
      <c r="C262" t="s">
        <v>44</v>
      </c>
      <c r="D262" t="s">
        <v>45</v>
      </c>
      <c r="E262">
        <v>1446</v>
      </c>
      <c r="F262">
        <v>4</v>
      </c>
      <c r="G262">
        <v>39</v>
      </c>
      <c r="H262">
        <v>3459.45</v>
      </c>
      <c r="I262">
        <v>121461.09</v>
      </c>
      <c r="J262">
        <v>163</v>
      </c>
      <c r="K262">
        <v>1</v>
      </c>
      <c r="L262">
        <v>9.1</v>
      </c>
      <c r="M262">
        <v>7.8</v>
      </c>
      <c r="N262" t="s">
        <v>52</v>
      </c>
      <c r="O262" t="s">
        <v>75</v>
      </c>
      <c r="P262" t="s">
        <v>58</v>
      </c>
      <c r="R262">
        <f>SUMIF(A262:A5261,"C00261",I262:I5261)</f>
        <v>121461.09</v>
      </c>
      <c r="S262" s="1">
        <v>121461.09</v>
      </c>
      <c r="T262">
        <f t="shared" si="29"/>
        <v>745.160061349693</v>
      </c>
      <c r="U262">
        <f t="shared" si="30"/>
        <v>1271.4</v>
      </c>
      <c r="V262">
        <f>U262*1</f>
        <v>1271.4</v>
      </c>
      <c r="W262">
        <f t="shared" si="31"/>
        <v>41640.5133333333</v>
      </c>
      <c r="X262">
        <f t="shared" si="28"/>
        <v>0.417985517929151</v>
      </c>
      <c r="AH262" t="str">
        <f t="shared" si="27"/>
        <v>2nd Quality</v>
      </c>
      <c r="AJ262">
        <f>((T262-X262)*2)/9.1</f>
        <v>163.679577105882</v>
      </c>
      <c r="AK262">
        <f t="shared" si="32"/>
        <v>1077501.44871166</v>
      </c>
    </row>
    <row r="263" spans="1:37">
      <c r="A263" t="s">
        <v>326</v>
      </c>
      <c r="B263">
        <v>51</v>
      </c>
      <c r="C263" t="s">
        <v>44</v>
      </c>
      <c r="D263" t="s">
        <v>45</v>
      </c>
      <c r="E263">
        <v>419</v>
      </c>
      <c r="F263">
        <v>71</v>
      </c>
      <c r="G263">
        <v>2</v>
      </c>
      <c r="H263">
        <v>1194.56</v>
      </c>
      <c r="I263">
        <v>2552.42</v>
      </c>
      <c r="J263">
        <v>21</v>
      </c>
      <c r="K263">
        <v>0</v>
      </c>
      <c r="L263">
        <v>30.3</v>
      </c>
      <c r="M263">
        <v>25.9</v>
      </c>
      <c r="N263" t="s">
        <v>81</v>
      </c>
      <c r="O263" t="s">
        <v>47</v>
      </c>
      <c r="P263" t="s">
        <v>48</v>
      </c>
      <c r="R263">
        <f>SUMIF(A263:A5262,"C00262",I263:I5262)</f>
        <v>2552.42</v>
      </c>
      <c r="S263" s="1">
        <v>2552.42</v>
      </c>
      <c r="T263">
        <f t="shared" si="29"/>
        <v>121.54380952381</v>
      </c>
      <c r="U263">
        <f t="shared" si="30"/>
        <v>543.9</v>
      </c>
      <c r="V263">
        <f t="shared" si="33"/>
        <v>45.325</v>
      </c>
      <c r="W263">
        <f t="shared" si="31"/>
        <v>1249.32666666667</v>
      </c>
      <c r="X263">
        <f t="shared" si="28"/>
        <v>0.350756763996785</v>
      </c>
      <c r="AH263" t="str">
        <f t="shared" si="27"/>
        <v>3rd Quality</v>
      </c>
      <c r="AJ263">
        <f>((T263-X263)*2)/30.3</f>
        <v>7.9995414362913</v>
      </c>
      <c r="AK263">
        <f t="shared" si="32"/>
        <v>50926.8561904762</v>
      </c>
    </row>
    <row r="264" spans="1:37">
      <c r="A264" t="s">
        <v>327</v>
      </c>
      <c r="B264">
        <v>45</v>
      </c>
      <c r="C264" t="s">
        <v>50</v>
      </c>
      <c r="D264" t="s">
        <v>51</v>
      </c>
      <c r="E264">
        <v>634</v>
      </c>
      <c r="F264">
        <v>32</v>
      </c>
      <c r="G264">
        <v>11</v>
      </c>
      <c r="H264">
        <v>1423.39</v>
      </c>
      <c r="I264">
        <v>16080.97</v>
      </c>
      <c r="J264">
        <v>40</v>
      </c>
      <c r="K264">
        <v>1</v>
      </c>
      <c r="L264">
        <v>20.4</v>
      </c>
      <c r="M264">
        <v>16.7</v>
      </c>
      <c r="N264" t="s">
        <v>78</v>
      </c>
      <c r="O264" t="s">
        <v>47</v>
      </c>
      <c r="P264" t="s">
        <v>58</v>
      </c>
      <c r="R264">
        <f>SUMIF(A264:A5263,"C00263",I264:I5263)</f>
        <v>16080.97</v>
      </c>
      <c r="S264" s="1">
        <v>16080.97</v>
      </c>
      <c r="T264">
        <f t="shared" si="29"/>
        <v>402.02425</v>
      </c>
      <c r="U264">
        <f t="shared" si="30"/>
        <v>668</v>
      </c>
      <c r="V264">
        <f>U264*1</f>
        <v>668</v>
      </c>
      <c r="W264">
        <f t="shared" si="31"/>
        <v>5835.12</v>
      </c>
      <c r="X264">
        <f t="shared" si="28"/>
        <v>0.445415522098652</v>
      </c>
      <c r="AH264" t="str">
        <f t="shared" si="27"/>
        <v>3rd Quality</v>
      </c>
      <c r="AJ264">
        <f>((T264-X264)*2)/20.4</f>
        <v>39.3704739684217</v>
      </c>
      <c r="AK264">
        <f t="shared" si="32"/>
        <v>254883.3745</v>
      </c>
    </row>
    <row r="265" spans="1:37">
      <c r="A265" t="s">
        <v>328</v>
      </c>
      <c r="B265">
        <v>55</v>
      </c>
      <c r="C265" t="s">
        <v>101</v>
      </c>
      <c r="D265" t="s">
        <v>60</v>
      </c>
      <c r="E265">
        <v>440</v>
      </c>
      <c r="F265">
        <v>26</v>
      </c>
      <c r="G265">
        <v>25</v>
      </c>
      <c r="H265">
        <v>5055.76</v>
      </c>
      <c r="I265">
        <v>118862.32</v>
      </c>
      <c r="J265">
        <v>209</v>
      </c>
      <c r="K265">
        <v>1</v>
      </c>
      <c r="L265">
        <v>6.7</v>
      </c>
      <c r="M265">
        <v>21.9</v>
      </c>
      <c r="N265" t="s">
        <v>61</v>
      </c>
      <c r="O265" t="s">
        <v>47</v>
      </c>
      <c r="P265" t="s">
        <v>68</v>
      </c>
      <c r="R265">
        <f>SUMIF(A265:A5264,"C00264",I265:I5264)</f>
        <v>118862.32</v>
      </c>
      <c r="S265" s="1">
        <v>118862.32</v>
      </c>
      <c r="T265">
        <f t="shared" si="29"/>
        <v>568.719234449761</v>
      </c>
      <c r="U265">
        <f t="shared" si="30"/>
        <v>4577.1</v>
      </c>
      <c r="V265">
        <f>U265*1</f>
        <v>4577.1</v>
      </c>
      <c r="W265">
        <f t="shared" si="31"/>
        <v>41306.36</v>
      </c>
      <c r="X265">
        <f t="shared" si="28"/>
        <v>0.0870294476003608</v>
      </c>
      <c r="AH265" t="str">
        <f t="shared" si="27"/>
        <v>3rd Quality</v>
      </c>
      <c r="AJ265">
        <f>((T265-X265)*2)/6.7</f>
        <v>169.740956717063</v>
      </c>
      <c r="AK265">
        <f t="shared" si="32"/>
        <v>250236.463157895</v>
      </c>
    </row>
    <row r="266" spans="1:37">
      <c r="A266" t="s">
        <v>329</v>
      </c>
      <c r="B266">
        <v>43</v>
      </c>
      <c r="C266" t="s">
        <v>44</v>
      </c>
      <c r="D266" t="s">
        <v>60</v>
      </c>
      <c r="E266">
        <v>1303</v>
      </c>
      <c r="F266">
        <v>224</v>
      </c>
      <c r="G266">
        <v>1</v>
      </c>
      <c r="H266">
        <v>1807.77</v>
      </c>
      <c r="I266">
        <v>1822.1</v>
      </c>
      <c r="J266">
        <v>15</v>
      </c>
      <c r="K266">
        <v>0</v>
      </c>
      <c r="L266">
        <v>9.7</v>
      </c>
      <c r="M266">
        <v>19.3</v>
      </c>
      <c r="N266" t="s">
        <v>81</v>
      </c>
      <c r="O266" t="s">
        <v>75</v>
      </c>
      <c r="P266" t="s">
        <v>58</v>
      </c>
      <c r="R266">
        <f>SUMIF(A266:A5265,"C00265",I266:I5265)</f>
        <v>1822.1</v>
      </c>
      <c r="S266" s="1">
        <v>1822.1</v>
      </c>
      <c r="T266">
        <f t="shared" si="29"/>
        <v>121.473333333333</v>
      </c>
      <c r="U266">
        <f t="shared" si="30"/>
        <v>289.5</v>
      </c>
      <c r="V266">
        <f t="shared" si="33"/>
        <v>24.125</v>
      </c>
      <c r="W266">
        <f t="shared" si="31"/>
        <v>1210.29</v>
      </c>
      <c r="X266">
        <f t="shared" si="28"/>
        <v>0.720777532540091</v>
      </c>
      <c r="AH266" t="str">
        <f t="shared" si="27"/>
        <v>3rd Quality</v>
      </c>
      <c r="AJ266">
        <f>((T266-X266)*2)/9.7</f>
        <v>24.8974341857305</v>
      </c>
      <c r="AK266">
        <f t="shared" si="32"/>
        <v>158279.753333333</v>
      </c>
    </row>
    <row r="267" spans="1:37">
      <c r="A267" t="s">
        <v>330</v>
      </c>
      <c r="B267">
        <v>39</v>
      </c>
      <c r="C267" t="s">
        <v>50</v>
      </c>
      <c r="D267" t="s">
        <v>60</v>
      </c>
      <c r="E267">
        <v>696</v>
      </c>
      <c r="F267">
        <v>16</v>
      </c>
      <c r="G267">
        <v>21</v>
      </c>
      <c r="H267">
        <v>3301.51</v>
      </c>
      <c r="I267">
        <v>76760.75</v>
      </c>
      <c r="J267">
        <v>95</v>
      </c>
      <c r="K267">
        <v>3</v>
      </c>
      <c r="L267">
        <v>9.7</v>
      </c>
      <c r="M267">
        <v>29.9</v>
      </c>
      <c r="N267" t="s">
        <v>81</v>
      </c>
      <c r="O267" t="s">
        <v>47</v>
      </c>
      <c r="P267" t="s">
        <v>58</v>
      </c>
      <c r="R267">
        <f>SUMIF(A267:A5266,"C00266",I267:I5266)</f>
        <v>76760.75</v>
      </c>
      <c r="S267" s="1">
        <v>76760.75</v>
      </c>
      <c r="T267">
        <f t="shared" si="29"/>
        <v>808.007894736842</v>
      </c>
      <c r="U267">
        <f t="shared" si="30"/>
        <v>2840.5</v>
      </c>
      <c r="V267">
        <f>U267*3</f>
        <v>8521.5</v>
      </c>
      <c r="W267">
        <f t="shared" si="31"/>
        <v>26687.7533333333</v>
      </c>
      <c r="X267">
        <f t="shared" si="28"/>
        <v>0.210812628161054</v>
      </c>
      <c r="AH267" t="str">
        <f t="shared" si="27"/>
        <v>2nd Quality</v>
      </c>
      <c r="AJ267">
        <f>((T267-X267)*2)/9.7</f>
        <v>166.556099403852</v>
      </c>
      <c r="AK267">
        <f t="shared" si="32"/>
        <v>562373.494736842</v>
      </c>
    </row>
    <row r="268" spans="1:37">
      <c r="A268" t="s">
        <v>331</v>
      </c>
      <c r="B268">
        <v>18</v>
      </c>
      <c r="C268" t="s">
        <v>44</v>
      </c>
      <c r="D268" t="s">
        <v>45</v>
      </c>
      <c r="E268">
        <v>403</v>
      </c>
      <c r="F268">
        <v>96</v>
      </c>
      <c r="G268">
        <v>10</v>
      </c>
      <c r="H268">
        <v>189501</v>
      </c>
      <c r="I268">
        <v>18918.79</v>
      </c>
      <c r="J268">
        <v>59</v>
      </c>
      <c r="K268">
        <v>1</v>
      </c>
      <c r="L268">
        <v>22.6</v>
      </c>
      <c r="M268">
        <v>22.4</v>
      </c>
      <c r="N268" t="s">
        <v>46</v>
      </c>
      <c r="O268" t="s">
        <v>47</v>
      </c>
      <c r="P268" t="s">
        <v>66</v>
      </c>
      <c r="R268">
        <f>SUMIF(A268:A5267,"C00267",I268:I5267)</f>
        <v>18918.79</v>
      </c>
      <c r="S268" s="1">
        <v>18918.79</v>
      </c>
      <c r="T268">
        <f t="shared" si="29"/>
        <v>320.657457627119</v>
      </c>
      <c r="U268">
        <f t="shared" si="30"/>
        <v>1321.6</v>
      </c>
      <c r="V268">
        <f>U268*1</f>
        <v>1321.6</v>
      </c>
      <c r="W268">
        <f t="shared" si="31"/>
        <v>69473.5966666667</v>
      </c>
      <c r="X268">
        <f t="shared" si="28"/>
        <v>0.0021266378541538</v>
      </c>
      <c r="AH268" t="str">
        <f t="shared" si="27"/>
        <v>3rd Quality</v>
      </c>
      <c r="AJ268">
        <f>((T268-X268)*2)/22.6</f>
        <v>28.3765779636518</v>
      </c>
      <c r="AK268">
        <f t="shared" si="32"/>
        <v>129224.955423729</v>
      </c>
    </row>
    <row r="269" spans="1:37">
      <c r="A269" t="s">
        <v>332</v>
      </c>
      <c r="B269">
        <v>38</v>
      </c>
      <c r="C269" t="s">
        <v>50</v>
      </c>
      <c r="D269" t="s">
        <v>45</v>
      </c>
      <c r="E269">
        <v>1224</v>
      </c>
      <c r="F269">
        <v>12</v>
      </c>
      <c r="G269">
        <v>24</v>
      </c>
      <c r="H269">
        <v>2750.24</v>
      </c>
      <c r="I269">
        <v>64273.26</v>
      </c>
      <c r="J269">
        <v>179</v>
      </c>
      <c r="K269">
        <v>4</v>
      </c>
      <c r="L269">
        <v>3.3</v>
      </c>
      <c r="M269">
        <v>56.4</v>
      </c>
      <c r="N269" t="s">
        <v>46</v>
      </c>
      <c r="O269" t="s">
        <v>47</v>
      </c>
      <c r="P269" t="s">
        <v>58</v>
      </c>
      <c r="R269">
        <f>SUMIF(A269:A5268,"C00268",I269:I5268)</f>
        <v>64273.26</v>
      </c>
      <c r="S269" s="1">
        <v>64273.26</v>
      </c>
      <c r="T269">
        <f t="shared" si="29"/>
        <v>359.068491620112</v>
      </c>
      <c r="U269">
        <f t="shared" si="30"/>
        <v>10095.6</v>
      </c>
      <c r="V269">
        <f>U269*4</f>
        <v>40382.4</v>
      </c>
      <c r="W269">
        <f t="shared" si="31"/>
        <v>22341.5</v>
      </c>
      <c r="X269">
        <f t="shared" si="28"/>
        <v>0.44505206818314</v>
      </c>
      <c r="AH269" t="str">
        <f t="shared" si="27"/>
        <v>2nd Quality</v>
      </c>
      <c r="AJ269">
        <f>((T269-X269)*2)/3.3</f>
        <v>217.347539122381</v>
      </c>
      <c r="AK269">
        <f t="shared" si="32"/>
        <v>439499.833743017</v>
      </c>
    </row>
    <row r="270" spans="1:37">
      <c r="A270" t="s">
        <v>333</v>
      </c>
      <c r="B270">
        <v>28</v>
      </c>
      <c r="C270" t="s">
        <v>44</v>
      </c>
      <c r="D270" t="s">
        <v>60</v>
      </c>
      <c r="E270">
        <v>1344</v>
      </c>
      <c r="F270">
        <v>7</v>
      </c>
      <c r="G270">
        <v>23</v>
      </c>
      <c r="H270">
        <v>2108.97</v>
      </c>
      <c r="I270">
        <v>46269.32</v>
      </c>
      <c r="J270">
        <v>147</v>
      </c>
      <c r="K270">
        <v>7</v>
      </c>
      <c r="L270">
        <v>11.9</v>
      </c>
      <c r="M270">
        <v>33.6</v>
      </c>
      <c r="N270" t="s">
        <v>61</v>
      </c>
      <c r="O270" t="s">
        <v>53</v>
      </c>
      <c r="P270" t="s">
        <v>58</v>
      </c>
      <c r="R270">
        <f>SUMIF(A270:A5269,"C00269",I270:I5269)</f>
        <v>46269.32</v>
      </c>
      <c r="S270" s="1">
        <v>46269.32</v>
      </c>
      <c r="T270">
        <f t="shared" si="29"/>
        <v>314.757278911565</v>
      </c>
      <c r="U270">
        <f t="shared" si="30"/>
        <v>4939.2</v>
      </c>
      <c r="V270">
        <f>U270*7</f>
        <v>34574.4</v>
      </c>
      <c r="W270">
        <f t="shared" si="31"/>
        <v>16126.43</v>
      </c>
      <c r="X270">
        <f t="shared" si="28"/>
        <v>0.637277912914835</v>
      </c>
      <c r="AH270" t="str">
        <f t="shared" ref="AH270:AH333" si="34">IF(AND(W270&gt;=12550,B270&lt;=33,E270&gt;=915),"1st Quality",IF(AND(W270&gt;=6275,B270&lt;=43,E270&gt;=457),"2nd Quality","3rd Quality"))</f>
        <v>1st Quality</v>
      </c>
      <c r="AJ270">
        <f>((T270-X270)*2)/11.9</f>
        <v>52.7932774787647</v>
      </c>
      <c r="AK270">
        <f t="shared" si="32"/>
        <v>423033.782857143</v>
      </c>
    </row>
    <row r="271" spans="1:37">
      <c r="A271" t="s">
        <v>334</v>
      </c>
      <c r="B271">
        <v>22</v>
      </c>
      <c r="C271" t="s">
        <v>50</v>
      </c>
      <c r="D271" t="s">
        <v>60</v>
      </c>
      <c r="E271">
        <v>1298</v>
      </c>
      <c r="F271">
        <v>23</v>
      </c>
      <c r="G271">
        <v>22</v>
      </c>
      <c r="H271">
        <v>3204.63</v>
      </c>
      <c r="I271">
        <v>65125.86</v>
      </c>
      <c r="J271">
        <v>138</v>
      </c>
      <c r="K271">
        <v>0</v>
      </c>
      <c r="L271">
        <v>18.1</v>
      </c>
      <c r="M271">
        <v>33.6</v>
      </c>
      <c r="N271" t="s">
        <v>78</v>
      </c>
      <c r="O271" t="s">
        <v>53</v>
      </c>
      <c r="P271" t="s">
        <v>68</v>
      </c>
      <c r="R271">
        <f>SUMIF(A271:A5270,"C00270",I271:I5270)</f>
        <v>65125.86</v>
      </c>
      <c r="S271" s="1">
        <v>65125.86</v>
      </c>
      <c r="T271">
        <f t="shared" si="29"/>
        <v>471.92652173913</v>
      </c>
      <c r="U271">
        <f t="shared" si="30"/>
        <v>4636.8</v>
      </c>
      <c r="V271">
        <f t="shared" si="33"/>
        <v>386.4</v>
      </c>
      <c r="W271">
        <f t="shared" si="31"/>
        <v>22777.1633333333</v>
      </c>
      <c r="X271">
        <f t="shared" si="28"/>
        <v>0.405038959255827</v>
      </c>
      <c r="AH271" t="str">
        <f t="shared" si="34"/>
        <v>1st Quality</v>
      </c>
      <c r="AJ271">
        <f>((T271-X271)*2)/18.1</f>
        <v>52.1018213016436</v>
      </c>
      <c r="AK271">
        <f t="shared" si="32"/>
        <v>612560.625217391</v>
      </c>
    </row>
    <row r="272" spans="1:37">
      <c r="A272" t="s">
        <v>335</v>
      </c>
      <c r="B272">
        <v>28</v>
      </c>
      <c r="C272" t="s">
        <v>44</v>
      </c>
      <c r="D272" t="s">
        <v>45</v>
      </c>
      <c r="E272">
        <v>598</v>
      </c>
      <c r="F272">
        <v>29</v>
      </c>
      <c r="G272">
        <v>24</v>
      </c>
      <c r="H272">
        <v>4004.8</v>
      </c>
      <c r="I272">
        <v>105580.99</v>
      </c>
      <c r="J272">
        <v>73</v>
      </c>
      <c r="K272">
        <v>0</v>
      </c>
      <c r="L272">
        <v>10.3</v>
      </c>
      <c r="M272">
        <v>14.7</v>
      </c>
      <c r="N272" t="s">
        <v>63</v>
      </c>
      <c r="O272" t="s">
        <v>47</v>
      </c>
      <c r="P272" t="s">
        <v>48</v>
      </c>
      <c r="R272">
        <f>SUMIF(A272:A5271,"C00271",I272:I5271)</f>
        <v>105580.99</v>
      </c>
      <c r="S272" s="1">
        <v>105580.99</v>
      </c>
      <c r="T272">
        <f t="shared" si="29"/>
        <v>1446.31493150685</v>
      </c>
      <c r="U272">
        <f t="shared" si="30"/>
        <v>1073.1</v>
      </c>
      <c r="V272">
        <f t="shared" si="33"/>
        <v>89.425</v>
      </c>
      <c r="W272">
        <f t="shared" si="31"/>
        <v>36528.93</v>
      </c>
      <c r="X272">
        <f t="shared" si="28"/>
        <v>0.149320815021974</v>
      </c>
      <c r="AH272" t="str">
        <f t="shared" si="34"/>
        <v>2nd Quality</v>
      </c>
      <c r="AJ272">
        <f>((T272-X272)*2)/10.3</f>
        <v>280.808856445015</v>
      </c>
      <c r="AK272">
        <f t="shared" si="32"/>
        <v>864896.329041096</v>
      </c>
    </row>
    <row r="273" spans="1:37">
      <c r="A273" t="s">
        <v>336</v>
      </c>
      <c r="B273">
        <v>29</v>
      </c>
      <c r="C273" t="s">
        <v>50</v>
      </c>
      <c r="D273" t="s">
        <v>45</v>
      </c>
      <c r="E273">
        <v>442</v>
      </c>
      <c r="F273">
        <v>15</v>
      </c>
      <c r="G273">
        <v>28</v>
      </c>
      <c r="H273">
        <v>4548.46</v>
      </c>
      <c r="I273">
        <v>117322.11</v>
      </c>
      <c r="J273">
        <v>93</v>
      </c>
      <c r="K273">
        <v>1</v>
      </c>
      <c r="L273">
        <v>12.9</v>
      </c>
      <c r="M273">
        <v>49.4</v>
      </c>
      <c r="N273" t="s">
        <v>57</v>
      </c>
      <c r="O273" t="s">
        <v>53</v>
      </c>
      <c r="P273" t="s">
        <v>66</v>
      </c>
      <c r="R273">
        <f>SUMIF(A273:A5272,"C00272",I273:I5272)</f>
        <v>117322.11</v>
      </c>
      <c r="S273" s="1">
        <v>117322.11</v>
      </c>
      <c r="T273">
        <f t="shared" si="29"/>
        <v>1261.52806451613</v>
      </c>
      <c r="U273">
        <f t="shared" si="30"/>
        <v>4594.2</v>
      </c>
      <c r="V273">
        <f>U273*1</f>
        <v>4594.2</v>
      </c>
      <c r="W273">
        <f t="shared" si="31"/>
        <v>40623.8566666667</v>
      </c>
      <c r="X273">
        <f t="shared" si="28"/>
        <v>0.0971757473958219</v>
      </c>
      <c r="AH273" t="str">
        <f t="shared" si="34"/>
        <v>3rd Quality</v>
      </c>
      <c r="AJ273">
        <f>((T273-X273)*2)/12.9</f>
        <v>195.570680429261</v>
      </c>
      <c r="AK273">
        <f t="shared" si="32"/>
        <v>557595.404516129</v>
      </c>
    </row>
    <row r="274" spans="1:37">
      <c r="A274" t="s">
        <v>337</v>
      </c>
      <c r="B274">
        <v>20</v>
      </c>
      <c r="C274" t="s">
        <v>50</v>
      </c>
      <c r="D274" t="s">
        <v>51</v>
      </c>
      <c r="E274">
        <v>688</v>
      </c>
      <c r="F274">
        <v>5</v>
      </c>
      <c r="G274">
        <v>28</v>
      </c>
      <c r="H274">
        <v>455804</v>
      </c>
      <c r="I274">
        <v>113983</v>
      </c>
      <c r="J274">
        <v>91</v>
      </c>
      <c r="K274">
        <v>5</v>
      </c>
      <c r="L274">
        <v>16.8</v>
      </c>
      <c r="M274">
        <v>11.7</v>
      </c>
      <c r="N274" t="s">
        <v>78</v>
      </c>
      <c r="O274" t="s">
        <v>47</v>
      </c>
      <c r="P274" t="s">
        <v>66</v>
      </c>
      <c r="R274">
        <f>SUMIF(A274:A5273,"C00273",I274:I5273)</f>
        <v>113983</v>
      </c>
      <c r="S274" s="1">
        <v>113983</v>
      </c>
      <c r="T274">
        <f t="shared" si="29"/>
        <v>1252.56043956044</v>
      </c>
      <c r="U274">
        <f t="shared" si="30"/>
        <v>1064.7</v>
      </c>
      <c r="V274">
        <f>U274*5</f>
        <v>5323.5</v>
      </c>
      <c r="W274">
        <f t="shared" si="31"/>
        <v>189929.333333333</v>
      </c>
      <c r="X274">
        <f t="shared" si="28"/>
        <v>0.00150942071592176</v>
      </c>
      <c r="AH274" t="str">
        <f t="shared" si="34"/>
        <v>2nd Quality</v>
      </c>
      <c r="AJ274">
        <f>((T274-X274)*2)/16.8</f>
        <v>149.114158349967</v>
      </c>
      <c r="AK274">
        <f t="shared" si="32"/>
        <v>861761.582417582</v>
      </c>
    </row>
    <row r="275" spans="1:37">
      <c r="A275" t="s">
        <v>338</v>
      </c>
      <c r="B275">
        <v>29</v>
      </c>
      <c r="C275" t="s">
        <v>44</v>
      </c>
      <c r="D275" t="s">
        <v>60</v>
      </c>
      <c r="E275">
        <v>557</v>
      </c>
      <c r="F275">
        <v>21</v>
      </c>
      <c r="G275">
        <v>5</v>
      </c>
      <c r="H275">
        <v>9255.38</v>
      </c>
      <c r="I275">
        <v>42308.87</v>
      </c>
      <c r="J275">
        <v>34</v>
      </c>
      <c r="K275">
        <v>0</v>
      </c>
      <c r="L275">
        <v>6.6</v>
      </c>
      <c r="M275">
        <v>26.6</v>
      </c>
      <c r="N275" t="s">
        <v>46</v>
      </c>
      <c r="O275" t="s">
        <v>47</v>
      </c>
      <c r="P275" t="s">
        <v>68</v>
      </c>
      <c r="R275">
        <f>SUMIF(A275:A5274,"C00274",I275:I5274)</f>
        <v>42308.87</v>
      </c>
      <c r="S275" s="1">
        <v>42308.87</v>
      </c>
      <c r="T275">
        <f t="shared" si="29"/>
        <v>1244.37852941176</v>
      </c>
      <c r="U275">
        <f t="shared" si="30"/>
        <v>904.4</v>
      </c>
      <c r="V275">
        <f t="shared" si="33"/>
        <v>75.3666666666667</v>
      </c>
      <c r="W275">
        <f t="shared" si="31"/>
        <v>17188.4166666667</v>
      </c>
      <c r="X275">
        <f t="shared" si="28"/>
        <v>0.0601812135212169</v>
      </c>
      <c r="AH275" t="str">
        <f t="shared" si="34"/>
        <v>2nd Quality</v>
      </c>
      <c r="AJ275">
        <f>((T275-X275)*2)/6.6</f>
        <v>377.066166120678</v>
      </c>
      <c r="AK275">
        <f t="shared" si="32"/>
        <v>693118.840882353</v>
      </c>
    </row>
    <row r="276" spans="1:37">
      <c r="A276" t="s">
        <v>339</v>
      </c>
      <c r="B276">
        <v>57</v>
      </c>
      <c r="C276" t="s">
        <v>44</v>
      </c>
      <c r="D276" t="s">
        <v>51</v>
      </c>
      <c r="E276">
        <v>1206</v>
      </c>
      <c r="F276">
        <v>269</v>
      </c>
      <c r="G276">
        <v>5</v>
      </c>
      <c r="H276">
        <v>796.41</v>
      </c>
      <c r="I276">
        <v>3678.61</v>
      </c>
      <c r="J276">
        <v>38</v>
      </c>
      <c r="K276">
        <v>1</v>
      </c>
      <c r="L276">
        <v>36.1</v>
      </c>
      <c r="M276">
        <v>52</v>
      </c>
      <c r="N276" t="s">
        <v>61</v>
      </c>
      <c r="O276" t="s">
        <v>47</v>
      </c>
      <c r="P276" t="s">
        <v>68</v>
      </c>
      <c r="R276">
        <f>SUMIF(A276:A5275,"C00275",I276:I5275)</f>
        <v>3678.61</v>
      </c>
      <c r="S276" s="1">
        <v>3678.61</v>
      </c>
      <c r="T276">
        <f t="shared" si="29"/>
        <v>96.8055263157895</v>
      </c>
      <c r="U276">
        <f t="shared" si="30"/>
        <v>1976</v>
      </c>
      <c r="V276">
        <f>U276*1</f>
        <v>1976</v>
      </c>
      <c r="W276">
        <f t="shared" si="31"/>
        <v>1492.00666666667</v>
      </c>
      <c r="X276">
        <f t="shared" si="28"/>
        <v>1.51429540061024</v>
      </c>
      <c r="AH276" t="str">
        <f t="shared" si="34"/>
        <v>3rd Quality</v>
      </c>
      <c r="AJ276">
        <f>((T276-X276)*2)/36.1</f>
        <v>5.27929257147808</v>
      </c>
      <c r="AK276">
        <f t="shared" si="32"/>
        <v>116747.464736842</v>
      </c>
    </row>
    <row r="277" spans="1:37">
      <c r="A277" t="s">
        <v>340</v>
      </c>
      <c r="B277">
        <v>18</v>
      </c>
      <c r="C277" t="s">
        <v>44</v>
      </c>
      <c r="D277" t="s">
        <v>45</v>
      </c>
      <c r="E277">
        <v>739</v>
      </c>
      <c r="F277">
        <v>60</v>
      </c>
      <c r="G277">
        <v>8</v>
      </c>
      <c r="H277">
        <v>1077.99</v>
      </c>
      <c r="I277">
        <v>8468.32</v>
      </c>
      <c r="J277">
        <v>71</v>
      </c>
      <c r="K277">
        <v>2</v>
      </c>
      <c r="L277">
        <v>6.8</v>
      </c>
      <c r="M277">
        <v>40.9</v>
      </c>
      <c r="N277" t="s">
        <v>81</v>
      </c>
      <c r="O277" t="s">
        <v>53</v>
      </c>
      <c r="P277" t="s">
        <v>66</v>
      </c>
      <c r="R277">
        <f>SUMIF(A277:A5276,"C00276",I277:I5276)</f>
        <v>8468.32</v>
      </c>
      <c r="S277" s="1">
        <v>8468.32</v>
      </c>
      <c r="T277">
        <f t="shared" si="29"/>
        <v>119.272112676056</v>
      </c>
      <c r="U277">
        <f t="shared" si="30"/>
        <v>2903.9</v>
      </c>
      <c r="V277">
        <f>U277*2</f>
        <v>5807.8</v>
      </c>
      <c r="W277">
        <f t="shared" si="31"/>
        <v>3182.43666666667</v>
      </c>
      <c r="X277">
        <f t="shared" si="28"/>
        <v>0.685535116281227</v>
      </c>
      <c r="AH277" t="str">
        <f t="shared" si="34"/>
        <v>3rd Quality</v>
      </c>
      <c r="AJ277">
        <f>((T277-X277)*2)/6.8</f>
        <v>34.8784051646396</v>
      </c>
      <c r="AK277">
        <f t="shared" si="32"/>
        <v>88142.0912676056</v>
      </c>
    </row>
    <row r="278" spans="1:37">
      <c r="A278" t="s">
        <v>341</v>
      </c>
      <c r="B278">
        <v>37</v>
      </c>
      <c r="C278" t="s">
        <v>44</v>
      </c>
      <c r="D278" t="s">
        <v>45</v>
      </c>
      <c r="E278">
        <v>858</v>
      </c>
      <c r="F278">
        <v>28</v>
      </c>
      <c r="G278">
        <v>12</v>
      </c>
      <c r="H278">
        <v>1484.47</v>
      </c>
      <c r="I278">
        <v>19564.96</v>
      </c>
      <c r="J278">
        <v>102</v>
      </c>
      <c r="K278">
        <v>0</v>
      </c>
      <c r="L278">
        <v>17.9</v>
      </c>
      <c r="M278">
        <v>20.3</v>
      </c>
      <c r="N278" t="s">
        <v>78</v>
      </c>
      <c r="O278" t="s">
        <v>47</v>
      </c>
      <c r="P278" t="s">
        <v>48</v>
      </c>
      <c r="R278">
        <f>SUMIF(A278:A5277,"C00277",I278:I5277)</f>
        <v>19564.96</v>
      </c>
      <c r="S278" s="1">
        <v>19564.96</v>
      </c>
      <c r="T278">
        <f t="shared" si="29"/>
        <v>191.813333333333</v>
      </c>
      <c r="U278">
        <f t="shared" si="30"/>
        <v>2070.6</v>
      </c>
      <c r="V278">
        <f t="shared" si="33"/>
        <v>172.55</v>
      </c>
      <c r="W278">
        <f t="shared" si="31"/>
        <v>7016.81</v>
      </c>
      <c r="X278">
        <f t="shared" si="28"/>
        <v>0.577984061651633</v>
      </c>
      <c r="AH278" t="str">
        <f t="shared" si="34"/>
        <v>2nd Quality</v>
      </c>
      <c r="AJ278">
        <f>((T278-X278)*2)/17.9</f>
        <v>21.3670781309141</v>
      </c>
      <c r="AK278">
        <f t="shared" si="32"/>
        <v>164575.84</v>
      </c>
    </row>
    <row r="279" spans="1:37">
      <c r="A279" t="s">
        <v>342</v>
      </c>
      <c r="B279">
        <v>37</v>
      </c>
      <c r="C279" t="s">
        <v>44</v>
      </c>
      <c r="D279" t="s">
        <v>51</v>
      </c>
      <c r="E279">
        <v>1079</v>
      </c>
      <c r="F279">
        <v>5</v>
      </c>
      <c r="G279">
        <v>4</v>
      </c>
      <c r="H279">
        <v>5091.97</v>
      </c>
      <c r="I279">
        <v>18582.77</v>
      </c>
      <c r="J279">
        <v>25</v>
      </c>
      <c r="K279">
        <v>0</v>
      </c>
      <c r="L279">
        <v>0</v>
      </c>
      <c r="M279">
        <v>15.2</v>
      </c>
      <c r="N279" t="s">
        <v>57</v>
      </c>
      <c r="O279" t="s">
        <v>47</v>
      </c>
      <c r="P279" t="s">
        <v>58</v>
      </c>
      <c r="R279">
        <f>SUMIF(A279:A5278,"C00278",I279:I5278)</f>
        <v>18582.77</v>
      </c>
      <c r="S279" s="1">
        <v>18582.77</v>
      </c>
      <c r="T279">
        <f t="shared" si="29"/>
        <v>743.3108</v>
      </c>
      <c r="U279">
        <f t="shared" si="30"/>
        <v>380</v>
      </c>
      <c r="V279">
        <f t="shared" si="33"/>
        <v>31.6666666666667</v>
      </c>
      <c r="W279">
        <f t="shared" si="31"/>
        <v>7891.91333333333</v>
      </c>
      <c r="X279">
        <f t="shared" si="28"/>
        <v>0.211902269652021</v>
      </c>
      <c r="AH279" t="str">
        <f t="shared" si="34"/>
        <v>2nd Quality</v>
      </c>
      <c r="AJ279">
        <f>((T279-X279)*2)</f>
        <v>1486.1977954607</v>
      </c>
      <c r="AK279">
        <f t="shared" si="32"/>
        <v>802032.3532</v>
      </c>
    </row>
    <row r="280" spans="1:37">
      <c r="A280" t="s">
        <v>343</v>
      </c>
      <c r="B280">
        <v>38</v>
      </c>
      <c r="C280" t="s">
        <v>44</v>
      </c>
      <c r="D280" t="s">
        <v>60</v>
      </c>
      <c r="E280">
        <v>853</v>
      </c>
      <c r="F280">
        <v>359</v>
      </c>
      <c r="G280">
        <v>1</v>
      </c>
      <c r="H280">
        <v>1714.77</v>
      </c>
      <c r="I280">
        <v>1569.15</v>
      </c>
      <c r="J280">
        <v>10</v>
      </c>
      <c r="K280">
        <v>0</v>
      </c>
      <c r="L280">
        <v>27.8</v>
      </c>
      <c r="M280">
        <v>25.5</v>
      </c>
      <c r="N280" t="s">
        <v>61</v>
      </c>
      <c r="O280" t="s">
        <v>47</v>
      </c>
      <c r="P280" t="s">
        <v>58</v>
      </c>
      <c r="R280">
        <f>SUMIF(A280:A5279,"C00279",I280:I5279)</f>
        <v>1569.15</v>
      </c>
      <c r="S280" s="1">
        <v>1569.15</v>
      </c>
      <c r="T280">
        <f t="shared" si="29"/>
        <v>156.915</v>
      </c>
      <c r="U280">
        <f t="shared" si="30"/>
        <v>255</v>
      </c>
      <c r="V280">
        <f t="shared" si="33"/>
        <v>21.25</v>
      </c>
      <c r="W280">
        <f t="shared" si="31"/>
        <v>1094.97333333333</v>
      </c>
      <c r="X280">
        <f t="shared" si="28"/>
        <v>0.497442805740712</v>
      </c>
      <c r="AH280" t="str">
        <f t="shared" si="34"/>
        <v>3rd Quality</v>
      </c>
      <c r="AJ280">
        <f>((T280-X280)*2)/27.8</f>
        <v>11.2530616686517</v>
      </c>
      <c r="AK280">
        <f t="shared" si="32"/>
        <v>133848.495</v>
      </c>
    </row>
    <row r="281" spans="1:37">
      <c r="A281" t="s">
        <v>344</v>
      </c>
      <c r="B281">
        <v>34</v>
      </c>
      <c r="C281" t="s">
        <v>44</v>
      </c>
      <c r="D281" t="s">
        <v>60</v>
      </c>
      <c r="E281">
        <v>681</v>
      </c>
      <c r="F281">
        <v>140</v>
      </c>
      <c r="G281">
        <v>2</v>
      </c>
      <c r="H281">
        <v>2510.19</v>
      </c>
      <c r="I281">
        <v>4944.88</v>
      </c>
      <c r="J281">
        <v>14</v>
      </c>
      <c r="K281">
        <v>0</v>
      </c>
      <c r="L281">
        <v>34.3</v>
      </c>
      <c r="M281">
        <v>58.3</v>
      </c>
      <c r="N281" t="s">
        <v>57</v>
      </c>
      <c r="O281" t="s">
        <v>53</v>
      </c>
      <c r="P281" t="s">
        <v>68</v>
      </c>
      <c r="R281">
        <f>SUMIF(A281:A5280,"C00280",I281:I5280)</f>
        <v>4944.88</v>
      </c>
      <c r="S281" s="1">
        <v>4944.88</v>
      </c>
      <c r="T281">
        <f t="shared" si="29"/>
        <v>353.205714285714</v>
      </c>
      <c r="U281">
        <f t="shared" si="30"/>
        <v>816.2</v>
      </c>
      <c r="V281">
        <f t="shared" si="33"/>
        <v>68.0166666666667</v>
      </c>
      <c r="W281">
        <f t="shared" si="31"/>
        <v>2485.35666666667</v>
      </c>
      <c r="X281">
        <f t="shared" si="28"/>
        <v>0.271294204821149</v>
      </c>
      <c r="AH281" t="str">
        <f t="shared" si="34"/>
        <v>3rd Quality</v>
      </c>
      <c r="AJ281">
        <f>((T281-X281)*2)/34.3</f>
        <v>20.57926647702</v>
      </c>
      <c r="AK281">
        <f t="shared" si="32"/>
        <v>240533.091428571</v>
      </c>
    </row>
    <row r="282" spans="1:37">
      <c r="A282" t="s">
        <v>345</v>
      </c>
      <c r="B282">
        <v>39</v>
      </c>
      <c r="C282" t="s">
        <v>50</v>
      </c>
      <c r="D282" t="s">
        <v>60</v>
      </c>
      <c r="E282">
        <v>606</v>
      </c>
      <c r="F282">
        <v>17</v>
      </c>
      <c r="G282">
        <v>26</v>
      </c>
      <c r="H282">
        <v>180703</v>
      </c>
      <c r="I282">
        <v>51535.68</v>
      </c>
      <c r="J282">
        <v>189</v>
      </c>
      <c r="K282">
        <v>3</v>
      </c>
      <c r="L282">
        <v>1.4</v>
      </c>
      <c r="M282">
        <v>27.3</v>
      </c>
      <c r="N282" t="s">
        <v>81</v>
      </c>
      <c r="O282" t="s">
        <v>47</v>
      </c>
      <c r="P282" t="s">
        <v>54</v>
      </c>
      <c r="R282">
        <f>SUMIF(A282:A5281,"C00281",I282:I5281)</f>
        <v>51535.68</v>
      </c>
      <c r="S282" s="1">
        <v>51535.68</v>
      </c>
      <c r="T282">
        <f t="shared" si="29"/>
        <v>272.675555555556</v>
      </c>
      <c r="U282">
        <f t="shared" si="30"/>
        <v>5159.7</v>
      </c>
      <c r="V282">
        <f>U282*3</f>
        <v>15479.1</v>
      </c>
      <c r="W282">
        <f t="shared" si="31"/>
        <v>77413.2266666667</v>
      </c>
      <c r="X282">
        <f t="shared" si="28"/>
        <v>0.00335356911617405</v>
      </c>
      <c r="AH282" t="str">
        <f t="shared" si="34"/>
        <v>2nd Quality</v>
      </c>
      <c r="AJ282">
        <f>((T282-X282)*2)/1.4</f>
        <v>389.531717123485</v>
      </c>
      <c r="AK282">
        <f t="shared" si="32"/>
        <v>165241.386666667</v>
      </c>
    </row>
    <row r="283" spans="1:37">
      <c r="A283" t="s">
        <v>346</v>
      </c>
      <c r="B283">
        <v>18</v>
      </c>
      <c r="C283" t="s">
        <v>44</v>
      </c>
      <c r="D283" t="s">
        <v>45</v>
      </c>
      <c r="E283">
        <v>612</v>
      </c>
      <c r="F283">
        <v>5</v>
      </c>
      <c r="G283">
        <v>30</v>
      </c>
      <c r="H283">
        <v>3396.51</v>
      </c>
      <c r="I283">
        <v>112340.79</v>
      </c>
      <c r="J283">
        <v>252</v>
      </c>
      <c r="K283">
        <v>2</v>
      </c>
      <c r="L283">
        <v>3</v>
      </c>
      <c r="M283">
        <v>32.6</v>
      </c>
      <c r="N283" t="s">
        <v>63</v>
      </c>
      <c r="O283" t="s">
        <v>53</v>
      </c>
      <c r="P283" t="s">
        <v>48</v>
      </c>
      <c r="R283">
        <f>SUMIF(A283:A5282,"C00282",I283:I5282)</f>
        <v>112340.79</v>
      </c>
      <c r="S283" s="1">
        <v>112340.79</v>
      </c>
      <c r="T283">
        <f t="shared" si="29"/>
        <v>445.796785714286</v>
      </c>
      <c r="U283">
        <f t="shared" si="30"/>
        <v>8215.2</v>
      </c>
      <c r="V283">
        <f>U283*2</f>
        <v>16430.4</v>
      </c>
      <c r="W283">
        <f t="shared" si="31"/>
        <v>38579.4333333333</v>
      </c>
      <c r="X283">
        <f t="shared" si="28"/>
        <v>0.180184954556295</v>
      </c>
      <c r="AH283" t="str">
        <f t="shared" si="34"/>
        <v>2nd Quality</v>
      </c>
      <c r="AJ283">
        <f>((T283-X283)*2)/3</f>
        <v>297.07773383982</v>
      </c>
      <c r="AK283">
        <f t="shared" si="32"/>
        <v>272827.632857143</v>
      </c>
    </row>
    <row r="284" spans="1:37">
      <c r="A284" t="s">
        <v>347</v>
      </c>
      <c r="B284">
        <v>28</v>
      </c>
      <c r="C284" t="s">
        <v>44</v>
      </c>
      <c r="D284" t="s">
        <v>60</v>
      </c>
      <c r="E284">
        <v>510</v>
      </c>
      <c r="F284">
        <v>27</v>
      </c>
      <c r="G284">
        <v>4</v>
      </c>
      <c r="H284">
        <v>1558.44</v>
      </c>
      <c r="I284">
        <v>6908.25</v>
      </c>
      <c r="J284">
        <v>20</v>
      </c>
      <c r="K284">
        <v>0</v>
      </c>
      <c r="L284">
        <v>13.3</v>
      </c>
      <c r="M284">
        <v>23.2</v>
      </c>
      <c r="N284" t="s">
        <v>78</v>
      </c>
      <c r="O284" t="s">
        <v>47</v>
      </c>
      <c r="P284" t="s">
        <v>66</v>
      </c>
      <c r="R284">
        <f>SUMIF(A284:A5283,"C00283",I284:I5283)</f>
        <v>6908.25</v>
      </c>
      <c r="S284" s="1">
        <v>6908.25</v>
      </c>
      <c r="T284">
        <f t="shared" si="29"/>
        <v>345.4125</v>
      </c>
      <c r="U284">
        <f t="shared" si="30"/>
        <v>464</v>
      </c>
      <c r="V284">
        <f t="shared" si="33"/>
        <v>38.6666666666667</v>
      </c>
      <c r="W284">
        <f t="shared" si="31"/>
        <v>2822.56333333333</v>
      </c>
      <c r="X284">
        <f t="shared" si="28"/>
        <v>0.327250327250327</v>
      </c>
      <c r="AH284" t="str">
        <f t="shared" si="34"/>
        <v>3rd Quality</v>
      </c>
      <c r="AJ284">
        <f>((T284-X284)*2)/13.3</f>
        <v>51.8925187477819</v>
      </c>
      <c r="AK284">
        <f t="shared" si="32"/>
        <v>176160.375</v>
      </c>
    </row>
    <row r="285" spans="1:37">
      <c r="A285" t="s">
        <v>348</v>
      </c>
      <c r="B285">
        <v>31</v>
      </c>
      <c r="C285" t="s">
        <v>44</v>
      </c>
      <c r="D285" t="s">
        <v>60</v>
      </c>
      <c r="E285">
        <v>1011</v>
      </c>
      <c r="F285">
        <v>75</v>
      </c>
      <c r="G285">
        <v>7</v>
      </c>
      <c r="H285">
        <v>1636.5</v>
      </c>
      <c r="I285">
        <v>10429.67</v>
      </c>
      <c r="J285">
        <v>42</v>
      </c>
      <c r="K285">
        <v>1</v>
      </c>
      <c r="L285">
        <v>25.2</v>
      </c>
      <c r="M285">
        <v>1.9</v>
      </c>
      <c r="N285" t="s">
        <v>52</v>
      </c>
      <c r="O285" t="s">
        <v>47</v>
      </c>
      <c r="P285" t="s">
        <v>58</v>
      </c>
      <c r="R285">
        <f>SUMIF(A285:A5284,"C00284",I285:I5284)</f>
        <v>10429.67</v>
      </c>
      <c r="S285" s="1">
        <v>10429.67</v>
      </c>
      <c r="T285">
        <f t="shared" si="29"/>
        <v>248.325476190476</v>
      </c>
      <c r="U285">
        <f t="shared" si="30"/>
        <v>79.8</v>
      </c>
      <c r="V285">
        <f>U285*1</f>
        <v>79.8</v>
      </c>
      <c r="W285">
        <f t="shared" si="31"/>
        <v>4022.39</v>
      </c>
      <c r="X285">
        <f t="shared" si="28"/>
        <v>0.617781851512374</v>
      </c>
      <c r="AH285" t="str">
        <f t="shared" si="34"/>
        <v>3rd Quality</v>
      </c>
      <c r="AJ285">
        <f>((T285-X285)*2)/25.2</f>
        <v>19.6593408205527</v>
      </c>
      <c r="AK285">
        <f t="shared" si="32"/>
        <v>251057.056428571</v>
      </c>
    </row>
    <row r="286" spans="1:37">
      <c r="A286" t="s">
        <v>349</v>
      </c>
      <c r="B286">
        <v>55</v>
      </c>
      <c r="C286" t="s">
        <v>50</v>
      </c>
      <c r="D286" t="s">
        <v>60</v>
      </c>
      <c r="E286">
        <v>618</v>
      </c>
      <c r="F286">
        <v>1</v>
      </c>
      <c r="G286">
        <v>5</v>
      </c>
      <c r="H286">
        <v>6579.56</v>
      </c>
      <c r="I286">
        <v>34520.64</v>
      </c>
      <c r="J286">
        <v>49</v>
      </c>
      <c r="K286">
        <v>1</v>
      </c>
      <c r="L286">
        <v>8.2</v>
      </c>
      <c r="M286">
        <v>48.2</v>
      </c>
      <c r="N286" t="s">
        <v>63</v>
      </c>
      <c r="O286" t="s">
        <v>75</v>
      </c>
      <c r="P286" t="s">
        <v>68</v>
      </c>
      <c r="R286">
        <f>SUMIF(A286:A5285,"C00285",I286:I5285)</f>
        <v>34520.64</v>
      </c>
      <c r="S286" s="1">
        <v>34520.64</v>
      </c>
      <c r="T286">
        <f t="shared" si="29"/>
        <v>704.502857142857</v>
      </c>
      <c r="U286">
        <f t="shared" si="30"/>
        <v>2361.8</v>
      </c>
      <c r="V286">
        <f>U286*1</f>
        <v>2361.8</v>
      </c>
      <c r="W286">
        <f t="shared" si="31"/>
        <v>13700.4</v>
      </c>
      <c r="X286">
        <f t="shared" si="28"/>
        <v>0.0939272534941546</v>
      </c>
      <c r="AH286" t="str">
        <f t="shared" si="34"/>
        <v>3rd Quality</v>
      </c>
      <c r="AJ286">
        <f>((T286-X286)*2)/8.2</f>
        <v>171.807056070576</v>
      </c>
      <c r="AK286">
        <f t="shared" si="32"/>
        <v>435382.765714286</v>
      </c>
    </row>
    <row r="287" spans="1:37">
      <c r="A287" t="s">
        <v>350</v>
      </c>
      <c r="B287">
        <v>29</v>
      </c>
      <c r="C287" t="s">
        <v>50</v>
      </c>
      <c r="D287" t="s">
        <v>51</v>
      </c>
      <c r="E287">
        <v>1113</v>
      </c>
      <c r="F287">
        <v>27</v>
      </c>
      <c r="G287">
        <v>8</v>
      </c>
      <c r="H287">
        <v>1642.18</v>
      </c>
      <c r="I287">
        <v>13602.11</v>
      </c>
      <c r="J287">
        <v>26</v>
      </c>
      <c r="K287">
        <v>1</v>
      </c>
      <c r="L287">
        <v>19.9</v>
      </c>
      <c r="M287">
        <v>29.6</v>
      </c>
      <c r="N287" t="s">
        <v>78</v>
      </c>
      <c r="O287" t="s">
        <v>47</v>
      </c>
      <c r="P287" t="s">
        <v>58</v>
      </c>
      <c r="R287">
        <f>SUMIF(A287:A5286,"C00286",I287:I5286)</f>
        <v>13602.11</v>
      </c>
      <c r="S287" s="1">
        <v>13602.11</v>
      </c>
      <c r="T287">
        <f t="shared" si="29"/>
        <v>523.158076923077</v>
      </c>
      <c r="U287">
        <f t="shared" si="30"/>
        <v>769.6</v>
      </c>
      <c r="V287">
        <f>U287*1</f>
        <v>769.6</v>
      </c>
      <c r="W287">
        <f t="shared" si="31"/>
        <v>5081.76333333333</v>
      </c>
      <c r="X287">
        <f t="shared" si="28"/>
        <v>0.677757614877784</v>
      </c>
      <c r="AH287" t="str">
        <f t="shared" si="34"/>
        <v>3rd Quality</v>
      </c>
      <c r="AJ287">
        <f>((T287-X287)*2)/19.9</f>
        <v>52.5105848550954</v>
      </c>
      <c r="AK287">
        <f t="shared" si="32"/>
        <v>582274.939615385</v>
      </c>
    </row>
    <row r="288" spans="1:37">
      <c r="A288" t="s">
        <v>351</v>
      </c>
      <c r="B288">
        <v>23</v>
      </c>
      <c r="C288" t="s">
        <v>44</v>
      </c>
      <c r="D288" t="s">
        <v>60</v>
      </c>
      <c r="E288">
        <v>763</v>
      </c>
      <c r="F288">
        <v>2</v>
      </c>
      <c r="G288">
        <v>18</v>
      </c>
      <c r="H288">
        <v>2611.8</v>
      </c>
      <c r="I288">
        <v>41714.74</v>
      </c>
      <c r="J288">
        <v>102</v>
      </c>
      <c r="K288">
        <v>0</v>
      </c>
      <c r="L288">
        <v>3.7</v>
      </c>
      <c r="M288">
        <v>40.3</v>
      </c>
      <c r="N288" t="s">
        <v>63</v>
      </c>
      <c r="O288" t="s">
        <v>47</v>
      </c>
      <c r="P288" t="s">
        <v>68</v>
      </c>
      <c r="R288">
        <f>SUMIF(A288:A5287,"C00287",I288:I5287)</f>
        <v>41714.74</v>
      </c>
      <c r="S288" s="1">
        <v>41714.74</v>
      </c>
      <c r="T288">
        <f t="shared" si="29"/>
        <v>408.968039215686</v>
      </c>
      <c r="U288">
        <f t="shared" si="30"/>
        <v>4110.6</v>
      </c>
      <c r="V288">
        <f t="shared" si="33"/>
        <v>342.55</v>
      </c>
      <c r="W288">
        <f t="shared" si="31"/>
        <v>14775.8466666667</v>
      </c>
      <c r="X288">
        <f t="shared" si="28"/>
        <v>0.29213569186002</v>
      </c>
      <c r="AH288" t="str">
        <f t="shared" si="34"/>
        <v>2nd Quality</v>
      </c>
      <c r="AJ288">
        <f>((T288-X288)*2)/3.7</f>
        <v>220.905893796663</v>
      </c>
      <c r="AK288">
        <f t="shared" si="32"/>
        <v>312042.613921569</v>
      </c>
    </row>
    <row r="289" spans="1:37">
      <c r="A289" t="s">
        <v>352</v>
      </c>
      <c r="B289">
        <v>42</v>
      </c>
      <c r="C289" t="s">
        <v>56</v>
      </c>
      <c r="D289" t="s">
        <v>60</v>
      </c>
      <c r="E289">
        <v>901</v>
      </c>
      <c r="F289">
        <v>15</v>
      </c>
      <c r="G289">
        <v>9</v>
      </c>
      <c r="H289">
        <v>784.76</v>
      </c>
      <c r="I289">
        <v>7354.9</v>
      </c>
      <c r="J289">
        <v>41</v>
      </c>
      <c r="K289">
        <v>0</v>
      </c>
      <c r="L289">
        <v>22.7</v>
      </c>
      <c r="M289">
        <v>24.6</v>
      </c>
      <c r="N289" t="s">
        <v>52</v>
      </c>
      <c r="O289" t="s">
        <v>47</v>
      </c>
      <c r="P289" t="s">
        <v>58</v>
      </c>
      <c r="R289">
        <f>SUMIF(A289:A5288,"C00288",I289:I5288)</f>
        <v>7354.9</v>
      </c>
      <c r="S289" s="1">
        <v>7354.9</v>
      </c>
      <c r="T289">
        <f t="shared" si="29"/>
        <v>179.387804878049</v>
      </c>
      <c r="U289">
        <f t="shared" si="30"/>
        <v>1008.6</v>
      </c>
      <c r="V289">
        <f t="shared" si="33"/>
        <v>84.05</v>
      </c>
      <c r="W289">
        <f t="shared" si="31"/>
        <v>2713.55333333333</v>
      </c>
      <c r="X289">
        <f t="shared" si="28"/>
        <v>1.14812171874204</v>
      </c>
      <c r="AH289" t="str">
        <f t="shared" si="34"/>
        <v>3rd Quality</v>
      </c>
      <c r="AJ289">
        <f>((T289-X289)*2)/22.7</f>
        <v>15.7039368422297</v>
      </c>
      <c r="AK289">
        <f t="shared" si="32"/>
        <v>161628.412195122</v>
      </c>
    </row>
    <row r="290" spans="1:37">
      <c r="A290" t="s">
        <v>353</v>
      </c>
      <c r="B290">
        <v>45</v>
      </c>
      <c r="C290" t="s">
        <v>44</v>
      </c>
      <c r="D290" t="s">
        <v>60</v>
      </c>
      <c r="E290">
        <v>1288</v>
      </c>
      <c r="F290">
        <v>56</v>
      </c>
      <c r="G290">
        <v>7</v>
      </c>
      <c r="H290">
        <v>13640.39</v>
      </c>
      <c r="I290">
        <v>99996.81</v>
      </c>
      <c r="J290">
        <v>49</v>
      </c>
      <c r="K290">
        <v>0</v>
      </c>
      <c r="L290">
        <v>24.9</v>
      </c>
      <c r="M290">
        <v>20.3</v>
      </c>
      <c r="N290" t="s">
        <v>78</v>
      </c>
      <c r="O290" t="s">
        <v>47</v>
      </c>
      <c r="P290" t="s">
        <v>68</v>
      </c>
      <c r="R290">
        <f>SUMIF(A290:A5289,"C00289",I290:I5289)</f>
        <v>99996.81</v>
      </c>
      <c r="S290" s="1">
        <v>99996.81</v>
      </c>
      <c r="T290">
        <f t="shared" si="29"/>
        <v>2040.7512244898</v>
      </c>
      <c r="U290">
        <f t="shared" si="30"/>
        <v>994.7</v>
      </c>
      <c r="V290">
        <f t="shared" si="33"/>
        <v>82.8916666666667</v>
      </c>
      <c r="W290">
        <f t="shared" si="31"/>
        <v>37879.4</v>
      </c>
      <c r="X290">
        <f t="shared" si="28"/>
        <v>0.0944254526446825</v>
      </c>
      <c r="AH290" t="str">
        <f t="shared" si="34"/>
        <v>3rd Quality</v>
      </c>
      <c r="AJ290">
        <f>((T290-X290)*2)/24.9</f>
        <v>163.90817662949</v>
      </c>
      <c r="AK290">
        <f t="shared" si="32"/>
        <v>2628487.57714286</v>
      </c>
    </row>
    <row r="291" spans="1:37">
      <c r="A291" t="s">
        <v>354</v>
      </c>
      <c r="B291">
        <v>34</v>
      </c>
      <c r="C291" t="s">
        <v>50</v>
      </c>
      <c r="D291" t="s">
        <v>45</v>
      </c>
      <c r="E291">
        <v>1099</v>
      </c>
      <c r="F291">
        <v>9</v>
      </c>
      <c r="G291">
        <v>28</v>
      </c>
      <c r="H291">
        <v>4119.39</v>
      </c>
      <c r="I291">
        <v>119679.66</v>
      </c>
      <c r="J291">
        <v>234</v>
      </c>
      <c r="K291">
        <v>2</v>
      </c>
      <c r="L291">
        <v>7.2</v>
      </c>
      <c r="M291">
        <v>39.1</v>
      </c>
      <c r="N291" t="s">
        <v>57</v>
      </c>
      <c r="O291" t="s">
        <v>75</v>
      </c>
      <c r="P291" t="s">
        <v>48</v>
      </c>
      <c r="R291">
        <f>SUMIF(A291:A5290,"C00290",I291:I5290)</f>
        <v>119679.66</v>
      </c>
      <c r="S291" s="1">
        <v>119679.66</v>
      </c>
      <c r="T291">
        <f t="shared" si="29"/>
        <v>511.451538461538</v>
      </c>
      <c r="U291">
        <f t="shared" si="30"/>
        <v>9149.4</v>
      </c>
      <c r="V291">
        <f>U291*2</f>
        <v>18298.8</v>
      </c>
      <c r="W291">
        <f t="shared" si="31"/>
        <v>41266.6833333333</v>
      </c>
      <c r="X291">
        <f t="shared" si="28"/>
        <v>0.266787072843309</v>
      </c>
      <c r="AH291" t="str">
        <f t="shared" si="34"/>
        <v>2nd Quality</v>
      </c>
      <c r="AJ291">
        <f>((T291-X291)*2)/7.2</f>
        <v>141.995764274637</v>
      </c>
      <c r="AK291">
        <f t="shared" si="32"/>
        <v>562085.240769231</v>
      </c>
    </row>
    <row r="292" spans="1:37">
      <c r="A292" t="s">
        <v>355</v>
      </c>
      <c r="B292">
        <v>18</v>
      </c>
      <c r="C292" t="s">
        <v>50</v>
      </c>
      <c r="D292" t="s">
        <v>45</v>
      </c>
      <c r="E292">
        <v>687</v>
      </c>
      <c r="F292">
        <v>34</v>
      </c>
      <c r="G292">
        <v>3</v>
      </c>
      <c r="H292">
        <v>588.72</v>
      </c>
      <c r="I292">
        <v>1645.65</v>
      </c>
      <c r="J292">
        <v>13</v>
      </c>
      <c r="K292">
        <v>0</v>
      </c>
      <c r="L292">
        <v>37.9</v>
      </c>
      <c r="M292">
        <v>24.3</v>
      </c>
      <c r="N292" t="s">
        <v>78</v>
      </c>
      <c r="O292" t="s">
        <v>47</v>
      </c>
      <c r="P292" t="s">
        <v>58</v>
      </c>
      <c r="R292">
        <f>SUMIF(A292:A5291,"C00291",I292:I5291)</f>
        <v>1645.65</v>
      </c>
      <c r="S292" s="1">
        <v>1645.65</v>
      </c>
      <c r="T292">
        <f t="shared" si="29"/>
        <v>126.588461538462</v>
      </c>
      <c r="U292">
        <f t="shared" si="30"/>
        <v>315.9</v>
      </c>
      <c r="V292">
        <f t="shared" si="33"/>
        <v>26.325</v>
      </c>
      <c r="W292">
        <f t="shared" si="31"/>
        <v>745.123333333333</v>
      </c>
      <c r="X292">
        <f t="shared" si="28"/>
        <v>1.1669384427232</v>
      </c>
      <c r="AH292" t="str">
        <f t="shared" si="34"/>
        <v>3rd Quality</v>
      </c>
      <c r="AJ292">
        <f>((T292-X292)*2)/37.9</f>
        <v>6.6185500314374</v>
      </c>
      <c r="AK292">
        <f t="shared" si="32"/>
        <v>86966.2730769231</v>
      </c>
    </row>
    <row r="293" spans="1:37">
      <c r="A293" t="s">
        <v>356</v>
      </c>
      <c r="B293">
        <v>34</v>
      </c>
      <c r="C293" t="s">
        <v>50</v>
      </c>
      <c r="D293" t="s">
        <v>60</v>
      </c>
      <c r="E293">
        <v>374</v>
      </c>
      <c r="F293">
        <v>14</v>
      </c>
      <c r="G293">
        <v>25</v>
      </c>
      <c r="H293">
        <v>2602.59</v>
      </c>
      <c r="I293">
        <v>62446.98</v>
      </c>
      <c r="J293">
        <v>106</v>
      </c>
      <c r="K293">
        <v>1</v>
      </c>
      <c r="L293">
        <v>7.8</v>
      </c>
      <c r="M293">
        <v>21.7</v>
      </c>
      <c r="N293" t="s">
        <v>52</v>
      </c>
      <c r="O293" t="s">
        <v>47</v>
      </c>
      <c r="P293" t="s">
        <v>58</v>
      </c>
      <c r="R293">
        <f>SUMIF(A293:A5292,"C00292",I293:I5292)</f>
        <v>62446.98</v>
      </c>
      <c r="S293" s="1">
        <v>62446.98</v>
      </c>
      <c r="T293">
        <f t="shared" si="29"/>
        <v>589.122452830189</v>
      </c>
      <c r="U293">
        <f t="shared" si="30"/>
        <v>2300.2</v>
      </c>
      <c r="V293">
        <f>U293*1</f>
        <v>2300.2</v>
      </c>
      <c r="W293">
        <f t="shared" si="31"/>
        <v>21683.5233333333</v>
      </c>
      <c r="X293">
        <f t="shared" si="28"/>
        <v>0.143703003546467</v>
      </c>
      <c r="AH293" t="str">
        <f t="shared" si="34"/>
        <v>3rd Quality</v>
      </c>
      <c r="AJ293">
        <f>((T293-X293)*2)/7.8</f>
        <v>151.020192263242</v>
      </c>
      <c r="AK293">
        <f t="shared" si="32"/>
        <v>220331.797358491</v>
      </c>
    </row>
    <row r="294" spans="1:37">
      <c r="A294" t="s">
        <v>357</v>
      </c>
      <c r="B294">
        <v>26</v>
      </c>
      <c r="C294" t="s">
        <v>50</v>
      </c>
      <c r="D294" t="s">
        <v>45</v>
      </c>
      <c r="E294">
        <v>1163</v>
      </c>
      <c r="F294">
        <v>127</v>
      </c>
      <c r="G294">
        <v>2</v>
      </c>
      <c r="H294">
        <v>1363.73</v>
      </c>
      <c r="I294">
        <v>2762.65</v>
      </c>
      <c r="J294">
        <v>14</v>
      </c>
      <c r="K294">
        <v>0</v>
      </c>
      <c r="L294">
        <v>24.7</v>
      </c>
      <c r="M294">
        <v>9.3</v>
      </c>
      <c r="N294" t="s">
        <v>52</v>
      </c>
      <c r="O294" t="s">
        <v>75</v>
      </c>
      <c r="P294" t="s">
        <v>58</v>
      </c>
      <c r="R294">
        <f>SUMIF(A294:A5293,"C00293",I294:I5293)</f>
        <v>2762.65</v>
      </c>
      <c r="S294" s="1">
        <v>2762.65</v>
      </c>
      <c r="T294">
        <f t="shared" si="29"/>
        <v>197.332142857143</v>
      </c>
      <c r="U294">
        <f t="shared" si="30"/>
        <v>130.2</v>
      </c>
      <c r="V294">
        <f t="shared" si="33"/>
        <v>10.85</v>
      </c>
      <c r="W294">
        <f t="shared" si="31"/>
        <v>1375.79333333333</v>
      </c>
      <c r="X294">
        <f t="shared" si="28"/>
        <v>0.852808107176641</v>
      </c>
      <c r="AH294" t="str">
        <f t="shared" si="34"/>
        <v>3rd Quality</v>
      </c>
      <c r="AJ294">
        <f>((T294-X294)*2)/24.7</f>
        <v>15.9092578744912</v>
      </c>
      <c r="AK294">
        <f t="shared" si="32"/>
        <v>229497.282142857</v>
      </c>
    </row>
    <row r="295" spans="1:37">
      <c r="A295" t="s">
        <v>358</v>
      </c>
      <c r="B295">
        <v>35</v>
      </c>
      <c r="C295" t="s">
        <v>50</v>
      </c>
      <c r="D295" t="s">
        <v>45</v>
      </c>
      <c r="E295">
        <v>727</v>
      </c>
      <c r="F295">
        <v>8</v>
      </c>
      <c r="G295">
        <v>28</v>
      </c>
      <c r="H295">
        <v>1713.59</v>
      </c>
      <c r="I295">
        <v>43816.81</v>
      </c>
      <c r="J295">
        <v>236</v>
      </c>
      <c r="K295">
        <v>4</v>
      </c>
      <c r="L295">
        <v>14.1</v>
      </c>
      <c r="M295">
        <v>44.4</v>
      </c>
      <c r="N295" t="s">
        <v>61</v>
      </c>
      <c r="O295" t="s">
        <v>53</v>
      </c>
      <c r="P295" t="s">
        <v>66</v>
      </c>
      <c r="R295">
        <f>SUMIF(A295:A5294,"C00294",I295:I5294)</f>
        <v>43816.81</v>
      </c>
      <c r="S295" s="1">
        <v>43816.81</v>
      </c>
      <c r="T295">
        <f t="shared" si="29"/>
        <v>185.664449152542</v>
      </c>
      <c r="U295">
        <f t="shared" si="30"/>
        <v>10478.4</v>
      </c>
      <c r="V295">
        <f>U295*4</f>
        <v>41913.6</v>
      </c>
      <c r="W295">
        <f t="shared" si="31"/>
        <v>15177.1333333333</v>
      </c>
      <c r="X295">
        <f t="shared" si="28"/>
        <v>0.424255510361288</v>
      </c>
      <c r="AH295" t="str">
        <f t="shared" si="34"/>
        <v>2nd Quality</v>
      </c>
      <c r="AJ295">
        <f>((T295-X295)*2)/14.1</f>
        <v>26.2752047719405</v>
      </c>
      <c r="AK295">
        <f t="shared" si="32"/>
        <v>134978.054533898</v>
      </c>
    </row>
    <row r="296" spans="1:37">
      <c r="A296" t="s">
        <v>359</v>
      </c>
      <c r="B296">
        <v>25</v>
      </c>
      <c r="C296" t="s">
        <v>44</v>
      </c>
      <c r="D296" t="s">
        <v>45</v>
      </c>
      <c r="E296">
        <v>452</v>
      </c>
      <c r="F296">
        <v>107</v>
      </c>
      <c r="G296">
        <v>4</v>
      </c>
      <c r="H296">
        <v>1135.65</v>
      </c>
      <c r="I296">
        <v>4170.56</v>
      </c>
      <c r="J296">
        <v>23</v>
      </c>
      <c r="K296">
        <v>0</v>
      </c>
      <c r="L296">
        <v>29.6</v>
      </c>
      <c r="M296">
        <v>10.2</v>
      </c>
      <c r="N296" t="s">
        <v>52</v>
      </c>
      <c r="O296" t="s">
        <v>47</v>
      </c>
      <c r="P296" t="s">
        <v>48</v>
      </c>
      <c r="R296">
        <f>SUMIF(A296:A5295,"C00295",I296:I5295)</f>
        <v>4170.56</v>
      </c>
      <c r="S296" s="1">
        <v>4170.56</v>
      </c>
      <c r="T296">
        <f t="shared" si="29"/>
        <v>181.328695652174</v>
      </c>
      <c r="U296">
        <f t="shared" si="30"/>
        <v>234.6</v>
      </c>
      <c r="V296">
        <f t="shared" si="33"/>
        <v>19.55</v>
      </c>
      <c r="W296">
        <f t="shared" si="31"/>
        <v>1769.07</v>
      </c>
      <c r="X296">
        <f t="shared" si="28"/>
        <v>0.398009950248756</v>
      </c>
      <c r="AH296" t="str">
        <f t="shared" si="34"/>
        <v>3rd Quality</v>
      </c>
      <c r="AJ296">
        <f>((T296-X296)*2)/29.6</f>
        <v>12.2250463312112</v>
      </c>
      <c r="AK296">
        <f t="shared" si="32"/>
        <v>81960.5704347826</v>
      </c>
    </row>
    <row r="297" spans="1:37">
      <c r="A297" t="s">
        <v>360</v>
      </c>
      <c r="B297">
        <v>33</v>
      </c>
      <c r="C297" t="s">
        <v>44</v>
      </c>
      <c r="D297" t="s">
        <v>45</v>
      </c>
      <c r="E297">
        <v>1034</v>
      </c>
      <c r="F297">
        <v>365</v>
      </c>
      <c r="G297">
        <v>2</v>
      </c>
      <c r="H297">
        <v>2303.89</v>
      </c>
      <c r="I297">
        <v>4827.57</v>
      </c>
      <c r="J297">
        <v>24</v>
      </c>
      <c r="K297">
        <v>0</v>
      </c>
      <c r="L297">
        <v>22.3</v>
      </c>
      <c r="M297">
        <v>20.5</v>
      </c>
      <c r="N297" t="s">
        <v>63</v>
      </c>
      <c r="O297" t="s">
        <v>53</v>
      </c>
      <c r="P297" t="s">
        <v>58</v>
      </c>
      <c r="R297">
        <f>SUMIF(A297:A5296,"C00296",I297:I5296)</f>
        <v>4827.57</v>
      </c>
      <c r="S297" s="1">
        <v>4827.57</v>
      </c>
      <c r="T297">
        <f t="shared" si="29"/>
        <v>201.14875</v>
      </c>
      <c r="U297">
        <f t="shared" si="30"/>
        <v>492</v>
      </c>
      <c r="V297">
        <f t="shared" si="33"/>
        <v>41</v>
      </c>
      <c r="W297">
        <f t="shared" si="31"/>
        <v>2377.48666666667</v>
      </c>
      <c r="X297">
        <f t="shared" si="28"/>
        <v>0.448806149599156</v>
      </c>
      <c r="AH297" t="str">
        <f t="shared" si="34"/>
        <v>3rd Quality</v>
      </c>
      <c r="AJ297">
        <f>((T297-X297)*2)/22.3</f>
        <v>17.9999949641615</v>
      </c>
      <c r="AK297">
        <f t="shared" si="32"/>
        <v>207987.8075</v>
      </c>
    </row>
    <row r="298" spans="1:37">
      <c r="A298" t="s">
        <v>361</v>
      </c>
      <c r="B298">
        <v>26</v>
      </c>
      <c r="C298" t="s">
        <v>44</v>
      </c>
      <c r="D298" t="s">
        <v>51</v>
      </c>
      <c r="E298">
        <v>1250</v>
      </c>
      <c r="F298">
        <v>238</v>
      </c>
      <c r="G298">
        <v>3</v>
      </c>
      <c r="H298">
        <v>1498.16</v>
      </c>
      <c r="I298">
        <v>4133.89</v>
      </c>
      <c r="J298">
        <v>13</v>
      </c>
      <c r="K298">
        <v>2</v>
      </c>
      <c r="L298">
        <v>26.2</v>
      </c>
      <c r="M298">
        <v>23.3</v>
      </c>
      <c r="N298" t="s">
        <v>78</v>
      </c>
      <c r="O298" t="s">
        <v>47</v>
      </c>
      <c r="P298" t="s">
        <v>58</v>
      </c>
      <c r="R298">
        <f>SUMIF(A298:A5297,"C00297",I298:I5297)</f>
        <v>4133.89</v>
      </c>
      <c r="S298" s="1">
        <v>4133.89</v>
      </c>
      <c r="T298">
        <f t="shared" si="29"/>
        <v>317.991538461538</v>
      </c>
      <c r="U298">
        <f t="shared" si="30"/>
        <v>302.9</v>
      </c>
      <c r="V298">
        <f>U298*2</f>
        <v>605.8</v>
      </c>
      <c r="W298">
        <f t="shared" si="31"/>
        <v>1877.68333333333</v>
      </c>
      <c r="X298">
        <f t="shared" si="28"/>
        <v>0.83435681102152</v>
      </c>
      <c r="AH298" t="str">
        <f t="shared" si="34"/>
        <v>3rd Quality</v>
      </c>
      <c r="AJ298">
        <f>((T298-X298)*2)/26.2</f>
        <v>24.2104718817188</v>
      </c>
      <c r="AK298">
        <f t="shared" si="32"/>
        <v>397489.423076923</v>
      </c>
    </row>
    <row r="299" spans="1:37">
      <c r="A299" t="s">
        <v>362</v>
      </c>
      <c r="B299">
        <v>18</v>
      </c>
      <c r="C299" t="s">
        <v>50</v>
      </c>
      <c r="D299" t="s">
        <v>60</v>
      </c>
      <c r="E299">
        <v>1080</v>
      </c>
      <c r="F299">
        <v>67</v>
      </c>
      <c r="G299">
        <v>3</v>
      </c>
      <c r="H299">
        <v>840.96</v>
      </c>
      <c r="I299">
        <v>2230.24</v>
      </c>
      <c r="J299">
        <v>14</v>
      </c>
      <c r="K299">
        <v>0</v>
      </c>
      <c r="L299">
        <v>30.3</v>
      </c>
      <c r="M299">
        <v>51.1</v>
      </c>
      <c r="N299" t="s">
        <v>78</v>
      </c>
      <c r="O299" t="s">
        <v>47</v>
      </c>
      <c r="P299" t="s">
        <v>48</v>
      </c>
      <c r="R299">
        <f>SUMIF(A299:A5298,"C00298",I299:I5298)</f>
        <v>2230.24</v>
      </c>
      <c r="S299" s="1">
        <v>2230.24</v>
      </c>
      <c r="T299">
        <f t="shared" si="29"/>
        <v>159.302857142857</v>
      </c>
      <c r="U299">
        <f t="shared" si="30"/>
        <v>715.4</v>
      </c>
      <c r="V299">
        <f t="shared" si="33"/>
        <v>59.6166666666667</v>
      </c>
      <c r="W299">
        <f t="shared" si="31"/>
        <v>1024.06666666667</v>
      </c>
      <c r="X299">
        <f t="shared" si="28"/>
        <v>1.28424657534247</v>
      </c>
      <c r="AH299" t="str">
        <f t="shared" si="34"/>
        <v>3rd Quality</v>
      </c>
      <c r="AJ299">
        <f>((T299-X299)*2)/30.3</f>
        <v>10.4302713245884</v>
      </c>
      <c r="AK299">
        <f t="shared" si="32"/>
        <v>172047.085714286</v>
      </c>
    </row>
    <row r="300" spans="1:37">
      <c r="A300" t="s">
        <v>363</v>
      </c>
      <c r="B300">
        <v>45</v>
      </c>
      <c r="C300" t="s">
        <v>44</v>
      </c>
      <c r="D300" t="s">
        <v>51</v>
      </c>
      <c r="E300">
        <v>1270</v>
      </c>
      <c r="F300">
        <v>127</v>
      </c>
      <c r="G300">
        <v>1</v>
      </c>
      <c r="H300">
        <v>887.87</v>
      </c>
      <c r="I300">
        <v>820.77</v>
      </c>
      <c r="J300">
        <v>11</v>
      </c>
      <c r="K300">
        <v>0</v>
      </c>
      <c r="L300">
        <v>28.6</v>
      </c>
      <c r="M300">
        <v>22.5</v>
      </c>
      <c r="N300" t="s">
        <v>61</v>
      </c>
      <c r="O300" t="s">
        <v>47</v>
      </c>
      <c r="P300" t="s">
        <v>48</v>
      </c>
      <c r="R300">
        <f>SUMIF(A300:A5299,"C00299",I300:I5299)</f>
        <v>820.77</v>
      </c>
      <c r="S300" s="1">
        <v>820.77</v>
      </c>
      <c r="T300">
        <f t="shared" si="29"/>
        <v>74.6154545454545</v>
      </c>
      <c r="U300">
        <f t="shared" si="30"/>
        <v>247.5</v>
      </c>
      <c r="V300">
        <f t="shared" si="33"/>
        <v>20.625</v>
      </c>
      <c r="W300">
        <f t="shared" si="31"/>
        <v>569.88</v>
      </c>
      <c r="X300">
        <f t="shared" si="28"/>
        <v>1.43038958406073</v>
      </c>
      <c r="AH300" t="str">
        <f t="shared" si="34"/>
        <v>3rd Quality</v>
      </c>
      <c r="AJ300">
        <f>((T300-X300)*2)/28.6</f>
        <v>5.11783671058698</v>
      </c>
      <c r="AK300">
        <f t="shared" si="32"/>
        <v>94761.6272727273</v>
      </c>
    </row>
    <row r="301" spans="1:37">
      <c r="A301" t="s">
        <v>364</v>
      </c>
      <c r="B301">
        <v>22</v>
      </c>
      <c r="C301" t="s">
        <v>101</v>
      </c>
      <c r="D301" t="s">
        <v>60</v>
      </c>
      <c r="E301">
        <v>582</v>
      </c>
      <c r="F301">
        <v>42</v>
      </c>
      <c r="G301">
        <v>5</v>
      </c>
      <c r="H301">
        <v>10424.52</v>
      </c>
      <c r="I301">
        <v>46812.67</v>
      </c>
      <c r="J301">
        <v>40</v>
      </c>
      <c r="K301">
        <v>0</v>
      </c>
      <c r="L301">
        <v>11.5</v>
      </c>
      <c r="M301">
        <v>15.5</v>
      </c>
      <c r="N301" t="s">
        <v>81</v>
      </c>
      <c r="O301" t="s">
        <v>47</v>
      </c>
      <c r="P301" t="s">
        <v>48</v>
      </c>
      <c r="R301">
        <f>SUMIF(A301:A5300,"C00300",I301:I5300)</f>
        <v>46812.67</v>
      </c>
      <c r="S301" s="1">
        <v>46812.67</v>
      </c>
      <c r="T301">
        <f t="shared" si="29"/>
        <v>1170.31675</v>
      </c>
      <c r="U301">
        <f t="shared" si="30"/>
        <v>620</v>
      </c>
      <c r="V301">
        <f t="shared" si="33"/>
        <v>51.6666666666667</v>
      </c>
      <c r="W301">
        <f t="shared" si="31"/>
        <v>19079.3966666667</v>
      </c>
      <c r="X301">
        <f t="shared" si="28"/>
        <v>0.0558299087152214</v>
      </c>
      <c r="AH301" t="str">
        <f t="shared" si="34"/>
        <v>2nd Quality</v>
      </c>
      <c r="AJ301">
        <f>((T301-X301)*2)/11.5</f>
        <v>203.523638276745</v>
      </c>
      <c r="AK301">
        <f t="shared" si="32"/>
        <v>681124.3485</v>
      </c>
    </row>
    <row r="302" spans="1:37">
      <c r="A302" t="s">
        <v>365</v>
      </c>
      <c r="B302">
        <v>35</v>
      </c>
      <c r="C302" t="s">
        <v>50</v>
      </c>
      <c r="D302" t="s">
        <v>60</v>
      </c>
      <c r="E302">
        <v>1301</v>
      </c>
      <c r="F302">
        <v>62</v>
      </c>
      <c r="G302">
        <v>6</v>
      </c>
      <c r="H302">
        <v>509.37</v>
      </c>
      <c r="I302">
        <v>2896.44</v>
      </c>
      <c r="J302">
        <v>27</v>
      </c>
      <c r="K302">
        <v>0</v>
      </c>
      <c r="L302">
        <v>41.3</v>
      </c>
      <c r="M302">
        <v>30.9</v>
      </c>
      <c r="N302" t="s">
        <v>78</v>
      </c>
      <c r="O302" t="s">
        <v>47</v>
      </c>
      <c r="P302" t="s">
        <v>54</v>
      </c>
      <c r="R302">
        <f>SUMIF(A302:A5301,"C00301",I302:I5301)</f>
        <v>2896.44</v>
      </c>
      <c r="S302" s="1">
        <v>2896.44</v>
      </c>
      <c r="T302">
        <f t="shared" si="29"/>
        <v>107.275555555556</v>
      </c>
      <c r="U302">
        <f t="shared" si="30"/>
        <v>834.3</v>
      </c>
      <c r="V302">
        <f t="shared" si="33"/>
        <v>69.525</v>
      </c>
      <c r="W302">
        <f t="shared" si="31"/>
        <v>1135.60333333333</v>
      </c>
      <c r="X302">
        <f t="shared" si="28"/>
        <v>2.55413550071657</v>
      </c>
      <c r="AH302" t="str">
        <f t="shared" si="34"/>
        <v>3rd Quality</v>
      </c>
      <c r="AJ302">
        <f>((T302-X302)*2)/41.3</f>
        <v>5.0712552084668</v>
      </c>
      <c r="AK302">
        <f t="shared" si="32"/>
        <v>139565.497777778</v>
      </c>
    </row>
    <row r="303" spans="1:37">
      <c r="A303" t="s">
        <v>366</v>
      </c>
      <c r="B303">
        <v>51</v>
      </c>
      <c r="C303" t="s">
        <v>44</v>
      </c>
      <c r="D303" t="s">
        <v>45</v>
      </c>
      <c r="E303">
        <v>732</v>
      </c>
      <c r="F303">
        <v>9</v>
      </c>
      <c r="G303">
        <v>27</v>
      </c>
      <c r="H303">
        <v>3852.64</v>
      </c>
      <c r="I303">
        <v>110520.47</v>
      </c>
      <c r="J303">
        <v>139</v>
      </c>
      <c r="K303">
        <v>1</v>
      </c>
      <c r="L303">
        <v>0.1</v>
      </c>
      <c r="M303">
        <v>63.9</v>
      </c>
      <c r="N303" t="s">
        <v>46</v>
      </c>
      <c r="O303" t="s">
        <v>47</v>
      </c>
      <c r="P303" t="s">
        <v>66</v>
      </c>
      <c r="R303">
        <f>SUMIF(A303:A5302,"C00302",I303:I5302)</f>
        <v>110520.47</v>
      </c>
      <c r="S303" s="1">
        <v>110520.47</v>
      </c>
      <c r="T303">
        <f t="shared" si="29"/>
        <v>795.111294964029</v>
      </c>
      <c r="U303">
        <f t="shared" si="30"/>
        <v>8882.1</v>
      </c>
      <c r="V303">
        <f>U303*1</f>
        <v>8882.1</v>
      </c>
      <c r="W303">
        <f t="shared" si="31"/>
        <v>38124.7033333333</v>
      </c>
      <c r="X303">
        <f t="shared" ref="X303:X366" si="35">E303/H303</f>
        <v>0.189999584700361</v>
      </c>
      <c r="AH303" t="str">
        <f t="shared" si="34"/>
        <v>3rd Quality</v>
      </c>
      <c r="AJ303">
        <f>((T303-X303)*2)/0.1</f>
        <v>15898.4259075866</v>
      </c>
      <c r="AK303">
        <f t="shared" si="32"/>
        <v>582021.467913669</v>
      </c>
    </row>
    <row r="304" spans="1:37">
      <c r="A304" t="s">
        <v>367</v>
      </c>
      <c r="B304">
        <v>25</v>
      </c>
      <c r="C304" t="s">
        <v>50</v>
      </c>
      <c r="D304" t="s">
        <v>45</v>
      </c>
      <c r="E304">
        <v>941</v>
      </c>
      <c r="F304">
        <v>28</v>
      </c>
      <c r="G304">
        <v>2</v>
      </c>
      <c r="H304">
        <v>6077.53</v>
      </c>
      <c r="I304">
        <v>12989.65</v>
      </c>
      <c r="J304">
        <v>17</v>
      </c>
      <c r="K304">
        <v>0</v>
      </c>
      <c r="L304">
        <v>0</v>
      </c>
      <c r="M304">
        <v>17.5</v>
      </c>
      <c r="N304" t="s">
        <v>61</v>
      </c>
      <c r="O304" t="s">
        <v>47</v>
      </c>
      <c r="P304" t="s">
        <v>66</v>
      </c>
      <c r="R304">
        <f>SUMIF(A304:A5303,"C00303",I304:I5303)</f>
        <v>12989.65</v>
      </c>
      <c r="S304" s="1">
        <v>12989.65</v>
      </c>
      <c r="T304">
        <f t="shared" si="29"/>
        <v>764.097058823529</v>
      </c>
      <c r="U304">
        <f t="shared" si="30"/>
        <v>297.5</v>
      </c>
      <c r="V304">
        <f t="shared" si="33"/>
        <v>24.7916666666667</v>
      </c>
      <c r="W304">
        <f t="shared" si="31"/>
        <v>6356.06</v>
      </c>
      <c r="X304">
        <f t="shared" si="35"/>
        <v>0.154832637601131</v>
      </c>
      <c r="AH304" t="str">
        <f t="shared" si="34"/>
        <v>2nd Quality</v>
      </c>
      <c r="AJ304">
        <f>((T304-X304)*2)</f>
        <v>1527.88445237186</v>
      </c>
      <c r="AK304">
        <f t="shared" si="32"/>
        <v>719015.332352941</v>
      </c>
    </row>
    <row r="305" spans="1:37">
      <c r="A305" t="s">
        <v>368</v>
      </c>
      <c r="B305">
        <v>39</v>
      </c>
      <c r="C305" t="s">
        <v>50</v>
      </c>
      <c r="D305" t="s">
        <v>45</v>
      </c>
      <c r="E305">
        <v>616</v>
      </c>
      <c r="F305">
        <v>64</v>
      </c>
      <c r="G305">
        <v>5</v>
      </c>
      <c r="H305">
        <v>12307.57</v>
      </c>
      <c r="I305">
        <v>55207.13</v>
      </c>
      <c r="J305">
        <v>36</v>
      </c>
      <c r="K305">
        <v>0</v>
      </c>
      <c r="L305">
        <v>16.8</v>
      </c>
      <c r="M305">
        <v>8</v>
      </c>
      <c r="N305" t="s">
        <v>78</v>
      </c>
      <c r="O305" t="s">
        <v>47</v>
      </c>
      <c r="P305" t="s">
        <v>58</v>
      </c>
      <c r="R305">
        <f>SUMIF(A305:A5304,"C00304",I305:I5304)</f>
        <v>55207.13</v>
      </c>
      <c r="S305" s="1">
        <v>55207.13</v>
      </c>
      <c r="T305">
        <f t="shared" si="29"/>
        <v>1533.53138888889</v>
      </c>
      <c r="U305">
        <f t="shared" si="30"/>
        <v>288</v>
      </c>
      <c r="V305">
        <f t="shared" si="33"/>
        <v>24</v>
      </c>
      <c r="W305">
        <f t="shared" si="31"/>
        <v>22505.2333333333</v>
      </c>
      <c r="X305">
        <f t="shared" si="35"/>
        <v>0.0500504973768177</v>
      </c>
      <c r="AH305" t="str">
        <f t="shared" si="34"/>
        <v>2nd Quality</v>
      </c>
      <c r="AJ305">
        <f>((T305-X305)*2)/16.8</f>
        <v>182.557302189466</v>
      </c>
      <c r="AK305">
        <f t="shared" si="32"/>
        <v>944655.335555556</v>
      </c>
    </row>
    <row r="306" spans="1:37">
      <c r="A306" t="s">
        <v>369</v>
      </c>
      <c r="B306">
        <v>22</v>
      </c>
      <c r="C306" t="s">
        <v>50</v>
      </c>
      <c r="D306" t="s">
        <v>45</v>
      </c>
      <c r="E306">
        <v>1041</v>
      </c>
      <c r="F306">
        <v>6</v>
      </c>
      <c r="G306">
        <v>3</v>
      </c>
      <c r="H306">
        <v>567.13</v>
      </c>
      <c r="I306">
        <v>1730.09</v>
      </c>
      <c r="J306">
        <v>18</v>
      </c>
      <c r="K306">
        <v>0</v>
      </c>
      <c r="L306">
        <v>26.1</v>
      </c>
      <c r="M306">
        <v>22.7</v>
      </c>
      <c r="N306" t="s">
        <v>78</v>
      </c>
      <c r="O306" t="s">
        <v>47</v>
      </c>
      <c r="P306" t="s">
        <v>54</v>
      </c>
      <c r="R306">
        <f>SUMIF(A306:A5305,"C00305",I306:I5305)</f>
        <v>1730.09</v>
      </c>
      <c r="S306" s="1">
        <v>1730.09</v>
      </c>
      <c r="T306">
        <f t="shared" si="29"/>
        <v>96.1161111111111</v>
      </c>
      <c r="U306">
        <f t="shared" si="30"/>
        <v>408.6</v>
      </c>
      <c r="V306">
        <f t="shared" si="33"/>
        <v>34.05</v>
      </c>
      <c r="W306">
        <f t="shared" si="31"/>
        <v>766.073333333333</v>
      </c>
      <c r="X306">
        <f t="shared" si="35"/>
        <v>1.83555798494172</v>
      </c>
      <c r="AH306" t="str">
        <f t="shared" si="34"/>
        <v>3rd Quality</v>
      </c>
      <c r="AJ306">
        <f>((T306-X306)*2)/26.1</f>
        <v>7.22456345794401</v>
      </c>
      <c r="AK306">
        <f t="shared" si="32"/>
        <v>100056.871666667</v>
      </c>
    </row>
    <row r="307" spans="1:37">
      <c r="A307" t="s">
        <v>370</v>
      </c>
      <c r="B307">
        <v>39</v>
      </c>
      <c r="C307" t="s">
        <v>50</v>
      </c>
      <c r="D307" t="s">
        <v>51</v>
      </c>
      <c r="E307">
        <v>1350</v>
      </c>
      <c r="F307">
        <v>46</v>
      </c>
      <c r="G307">
        <v>8</v>
      </c>
      <c r="H307">
        <v>823.71</v>
      </c>
      <c r="I307">
        <v>5938.17</v>
      </c>
      <c r="J307">
        <v>48</v>
      </c>
      <c r="K307">
        <v>0</v>
      </c>
      <c r="L307">
        <v>31.6</v>
      </c>
      <c r="M307">
        <v>11.6</v>
      </c>
      <c r="N307" t="s">
        <v>57</v>
      </c>
      <c r="O307" t="s">
        <v>47</v>
      </c>
      <c r="P307" t="s">
        <v>68</v>
      </c>
      <c r="R307">
        <f>SUMIF(A307:A5306,"C00306",I307:I5306)</f>
        <v>5938.17</v>
      </c>
      <c r="S307" s="1">
        <v>5938.17</v>
      </c>
      <c r="T307">
        <f t="shared" si="29"/>
        <v>123.711875</v>
      </c>
      <c r="U307">
        <f t="shared" si="30"/>
        <v>556.8</v>
      </c>
      <c r="V307">
        <f t="shared" si="33"/>
        <v>46.4</v>
      </c>
      <c r="W307">
        <f t="shared" si="31"/>
        <v>2254.29333333333</v>
      </c>
      <c r="X307">
        <f t="shared" si="35"/>
        <v>1.63892632115672</v>
      </c>
      <c r="AH307" t="str">
        <f t="shared" si="34"/>
        <v>3rd Quality</v>
      </c>
      <c r="AJ307">
        <f>((T307-X307)*2)/31.6</f>
        <v>7.72613599233185</v>
      </c>
      <c r="AK307">
        <f t="shared" si="32"/>
        <v>167011.03125</v>
      </c>
    </row>
    <row r="308" spans="1:37">
      <c r="A308" t="s">
        <v>371</v>
      </c>
      <c r="B308">
        <v>28</v>
      </c>
      <c r="C308" t="s">
        <v>101</v>
      </c>
      <c r="D308" t="s">
        <v>45</v>
      </c>
      <c r="E308">
        <v>1433</v>
      </c>
      <c r="F308">
        <v>64</v>
      </c>
      <c r="G308">
        <v>8</v>
      </c>
      <c r="H308">
        <v>1335.69</v>
      </c>
      <c r="I308">
        <v>9883.04</v>
      </c>
      <c r="J308">
        <v>68</v>
      </c>
      <c r="K308">
        <v>0</v>
      </c>
      <c r="L308">
        <v>18.1</v>
      </c>
      <c r="M308">
        <v>7.3</v>
      </c>
      <c r="N308" t="s">
        <v>61</v>
      </c>
      <c r="O308" t="s">
        <v>53</v>
      </c>
      <c r="P308" t="s">
        <v>58</v>
      </c>
      <c r="R308">
        <f>SUMIF(A308:A5307,"C00307",I308:I5307)</f>
        <v>9883.04</v>
      </c>
      <c r="S308" s="1">
        <v>9883.04</v>
      </c>
      <c r="T308">
        <f t="shared" si="29"/>
        <v>145.338823529412</v>
      </c>
      <c r="U308">
        <f t="shared" si="30"/>
        <v>496.4</v>
      </c>
      <c r="V308">
        <f t="shared" si="33"/>
        <v>41.3666666666667</v>
      </c>
      <c r="W308">
        <f t="shared" si="31"/>
        <v>3739.91</v>
      </c>
      <c r="X308">
        <f t="shared" si="35"/>
        <v>1.0728537310304</v>
      </c>
      <c r="AH308" t="str">
        <f t="shared" si="34"/>
        <v>3rd Quality</v>
      </c>
      <c r="AJ308">
        <f>((T308-X308)*2)/18.1</f>
        <v>15.9409911379427</v>
      </c>
      <c r="AK308">
        <f t="shared" si="32"/>
        <v>208270.534117647</v>
      </c>
    </row>
    <row r="309" spans="1:37">
      <c r="A309" t="s">
        <v>372</v>
      </c>
      <c r="B309">
        <v>18</v>
      </c>
      <c r="C309" t="s">
        <v>50</v>
      </c>
      <c r="D309" t="s">
        <v>45</v>
      </c>
      <c r="E309">
        <v>692</v>
      </c>
      <c r="F309">
        <v>63</v>
      </c>
      <c r="G309">
        <v>3</v>
      </c>
      <c r="H309">
        <v>9319.41</v>
      </c>
      <c r="I309">
        <v>29865.29</v>
      </c>
      <c r="J309">
        <v>13</v>
      </c>
      <c r="K309">
        <v>0</v>
      </c>
      <c r="L309">
        <v>3.6</v>
      </c>
      <c r="M309">
        <v>5.1</v>
      </c>
      <c r="N309" t="s">
        <v>46</v>
      </c>
      <c r="O309" t="s">
        <v>47</v>
      </c>
      <c r="P309" t="s">
        <v>66</v>
      </c>
      <c r="R309">
        <f>SUMIF(A309:A5308,"C00308",I309:I5308)</f>
        <v>29865.29</v>
      </c>
      <c r="S309" s="1">
        <v>29865.29</v>
      </c>
      <c r="T309">
        <f t="shared" si="29"/>
        <v>2297.33</v>
      </c>
      <c r="U309">
        <f t="shared" si="30"/>
        <v>66.3</v>
      </c>
      <c r="V309">
        <f t="shared" si="33"/>
        <v>5.525</v>
      </c>
      <c r="W309">
        <f t="shared" si="31"/>
        <v>13061.9</v>
      </c>
      <c r="X309">
        <f t="shared" si="35"/>
        <v>0.0742536276438101</v>
      </c>
      <c r="AH309" t="str">
        <f t="shared" si="34"/>
        <v>2nd Quality</v>
      </c>
      <c r="AJ309">
        <f>((T309-X309)*2)/3.6</f>
        <v>1276.25319242909</v>
      </c>
      <c r="AK309">
        <f t="shared" si="32"/>
        <v>1589752.36</v>
      </c>
    </row>
    <row r="310" spans="1:37">
      <c r="A310" t="s">
        <v>373</v>
      </c>
      <c r="B310">
        <v>41</v>
      </c>
      <c r="C310" t="s">
        <v>50</v>
      </c>
      <c r="D310" t="s">
        <v>51</v>
      </c>
      <c r="E310">
        <v>810</v>
      </c>
      <c r="F310">
        <v>7</v>
      </c>
      <c r="G310">
        <v>7</v>
      </c>
      <c r="H310">
        <v>1404.29</v>
      </c>
      <c r="I310">
        <v>10943.6</v>
      </c>
      <c r="J310">
        <v>31</v>
      </c>
      <c r="K310">
        <v>0</v>
      </c>
      <c r="L310">
        <v>30.1</v>
      </c>
      <c r="M310">
        <v>23.1</v>
      </c>
      <c r="N310" t="s">
        <v>61</v>
      </c>
      <c r="O310" t="s">
        <v>47</v>
      </c>
      <c r="P310" t="s">
        <v>58</v>
      </c>
      <c r="R310">
        <f>SUMIF(A310:A5309,"C00309",I310:I5309)</f>
        <v>10943.6</v>
      </c>
      <c r="S310" s="1">
        <v>10943.6</v>
      </c>
      <c r="T310">
        <f t="shared" si="29"/>
        <v>353.01935483871</v>
      </c>
      <c r="U310">
        <f t="shared" si="30"/>
        <v>716.1</v>
      </c>
      <c r="V310">
        <f t="shared" si="33"/>
        <v>59.675</v>
      </c>
      <c r="W310">
        <f t="shared" si="31"/>
        <v>4116.29666666667</v>
      </c>
      <c r="X310">
        <f t="shared" si="35"/>
        <v>0.576803936508841</v>
      </c>
      <c r="AH310" t="str">
        <f t="shared" si="34"/>
        <v>3rd Quality</v>
      </c>
      <c r="AJ310">
        <f>((T310-X310)*2)/30.1</f>
        <v>23.4181096944984</v>
      </c>
      <c r="AK310">
        <f t="shared" si="32"/>
        <v>285945.677419355</v>
      </c>
    </row>
    <row r="311" spans="1:37">
      <c r="A311" t="s">
        <v>374</v>
      </c>
      <c r="B311">
        <v>31</v>
      </c>
      <c r="C311" t="s">
        <v>44</v>
      </c>
      <c r="D311" t="s">
        <v>45</v>
      </c>
      <c r="E311">
        <v>1332</v>
      </c>
      <c r="F311">
        <v>2</v>
      </c>
      <c r="G311">
        <v>18</v>
      </c>
      <c r="H311">
        <v>22794</v>
      </c>
      <c r="I311">
        <v>38780.33</v>
      </c>
      <c r="J311">
        <v>45</v>
      </c>
      <c r="K311">
        <v>2</v>
      </c>
      <c r="L311">
        <v>15</v>
      </c>
      <c r="M311">
        <v>30.9</v>
      </c>
      <c r="N311" t="s">
        <v>63</v>
      </c>
      <c r="O311" t="s">
        <v>47</v>
      </c>
      <c r="P311" t="s">
        <v>68</v>
      </c>
      <c r="R311">
        <f>SUMIF(A311:A5310,"C00310",I311:I5310)</f>
        <v>38780.33</v>
      </c>
      <c r="S311" s="1">
        <v>38780.33</v>
      </c>
      <c r="T311">
        <f t="shared" si="29"/>
        <v>861.785111111111</v>
      </c>
      <c r="U311">
        <f t="shared" si="30"/>
        <v>1390.5</v>
      </c>
      <c r="V311">
        <f>U311*2</f>
        <v>2781</v>
      </c>
      <c r="W311">
        <f t="shared" si="31"/>
        <v>20525.11</v>
      </c>
      <c r="X311">
        <f t="shared" si="35"/>
        <v>0.058436430639642</v>
      </c>
      <c r="AH311" t="str">
        <f t="shared" si="34"/>
        <v>1st Quality</v>
      </c>
      <c r="AJ311">
        <f>((T311-X311)*2)/15</f>
        <v>114.896889957396</v>
      </c>
      <c r="AK311">
        <f t="shared" si="32"/>
        <v>1147897.768</v>
      </c>
    </row>
    <row r="312" spans="1:37">
      <c r="A312" t="s">
        <v>375</v>
      </c>
      <c r="B312">
        <v>37</v>
      </c>
      <c r="C312" t="s">
        <v>44</v>
      </c>
      <c r="D312" t="s">
        <v>45</v>
      </c>
      <c r="E312">
        <v>709</v>
      </c>
      <c r="F312">
        <v>20</v>
      </c>
      <c r="G312">
        <v>11</v>
      </c>
      <c r="H312">
        <v>1458.16</v>
      </c>
      <c r="I312">
        <v>17105.17</v>
      </c>
      <c r="J312">
        <v>50</v>
      </c>
      <c r="K312">
        <v>0</v>
      </c>
      <c r="L312">
        <v>14.9</v>
      </c>
      <c r="M312">
        <v>33.4</v>
      </c>
      <c r="N312" t="s">
        <v>81</v>
      </c>
      <c r="O312" t="s">
        <v>47</v>
      </c>
      <c r="P312" t="s">
        <v>58</v>
      </c>
      <c r="R312">
        <f>SUMIF(A312:A5311,"C00311",I312:I5311)</f>
        <v>17105.17</v>
      </c>
      <c r="S312" s="1">
        <v>17105.17</v>
      </c>
      <c r="T312">
        <f t="shared" si="29"/>
        <v>342.1034</v>
      </c>
      <c r="U312">
        <f t="shared" si="30"/>
        <v>1670</v>
      </c>
      <c r="V312">
        <f t="shared" si="33"/>
        <v>139.166666666667</v>
      </c>
      <c r="W312">
        <f t="shared" si="31"/>
        <v>6188.11</v>
      </c>
      <c r="X312">
        <f t="shared" si="35"/>
        <v>0.486229220387337</v>
      </c>
      <c r="AH312" t="str">
        <f t="shared" si="34"/>
        <v>3rd Quality</v>
      </c>
      <c r="AJ312">
        <f>((T312-X312)*2)/14.9</f>
        <v>45.8546537959212</v>
      </c>
      <c r="AK312">
        <f t="shared" si="32"/>
        <v>242551.3106</v>
      </c>
    </row>
    <row r="313" spans="1:37">
      <c r="A313" t="s">
        <v>376</v>
      </c>
      <c r="B313">
        <v>34</v>
      </c>
      <c r="C313" t="s">
        <v>50</v>
      </c>
      <c r="D313" t="s">
        <v>60</v>
      </c>
      <c r="E313">
        <v>1334</v>
      </c>
      <c r="F313">
        <v>57</v>
      </c>
      <c r="G313">
        <v>7</v>
      </c>
      <c r="H313">
        <v>1511.29</v>
      </c>
      <c r="I313">
        <v>10178</v>
      </c>
      <c r="J313">
        <v>17</v>
      </c>
      <c r="K313">
        <v>2</v>
      </c>
      <c r="L313">
        <v>27</v>
      </c>
      <c r="M313">
        <v>28.8</v>
      </c>
      <c r="N313" t="s">
        <v>63</v>
      </c>
      <c r="O313" t="s">
        <v>47</v>
      </c>
      <c r="P313" t="s">
        <v>66</v>
      </c>
      <c r="R313">
        <f>SUMIF(A313:A5312,"C00312",I313:I5312)</f>
        <v>10178</v>
      </c>
      <c r="S313" s="1">
        <v>10178</v>
      </c>
      <c r="T313">
        <f t="shared" si="29"/>
        <v>598.705882352941</v>
      </c>
      <c r="U313">
        <f t="shared" si="30"/>
        <v>489.6</v>
      </c>
      <c r="V313">
        <f>U313*2</f>
        <v>979.2</v>
      </c>
      <c r="W313">
        <f t="shared" si="31"/>
        <v>3896.76333333333</v>
      </c>
      <c r="X313">
        <f t="shared" si="35"/>
        <v>0.882689622772598</v>
      </c>
      <c r="AH313" t="str">
        <f t="shared" si="34"/>
        <v>3rd Quality</v>
      </c>
      <c r="AJ313">
        <f>((T313-X313)*2)/27</f>
        <v>44.283199461494</v>
      </c>
      <c r="AK313">
        <f t="shared" si="32"/>
        <v>798673.647058824</v>
      </c>
    </row>
    <row r="314" spans="1:37">
      <c r="A314" t="s">
        <v>377</v>
      </c>
      <c r="B314">
        <v>25</v>
      </c>
      <c r="C314" t="s">
        <v>50</v>
      </c>
      <c r="D314" t="s">
        <v>45</v>
      </c>
      <c r="E314">
        <v>958</v>
      </c>
      <c r="F314">
        <v>69</v>
      </c>
      <c r="G314">
        <v>12</v>
      </c>
      <c r="H314">
        <v>2102.39</v>
      </c>
      <c r="I314">
        <v>26951.67</v>
      </c>
      <c r="J314">
        <v>30</v>
      </c>
      <c r="K314">
        <v>0</v>
      </c>
      <c r="L314">
        <v>18.2</v>
      </c>
      <c r="M314">
        <v>15.3</v>
      </c>
      <c r="N314" t="s">
        <v>63</v>
      </c>
      <c r="O314" t="s">
        <v>47</v>
      </c>
      <c r="P314" t="s">
        <v>54</v>
      </c>
      <c r="R314">
        <f>SUMIF(A314:A5313,"C00313",I314:I5313)</f>
        <v>26951.67</v>
      </c>
      <c r="S314" s="1">
        <v>26951.67</v>
      </c>
      <c r="T314">
        <f t="shared" si="29"/>
        <v>898.389</v>
      </c>
      <c r="U314">
        <f t="shared" si="30"/>
        <v>459</v>
      </c>
      <c r="V314">
        <f t="shared" si="33"/>
        <v>38.25</v>
      </c>
      <c r="W314">
        <f t="shared" si="31"/>
        <v>9685.02</v>
      </c>
      <c r="X314">
        <f t="shared" si="35"/>
        <v>0.455671878195768</v>
      </c>
      <c r="AH314" t="str">
        <f t="shared" si="34"/>
        <v>2nd Quality</v>
      </c>
      <c r="AJ314">
        <f>((T314-X314)*2)/18.2</f>
        <v>98.6739921012972</v>
      </c>
      <c r="AK314">
        <f t="shared" si="32"/>
        <v>860656.662</v>
      </c>
    </row>
    <row r="315" spans="1:37">
      <c r="A315" t="s">
        <v>378</v>
      </c>
      <c r="B315">
        <v>44</v>
      </c>
      <c r="C315" t="s">
        <v>44</v>
      </c>
      <c r="D315" t="s">
        <v>60</v>
      </c>
      <c r="E315">
        <v>943</v>
      </c>
      <c r="F315">
        <v>6</v>
      </c>
      <c r="G315">
        <v>15</v>
      </c>
      <c r="H315">
        <v>1448.34</v>
      </c>
      <c r="I315">
        <v>22091.47</v>
      </c>
      <c r="J315">
        <v>57</v>
      </c>
      <c r="K315">
        <v>0</v>
      </c>
      <c r="L315">
        <v>25.9</v>
      </c>
      <c r="M315">
        <v>56.2</v>
      </c>
      <c r="N315" t="s">
        <v>46</v>
      </c>
      <c r="O315" t="s">
        <v>75</v>
      </c>
      <c r="P315" t="s">
        <v>58</v>
      </c>
      <c r="R315">
        <f>SUMIF(A315:A5314,"C00314",I315:I5314)</f>
        <v>22091.47</v>
      </c>
      <c r="S315" s="1">
        <v>22091.47</v>
      </c>
      <c r="T315">
        <f t="shared" si="29"/>
        <v>387.569649122807</v>
      </c>
      <c r="U315">
        <f t="shared" si="30"/>
        <v>3203.4</v>
      </c>
      <c r="V315">
        <f t="shared" si="33"/>
        <v>266.95</v>
      </c>
      <c r="W315">
        <f t="shared" si="31"/>
        <v>7846.93666666667</v>
      </c>
      <c r="X315">
        <f t="shared" si="35"/>
        <v>0.651090213623873</v>
      </c>
      <c r="AH315" t="str">
        <f t="shared" si="34"/>
        <v>3rd Quality</v>
      </c>
      <c r="AJ315">
        <f>((T315-X315)*2)/25.9</f>
        <v>29.8778809968481</v>
      </c>
      <c r="AK315">
        <f t="shared" si="32"/>
        <v>365478.179122807</v>
      </c>
    </row>
    <row r="316" spans="1:37">
      <c r="A316" t="s">
        <v>379</v>
      </c>
      <c r="B316">
        <v>37</v>
      </c>
      <c r="C316" t="s">
        <v>50</v>
      </c>
      <c r="D316" t="s">
        <v>45</v>
      </c>
      <c r="E316">
        <v>1391</v>
      </c>
      <c r="F316">
        <v>41</v>
      </c>
      <c r="G316">
        <v>11</v>
      </c>
      <c r="H316">
        <v>107502</v>
      </c>
      <c r="I316">
        <v>11956.7</v>
      </c>
      <c r="J316">
        <v>87</v>
      </c>
      <c r="K316">
        <v>0</v>
      </c>
      <c r="L316">
        <v>23.3</v>
      </c>
      <c r="M316">
        <v>26.1</v>
      </c>
      <c r="N316" t="s">
        <v>78</v>
      </c>
      <c r="O316" t="s">
        <v>75</v>
      </c>
      <c r="P316" t="s">
        <v>58</v>
      </c>
      <c r="R316">
        <f>SUMIF(A316:A5315,"C00315",I316:I5315)</f>
        <v>11956.7</v>
      </c>
      <c r="S316" s="1">
        <v>11956.7</v>
      </c>
      <c r="T316">
        <f t="shared" si="29"/>
        <v>137.433333333333</v>
      </c>
      <c r="U316">
        <f t="shared" si="30"/>
        <v>2270.7</v>
      </c>
      <c r="V316">
        <f t="shared" si="33"/>
        <v>189.225</v>
      </c>
      <c r="W316">
        <f t="shared" si="31"/>
        <v>39819.9</v>
      </c>
      <c r="X316">
        <f t="shared" si="35"/>
        <v>0.0129392941526669</v>
      </c>
      <c r="AH316" t="str">
        <f t="shared" si="34"/>
        <v>2nd Quality</v>
      </c>
      <c r="AJ316">
        <f>((T316-X316)*2)/23.3</f>
        <v>11.795741977612</v>
      </c>
      <c r="AK316">
        <f t="shared" si="32"/>
        <v>191169.766666667</v>
      </c>
    </row>
    <row r="317" spans="1:37">
      <c r="A317" t="s">
        <v>380</v>
      </c>
      <c r="B317">
        <v>26</v>
      </c>
      <c r="C317" t="s">
        <v>44</v>
      </c>
      <c r="D317" t="s">
        <v>60</v>
      </c>
      <c r="E317">
        <v>1320</v>
      </c>
      <c r="F317">
        <v>67</v>
      </c>
      <c r="G317">
        <v>4</v>
      </c>
      <c r="H317">
        <v>809.14</v>
      </c>
      <c r="I317">
        <v>3476.41</v>
      </c>
      <c r="J317">
        <v>35</v>
      </c>
      <c r="K317">
        <v>1</v>
      </c>
      <c r="L317">
        <v>21.7</v>
      </c>
      <c r="M317">
        <v>44.7</v>
      </c>
      <c r="N317" t="s">
        <v>46</v>
      </c>
      <c r="O317" t="s">
        <v>53</v>
      </c>
      <c r="P317" t="s">
        <v>68</v>
      </c>
      <c r="R317">
        <f>SUMIF(A317:A5316,"C00316",I317:I5316)</f>
        <v>3476.41</v>
      </c>
      <c r="S317" s="1">
        <v>3476.41</v>
      </c>
      <c r="T317">
        <f t="shared" si="29"/>
        <v>99.326</v>
      </c>
      <c r="U317">
        <f t="shared" si="30"/>
        <v>1564.5</v>
      </c>
      <c r="V317">
        <f>U317*1</f>
        <v>1564.5</v>
      </c>
      <c r="W317">
        <f t="shared" si="31"/>
        <v>1428.85</v>
      </c>
      <c r="X317">
        <f t="shared" si="35"/>
        <v>1.63136169266134</v>
      </c>
      <c r="AH317" t="str">
        <f t="shared" si="34"/>
        <v>3rd Quality</v>
      </c>
      <c r="AJ317">
        <f>((T317-X317)*2)/21.7</f>
        <v>9.00411412970863</v>
      </c>
      <c r="AK317">
        <f t="shared" si="32"/>
        <v>131110.32</v>
      </c>
    </row>
    <row r="318" spans="1:37">
      <c r="A318" t="s">
        <v>381</v>
      </c>
      <c r="B318">
        <v>33</v>
      </c>
      <c r="C318" t="s">
        <v>44</v>
      </c>
      <c r="D318" t="s">
        <v>60</v>
      </c>
      <c r="E318">
        <v>1371</v>
      </c>
      <c r="F318">
        <v>24</v>
      </c>
      <c r="G318">
        <v>5</v>
      </c>
      <c r="H318">
        <v>754.73</v>
      </c>
      <c r="I318">
        <v>3951.32</v>
      </c>
      <c r="J318">
        <v>38</v>
      </c>
      <c r="K318">
        <v>0</v>
      </c>
      <c r="L318">
        <v>18.5</v>
      </c>
      <c r="M318">
        <v>34.9</v>
      </c>
      <c r="N318" t="s">
        <v>61</v>
      </c>
      <c r="O318" t="s">
        <v>47</v>
      </c>
      <c r="P318" t="s">
        <v>66</v>
      </c>
      <c r="R318">
        <f>SUMIF(A318:A5317,"C00317",I318:I5317)</f>
        <v>3951.32</v>
      </c>
      <c r="S318" s="1">
        <v>3951.32</v>
      </c>
      <c r="T318">
        <f t="shared" si="29"/>
        <v>103.982105263158</v>
      </c>
      <c r="U318">
        <f t="shared" si="30"/>
        <v>1326.2</v>
      </c>
      <c r="V318">
        <f t="shared" si="33"/>
        <v>110.516666666667</v>
      </c>
      <c r="W318">
        <f t="shared" si="31"/>
        <v>1569.01666666667</v>
      </c>
      <c r="X318">
        <f t="shared" si="35"/>
        <v>1.81654366462179</v>
      </c>
      <c r="AH318" t="str">
        <f t="shared" si="34"/>
        <v>3rd Quality</v>
      </c>
      <c r="AJ318">
        <f>((T318-X318)*2)/18.2</f>
        <v>11.2269847910479</v>
      </c>
      <c r="AK318">
        <f t="shared" si="32"/>
        <v>142559.466315789</v>
      </c>
    </row>
    <row r="319" spans="1:37">
      <c r="A319" t="s">
        <v>382</v>
      </c>
      <c r="B319">
        <v>50</v>
      </c>
      <c r="C319" t="s">
        <v>50</v>
      </c>
      <c r="D319" t="s">
        <v>60</v>
      </c>
      <c r="E319">
        <v>453</v>
      </c>
      <c r="F319">
        <v>115</v>
      </c>
      <c r="G319">
        <v>3</v>
      </c>
      <c r="H319">
        <v>960.99</v>
      </c>
      <c r="I319">
        <v>3208.69</v>
      </c>
      <c r="J319">
        <v>17</v>
      </c>
      <c r="K319">
        <v>0</v>
      </c>
      <c r="L319">
        <v>18.2</v>
      </c>
      <c r="M319">
        <v>13.7</v>
      </c>
      <c r="N319" t="s">
        <v>46</v>
      </c>
      <c r="O319" t="s">
        <v>47</v>
      </c>
      <c r="P319" t="s">
        <v>66</v>
      </c>
      <c r="R319">
        <f>SUMIF(A319:A5318,"C00318",I319:I5318)</f>
        <v>3208.69</v>
      </c>
      <c r="S319" s="1">
        <v>3208.69</v>
      </c>
      <c r="T319">
        <f t="shared" si="29"/>
        <v>188.746470588235</v>
      </c>
      <c r="U319">
        <f t="shared" si="30"/>
        <v>232.9</v>
      </c>
      <c r="V319">
        <f t="shared" si="33"/>
        <v>19.4083333333333</v>
      </c>
      <c r="W319">
        <f t="shared" si="31"/>
        <v>1390.22666666667</v>
      </c>
      <c r="X319">
        <f t="shared" si="35"/>
        <v>0.471388880217276</v>
      </c>
      <c r="AH319" t="str">
        <f t="shared" si="34"/>
        <v>3rd Quality</v>
      </c>
      <c r="AJ319">
        <f>((T319-X319)*2)/18.2</f>
        <v>20.6895694184635</v>
      </c>
      <c r="AK319">
        <f t="shared" si="32"/>
        <v>85502.1511764706</v>
      </c>
    </row>
    <row r="320" spans="1:37">
      <c r="A320" t="s">
        <v>383</v>
      </c>
      <c r="B320">
        <v>31</v>
      </c>
      <c r="C320" t="s">
        <v>50</v>
      </c>
      <c r="D320" t="s">
        <v>60</v>
      </c>
      <c r="E320">
        <v>493</v>
      </c>
      <c r="F320">
        <v>11</v>
      </c>
      <c r="G320">
        <v>8</v>
      </c>
      <c r="H320">
        <v>1824.89</v>
      </c>
      <c r="I320">
        <v>14117.94</v>
      </c>
      <c r="J320">
        <v>75</v>
      </c>
      <c r="K320">
        <v>0</v>
      </c>
      <c r="L320">
        <v>18.4</v>
      </c>
      <c r="M320">
        <v>19</v>
      </c>
      <c r="N320" t="s">
        <v>61</v>
      </c>
      <c r="O320" t="s">
        <v>75</v>
      </c>
      <c r="P320" t="s">
        <v>58</v>
      </c>
      <c r="R320">
        <f>SUMIF(A320:A5319,"C00319",I320:I5319)</f>
        <v>14117.94</v>
      </c>
      <c r="S320" s="1">
        <v>14117.94</v>
      </c>
      <c r="T320">
        <f t="shared" si="29"/>
        <v>188.2392</v>
      </c>
      <c r="U320">
        <f t="shared" si="30"/>
        <v>1425</v>
      </c>
      <c r="V320">
        <f t="shared" si="33"/>
        <v>118.75</v>
      </c>
      <c r="W320">
        <f t="shared" si="31"/>
        <v>5314.61</v>
      </c>
      <c r="X320">
        <f t="shared" si="35"/>
        <v>0.270153269512135</v>
      </c>
      <c r="AH320" t="str">
        <f t="shared" si="34"/>
        <v>3rd Quality</v>
      </c>
      <c r="AJ320">
        <f>((T320-X320)*2)/18.4</f>
        <v>20.4314181228791</v>
      </c>
      <c r="AK320">
        <f t="shared" si="32"/>
        <v>92801.9256</v>
      </c>
    </row>
    <row r="321" spans="1:37">
      <c r="A321" t="s">
        <v>384</v>
      </c>
      <c r="B321">
        <v>31</v>
      </c>
      <c r="C321" t="s">
        <v>50</v>
      </c>
      <c r="D321" t="s">
        <v>45</v>
      </c>
      <c r="E321">
        <v>507</v>
      </c>
      <c r="F321">
        <v>311</v>
      </c>
      <c r="G321">
        <v>1</v>
      </c>
      <c r="H321">
        <v>1212.09</v>
      </c>
      <c r="I321">
        <v>1344.46</v>
      </c>
      <c r="J321">
        <v>18</v>
      </c>
      <c r="K321">
        <v>1</v>
      </c>
      <c r="L321">
        <v>22.7</v>
      </c>
      <c r="M321">
        <v>20.2</v>
      </c>
      <c r="N321" t="s">
        <v>78</v>
      </c>
      <c r="O321" t="s">
        <v>75</v>
      </c>
      <c r="P321" t="s">
        <v>58</v>
      </c>
      <c r="R321">
        <f>SUMIF(A321:A5320,"C00320",I321:I5320)</f>
        <v>1344.46</v>
      </c>
      <c r="S321" s="1">
        <v>1344.46</v>
      </c>
      <c r="T321">
        <f t="shared" si="29"/>
        <v>74.6922222222222</v>
      </c>
      <c r="U321">
        <f t="shared" si="30"/>
        <v>363.6</v>
      </c>
      <c r="V321">
        <f>U321*1</f>
        <v>363.6</v>
      </c>
      <c r="W321">
        <f t="shared" si="31"/>
        <v>852.516666666667</v>
      </c>
      <c r="X321">
        <f t="shared" si="35"/>
        <v>0.4182857708586</v>
      </c>
      <c r="AH321" t="str">
        <f t="shared" si="34"/>
        <v>3rd Quality</v>
      </c>
      <c r="AJ321">
        <f>((T321-X321)*2)/22.7</f>
        <v>6.54395915871045</v>
      </c>
      <c r="AK321">
        <f t="shared" si="32"/>
        <v>37868.9566666667</v>
      </c>
    </row>
    <row r="322" spans="1:37">
      <c r="A322" t="s">
        <v>385</v>
      </c>
      <c r="B322">
        <v>49</v>
      </c>
      <c r="C322" t="s">
        <v>44</v>
      </c>
      <c r="D322" t="s">
        <v>45</v>
      </c>
      <c r="E322">
        <v>953</v>
      </c>
      <c r="F322">
        <v>176</v>
      </c>
      <c r="G322">
        <v>2</v>
      </c>
      <c r="H322">
        <v>1873.16</v>
      </c>
      <c r="I322">
        <v>4040.91</v>
      </c>
      <c r="J322">
        <v>21</v>
      </c>
      <c r="K322">
        <v>0</v>
      </c>
      <c r="L322">
        <v>21.1</v>
      </c>
      <c r="M322">
        <v>32.9</v>
      </c>
      <c r="N322" t="s">
        <v>78</v>
      </c>
      <c r="O322" t="s">
        <v>53</v>
      </c>
      <c r="P322" t="s">
        <v>66</v>
      </c>
      <c r="R322">
        <f>SUMIF(A322:A5321,"C00321",I322:I5321)</f>
        <v>4040.91</v>
      </c>
      <c r="S322" s="1">
        <v>4040.91</v>
      </c>
      <c r="T322">
        <f t="shared" si="29"/>
        <v>192.424285714286</v>
      </c>
      <c r="U322">
        <f t="shared" si="30"/>
        <v>690.9</v>
      </c>
      <c r="V322">
        <f t="shared" si="33"/>
        <v>57.575</v>
      </c>
      <c r="W322">
        <f t="shared" si="31"/>
        <v>1971.69</v>
      </c>
      <c r="X322">
        <f t="shared" si="35"/>
        <v>0.508765935638173</v>
      </c>
      <c r="AH322" t="str">
        <f t="shared" si="34"/>
        <v>3rd Quality</v>
      </c>
      <c r="AJ322">
        <f>((T322-X322)*2)/21.1</f>
        <v>18.1910445287818</v>
      </c>
      <c r="AK322">
        <f t="shared" si="32"/>
        <v>183380.344285714</v>
      </c>
    </row>
    <row r="323" spans="1:37">
      <c r="A323" t="s">
        <v>386</v>
      </c>
      <c r="B323">
        <v>59</v>
      </c>
      <c r="C323" t="s">
        <v>44</v>
      </c>
      <c r="D323" t="s">
        <v>45</v>
      </c>
      <c r="E323">
        <v>813</v>
      </c>
      <c r="F323">
        <v>27</v>
      </c>
      <c r="G323">
        <v>8</v>
      </c>
      <c r="H323">
        <v>1263.52</v>
      </c>
      <c r="I323">
        <v>10092.48</v>
      </c>
      <c r="J323">
        <v>55</v>
      </c>
      <c r="K323">
        <v>0</v>
      </c>
      <c r="L323">
        <v>17</v>
      </c>
      <c r="M323">
        <v>31.9</v>
      </c>
      <c r="N323" t="s">
        <v>46</v>
      </c>
      <c r="O323" t="s">
        <v>47</v>
      </c>
      <c r="P323" t="s">
        <v>58</v>
      </c>
      <c r="R323">
        <f>SUMIF(A323:A5322,"C00322",I323:I5322)</f>
        <v>10092.48</v>
      </c>
      <c r="S323" s="1">
        <v>10092.48</v>
      </c>
      <c r="T323">
        <f t="shared" ref="T323:T386" si="36">I323/J323</f>
        <v>183.499636363636</v>
      </c>
      <c r="U323">
        <f t="shared" ref="U323:U386" si="37">J323*M323</f>
        <v>1754.5</v>
      </c>
      <c r="V323">
        <f t="shared" ref="V323:V386" si="38">U323/12</f>
        <v>146.208333333333</v>
      </c>
      <c r="W323">
        <f t="shared" ref="W323:W386" si="39">(H323+I323+1)/3</f>
        <v>3785.66666666667</v>
      </c>
      <c r="X323">
        <f t="shared" si="35"/>
        <v>0.643440547043181</v>
      </c>
      <c r="AH323" t="str">
        <f t="shared" si="34"/>
        <v>3rd Quality</v>
      </c>
      <c r="AJ323">
        <f>((T323-X323)*2)/17</f>
        <v>21.5124936254815</v>
      </c>
      <c r="AK323">
        <f t="shared" ref="AK323:AK386" si="40">I323/J323*E323</f>
        <v>149185.204363636</v>
      </c>
    </row>
    <row r="324" spans="1:37">
      <c r="A324" t="s">
        <v>387</v>
      </c>
      <c r="B324">
        <v>23</v>
      </c>
      <c r="C324" t="s">
        <v>44</v>
      </c>
      <c r="D324" t="s">
        <v>51</v>
      </c>
      <c r="E324">
        <v>609</v>
      </c>
      <c r="F324">
        <v>42</v>
      </c>
      <c r="G324">
        <v>8</v>
      </c>
      <c r="H324">
        <v>1773.66</v>
      </c>
      <c r="I324">
        <v>14192.05</v>
      </c>
      <c r="J324">
        <v>74</v>
      </c>
      <c r="K324">
        <v>1</v>
      </c>
      <c r="L324">
        <v>30.6</v>
      </c>
      <c r="M324">
        <v>36.4</v>
      </c>
      <c r="N324" t="s">
        <v>57</v>
      </c>
      <c r="O324" t="s">
        <v>47</v>
      </c>
      <c r="P324" t="s">
        <v>66</v>
      </c>
      <c r="R324">
        <f>SUMIF(A324:A5323,"C00323",I324:I5323)</f>
        <v>14192.05</v>
      </c>
      <c r="S324" s="1">
        <v>14192.05</v>
      </c>
      <c r="T324">
        <f t="shared" si="36"/>
        <v>191.784459459459</v>
      </c>
      <c r="U324">
        <f t="shared" si="37"/>
        <v>2693.6</v>
      </c>
      <c r="V324">
        <f>U324*1</f>
        <v>2693.6</v>
      </c>
      <c r="W324">
        <f t="shared" si="39"/>
        <v>5322.23666666667</v>
      </c>
      <c r="X324">
        <f t="shared" si="35"/>
        <v>0.343357802510064</v>
      </c>
      <c r="AH324" t="str">
        <f t="shared" si="34"/>
        <v>3rd Quality</v>
      </c>
      <c r="AJ324">
        <f>((T324-X324)*2)/30.6</f>
        <v>12.5124903043757</v>
      </c>
      <c r="AK324">
        <f t="shared" si="40"/>
        <v>116796.735810811</v>
      </c>
    </row>
    <row r="325" spans="1:37">
      <c r="A325" t="s">
        <v>388</v>
      </c>
      <c r="B325">
        <v>32</v>
      </c>
      <c r="C325" t="s">
        <v>44</v>
      </c>
      <c r="D325" t="s">
        <v>45</v>
      </c>
      <c r="E325">
        <v>1124</v>
      </c>
      <c r="F325">
        <v>4</v>
      </c>
      <c r="G325">
        <v>1</v>
      </c>
      <c r="H325">
        <v>13202.43</v>
      </c>
      <c r="I325">
        <v>14476.06</v>
      </c>
      <c r="J325">
        <v>18</v>
      </c>
      <c r="K325">
        <v>0</v>
      </c>
      <c r="L325">
        <v>9.4</v>
      </c>
      <c r="M325">
        <v>22</v>
      </c>
      <c r="N325" t="s">
        <v>57</v>
      </c>
      <c r="O325" t="s">
        <v>47</v>
      </c>
      <c r="P325" t="s">
        <v>68</v>
      </c>
      <c r="R325">
        <f>SUMIF(A325:A5324,"C00324",I325:I5324)</f>
        <v>14476.06</v>
      </c>
      <c r="S325" s="1">
        <v>14476.06</v>
      </c>
      <c r="T325">
        <f t="shared" si="36"/>
        <v>804.225555555556</v>
      </c>
      <c r="U325">
        <f t="shared" si="37"/>
        <v>396</v>
      </c>
      <c r="V325">
        <f t="shared" si="38"/>
        <v>33</v>
      </c>
      <c r="W325">
        <f t="shared" si="39"/>
        <v>9226.49666666667</v>
      </c>
      <c r="X325">
        <f t="shared" si="35"/>
        <v>0.0851358424168884</v>
      </c>
      <c r="AH325" t="str">
        <f t="shared" si="34"/>
        <v>2nd Quality</v>
      </c>
      <c r="AJ325">
        <f>((T325-X325)*2)/9.4</f>
        <v>171.093706321944</v>
      </c>
      <c r="AK325">
        <f t="shared" si="40"/>
        <v>903949.524444444</v>
      </c>
    </row>
    <row r="326" spans="1:37">
      <c r="A326" t="s">
        <v>389</v>
      </c>
      <c r="B326">
        <v>32</v>
      </c>
      <c r="C326" t="s">
        <v>44</v>
      </c>
      <c r="D326" t="s">
        <v>51</v>
      </c>
      <c r="E326">
        <v>615</v>
      </c>
      <c r="F326">
        <v>56</v>
      </c>
      <c r="G326">
        <v>6</v>
      </c>
      <c r="H326">
        <v>359.27</v>
      </c>
      <c r="I326">
        <v>2200.86</v>
      </c>
      <c r="J326">
        <v>37</v>
      </c>
      <c r="K326">
        <v>0</v>
      </c>
      <c r="L326">
        <v>34.2</v>
      </c>
      <c r="M326">
        <v>37.3</v>
      </c>
      <c r="N326" t="s">
        <v>61</v>
      </c>
      <c r="O326" t="s">
        <v>47</v>
      </c>
      <c r="P326" t="s">
        <v>68</v>
      </c>
      <c r="R326">
        <f>SUMIF(A326:A5325,"C00325",I326:I5325)</f>
        <v>2200.86</v>
      </c>
      <c r="S326" s="1">
        <v>2200.86</v>
      </c>
      <c r="T326">
        <f t="shared" si="36"/>
        <v>59.4827027027027</v>
      </c>
      <c r="U326">
        <f t="shared" si="37"/>
        <v>1380.1</v>
      </c>
      <c r="V326">
        <f t="shared" si="38"/>
        <v>115.008333333333</v>
      </c>
      <c r="W326">
        <f t="shared" si="39"/>
        <v>853.71</v>
      </c>
      <c r="X326">
        <f t="shared" si="35"/>
        <v>1.71180449244301</v>
      </c>
      <c r="AH326" t="str">
        <f t="shared" si="34"/>
        <v>3rd Quality</v>
      </c>
      <c r="AJ326">
        <f>((T326-X326)*2)/34.2</f>
        <v>3.37841510001519</v>
      </c>
      <c r="AK326">
        <f t="shared" si="40"/>
        <v>36581.8621621622</v>
      </c>
    </row>
    <row r="327" spans="1:37">
      <c r="A327" t="s">
        <v>390</v>
      </c>
      <c r="B327">
        <v>44</v>
      </c>
      <c r="C327" t="s">
        <v>44</v>
      </c>
      <c r="D327" t="s">
        <v>51</v>
      </c>
      <c r="E327">
        <v>1428</v>
      </c>
      <c r="F327">
        <v>56</v>
      </c>
      <c r="G327">
        <v>7</v>
      </c>
      <c r="H327">
        <v>14062.38</v>
      </c>
      <c r="I327">
        <v>94604.69</v>
      </c>
      <c r="J327">
        <v>68</v>
      </c>
      <c r="K327">
        <v>1</v>
      </c>
      <c r="L327">
        <v>0</v>
      </c>
      <c r="M327">
        <v>28.3</v>
      </c>
      <c r="N327" t="s">
        <v>63</v>
      </c>
      <c r="O327" t="s">
        <v>47</v>
      </c>
      <c r="P327" t="s">
        <v>68</v>
      </c>
      <c r="R327">
        <f>SUMIF(A327:A5326,"C00326",I327:I5326)</f>
        <v>94604.69</v>
      </c>
      <c r="S327" s="1">
        <v>94604.69</v>
      </c>
      <c r="T327">
        <f t="shared" si="36"/>
        <v>1391.24544117647</v>
      </c>
      <c r="U327">
        <f t="shared" si="37"/>
        <v>1924.4</v>
      </c>
      <c r="V327">
        <f>U327*1</f>
        <v>1924.4</v>
      </c>
      <c r="W327">
        <f t="shared" si="39"/>
        <v>36222.69</v>
      </c>
      <c r="X327">
        <f t="shared" si="35"/>
        <v>0.101547533205617</v>
      </c>
      <c r="AH327" t="str">
        <f t="shared" si="34"/>
        <v>3rd Quality</v>
      </c>
      <c r="AJ327">
        <f>((T327-X327)*2)</f>
        <v>2782.28778728653</v>
      </c>
      <c r="AK327">
        <f t="shared" si="40"/>
        <v>1986698.49</v>
      </c>
    </row>
    <row r="328" spans="1:37">
      <c r="A328" t="s">
        <v>391</v>
      </c>
      <c r="B328">
        <v>52</v>
      </c>
      <c r="C328" t="s">
        <v>44</v>
      </c>
      <c r="D328" t="s">
        <v>45</v>
      </c>
      <c r="E328">
        <v>759</v>
      </c>
      <c r="F328">
        <v>16</v>
      </c>
      <c r="G328">
        <v>5</v>
      </c>
      <c r="H328">
        <v>935.49</v>
      </c>
      <c r="I328">
        <v>4162.6</v>
      </c>
      <c r="J328">
        <v>39</v>
      </c>
      <c r="K328">
        <v>1</v>
      </c>
      <c r="L328">
        <v>42.6</v>
      </c>
      <c r="M328">
        <v>13.5</v>
      </c>
      <c r="N328" t="s">
        <v>52</v>
      </c>
      <c r="O328" t="s">
        <v>47</v>
      </c>
      <c r="P328" t="s">
        <v>58</v>
      </c>
      <c r="R328">
        <f>SUMIF(A328:A5327,"C00327",I328:I5327)</f>
        <v>4162.6</v>
      </c>
      <c r="S328" s="1">
        <v>4162.6</v>
      </c>
      <c r="T328">
        <f t="shared" si="36"/>
        <v>106.733333333333</v>
      </c>
      <c r="U328">
        <f t="shared" si="37"/>
        <v>526.5</v>
      </c>
      <c r="V328">
        <f>U328*1</f>
        <v>526.5</v>
      </c>
      <c r="W328">
        <f t="shared" si="39"/>
        <v>1699.69666666667</v>
      </c>
      <c r="X328">
        <f t="shared" si="35"/>
        <v>0.811339511913543</v>
      </c>
      <c r="AH328" t="str">
        <f t="shared" si="34"/>
        <v>3rd Quality</v>
      </c>
      <c r="AJ328">
        <f>((T328-X328)*2)/42.6</f>
        <v>4.97286355969105</v>
      </c>
      <c r="AK328">
        <f t="shared" si="40"/>
        <v>81010.6</v>
      </c>
    </row>
    <row r="329" spans="1:37">
      <c r="A329" t="s">
        <v>392</v>
      </c>
      <c r="B329">
        <v>31</v>
      </c>
      <c r="C329" t="s">
        <v>50</v>
      </c>
      <c r="D329" t="s">
        <v>60</v>
      </c>
      <c r="E329">
        <v>879</v>
      </c>
      <c r="F329">
        <v>6</v>
      </c>
      <c r="G329">
        <v>5</v>
      </c>
      <c r="H329">
        <v>7763.06</v>
      </c>
      <c r="I329">
        <v>36948.72</v>
      </c>
      <c r="J329">
        <v>27</v>
      </c>
      <c r="K329">
        <v>0</v>
      </c>
      <c r="L329">
        <v>10.3</v>
      </c>
      <c r="M329">
        <v>18.3</v>
      </c>
      <c r="N329" t="s">
        <v>81</v>
      </c>
      <c r="O329" t="s">
        <v>47</v>
      </c>
      <c r="P329" t="s">
        <v>54</v>
      </c>
      <c r="R329">
        <f>SUMIF(A329:A5328,"C00328",I329:I5328)</f>
        <v>36948.72</v>
      </c>
      <c r="S329" s="1">
        <v>36948.72</v>
      </c>
      <c r="T329">
        <f t="shared" si="36"/>
        <v>1368.47111111111</v>
      </c>
      <c r="U329">
        <f t="shared" si="37"/>
        <v>494.1</v>
      </c>
      <c r="V329">
        <f t="shared" si="38"/>
        <v>41.175</v>
      </c>
      <c r="W329">
        <f t="shared" si="39"/>
        <v>14904.26</v>
      </c>
      <c r="X329">
        <f t="shared" si="35"/>
        <v>0.11322854647523</v>
      </c>
      <c r="AH329" t="str">
        <f t="shared" si="34"/>
        <v>2nd Quality</v>
      </c>
      <c r="AJ329">
        <f>((T329-X329)*2)/10.3</f>
        <v>265.700559721288</v>
      </c>
      <c r="AK329">
        <f t="shared" si="40"/>
        <v>1202886.10666667</v>
      </c>
    </row>
    <row r="330" spans="1:37">
      <c r="A330" t="s">
        <v>393</v>
      </c>
      <c r="B330">
        <v>18</v>
      </c>
      <c r="C330" t="s">
        <v>50</v>
      </c>
      <c r="D330" t="s">
        <v>51</v>
      </c>
      <c r="E330">
        <v>433</v>
      </c>
      <c r="F330">
        <v>19</v>
      </c>
      <c r="G330">
        <v>3</v>
      </c>
      <c r="H330">
        <v>7845.78</v>
      </c>
      <c r="I330">
        <v>21940.61</v>
      </c>
      <c r="J330">
        <v>11</v>
      </c>
      <c r="K330">
        <v>0</v>
      </c>
      <c r="L330">
        <v>17.7</v>
      </c>
      <c r="M330">
        <v>35.1</v>
      </c>
      <c r="N330" t="s">
        <v>46</v>
      </c>
      <c r="O330" t="s">
        <v>47</v>
      </c>
      <c r="P330" t="s">
        <v>68</v>
      </c>
      <c r="R330">
        <f>SUMIF(A330:A5329,"C00329",I330:I5329)</f>
        <v>21940.61</v>
      </c>
      <c r="S330" s="1">
        <v>21940.61</v>
      </c>
      <c r="T330">
        <f t="shared" si="36"/>
        <v>1994.60090909091</v>
      </c>
      <c r="U330">
        <f t="shared" si="37"/>
        <v>386.1</v>
      </c>
      <c r="V330">
        <f t="shared" si="38"/>
        <v>32.175</v>
      </c>
      <c r="W330">
        <f t="shared" si="39"/>
        <v>9929.13</v>
      </c>
      <c r="X330">
        <f t="shared" si="35"/>
        <v>0.0551889040987639</v>
      </c>
      <c r="AH330" t="str">
        <f t="shared" si="34"/>
        <v>3rd Quality</v>
      </c>
      <c r="AJ330">
        <f>((T330-X330)*2)/17.7</f>
        <v>225.372397761222</v>
      </c>
      <c r="AK330">
        <f t="shared" si="40"/>
        <v>863662.193636364</v>
      </c>
    </row>
    <row r="331" spans="1:37">
      <c r="A331" t="s">
        <v>394</v>
      </c>
      <c r="B331">
        <v>33</v>
      </c>
      <c r="C331" t="s">
        <v>50</v>
      </c>
      <c r="D331" t="s">
        <v>45</v>
      </c>
      <c r="E331">
        <v>378</v>
      </c>
      <c r="F331">
        <v>34</v>
      </c>
      <c r="G331">
        <v>12</v>
      </c>
      <c r="H331">
        <v>1366.39</v>
      </c>
      <c r="I331">
        <v>14936.84</v>
      </c>
      <c r="J331">
        <v>99</v>
      </c>
      <c r="K331">
        <v>0</v>
      </c>
      <c r="L331">
        <v>18.6</v>
      </c>
      <c r="M331">
        <v>11.5</v>
      </c>
      <c r="N331" t="s">
        <v>81</v>
      </c>
      <c r="O331" t="s">
        <v>47</v>
      </c>
      <c r="P331" t="s">
        <v>68</v>
      </c>
      <c r="R331">
        <f>SUMIF(A331:A5330,"C00330",I331:I5330)</f>
        <v>14936.84</v>
      </c>
      <c r="S331" s="1">
        <v>14936.84</v>
      </c>
      <c r="T331">
        <f t="shared" si="36"/>
        <v>150.877171717172</v>
      </c>
      <c r="U331">
        <f t="shared" si="37"/>
        <v>1138.5</v>
      </c>
      <c r="V331">
        <f t="shared" si="38"/>
        <v>94.875</v>
      </c>
      <c r="W331">
        <f t="shared" si="39"/>
        <v>5434.74333333333</v>
      </c>
      <c r="X331">
        <f t="shared" si="35"/>
        <v>0.276641368862477</v>
      </c>
      <c r="AH331" t="str">
        <f t="shared" si="34"/>
        <v>3rd Quality</v>
      </c>
      <c r="AJ331">
        <f>((T331-X331)*2)/18.6</f>
        <v>16.1936054137967</v>
      </c>
      <c r="AK331">
        <f t="shared" si="40"/>
        <v>57031.5709090909</v>
      </c>
    </row>
    <row r="332" spans="1:37">
      <c r="A332" t="s">
        <v>395</v>
      </c>
      <c r="B332">
        <v>32</v>
      </c>
      <c r="C332" t="s">
        <v>44</v>
      </c>
      <c r="D332" t="s">
        <v>45</v>
      </c>
      <c r="E332">
        <v>544</v>
      </c>
      <c r="F332">
        <v>107</v>
      </c>
      <c r="G332">
        <v>4</v>
      </c>
      <c r="H332">
        <v>701.91</v>
      </c>
      <c r="I332">
        <v>2923.96</v>
      </c>
      <c r="J332">
        <v>44</v>
      </c>
      <c r="K332">
        <v>0</v>
      </c>
      <c r="L332">
        <v>17.2</v>
      </c>
      <c r="M332">
        <v>25.3</v>
      </c>
      <c r="N332" t="s">
        <v>46</v>
      </c>
      <c r="O332" t="s">
        <v>53</v>
      </c>
      <c r="P332" t="s">
        <v>48</v>
      </c>
      <c r="R332">
        <f>SUMIF(A332:A5331,"C00331",I332:I5331)</f>
        <v>2923.96</v>
      </c>
      <c r="S332" s="1">
        <v>2923.96</v>
      </c>
      <c r="T332">
        <f t="shared" si="36"/>
        <v>66.4536363636364</v>
      </c>
      <c r="U332">
        <f t="shared" si="37"/>
        <v>1113.2</v>
      </c>
      <c r="V332">
        <f t="shared" si="38"/>
        <v>92.7666666666667</v>
      </c>
      <c r="W332">
        <f t="shared" si="39"/>
        <v>1208.95666666667</v>
      </c>
      <c r="X332">
        <f t="shared" si="35"/>
        <v>0.775028137510507</v>
      </c>
      <c r="AH332" t="str">
        <f t="shared" si="34"/>
        <v>3rd Quality</v>
      </c>
      <c r="AJ332">
        <f>((T332-X332)*2)/17.2</f>
        <v>7.63704746815417</v>
      </c>
      <c r="AK332">
        <f t="shared" si="40"/>
        <v>36150.7781818182</v>
      </c>
    </row>
    <row r="333" spans="1:37">
      <c r="A333" t="s">
        <v>396</v>
      </c>
      <c r="B333">
        <v>44</v>
      </c>
      <c r="C333" t="s">
        <v>44</v>
      </c>
      <c r="D333" t="s">
        <v>45</v>
      </c>
      <c r="E333">
        <v>568</v>
      </c>
      <c r="F333">
        <v>32</v>
      </c>
      <c r="G333">
        <v>18</v>
      </c>
      <c r="H333">
        <v>2241.37</v>
      </c>
      <c r="I333">
        <v>39334.73</v>
      </c>
      <c r="J333">
        <v>83</v>
      </c>
      <c r="K333">
        <v>1</v>
      </c>
      <c r="L333">
        <v>3.4</v>
      </c>
      <c r="M333">
        <v>40.4</v>
      </c>
      <c r="N333" t="s">
        <v>52</v>
      </c>
      <c r="O333" t="s">
        <v>53</v>
      </c>
      <c r="P333" t="s">
        <v>58</v>
      </c>
      <c r="R333">
        <f>SUMIF(A333:A5332,"C00332",I333:I5332)</f>
        <v>39334.73</v>
      </c>
      <c r="S333" s="1">
        <v>39334.73</v>
      </c>
      <c r="T333">
        <f t="shared" si="36"/>
        <v>473.912409638554</v>
      </c>
      <c r="U333">
        <f t="shared" si="37"/>
        <v>3353.2</v>
      </c>
      <c r="V333">
        <f>U333*1</f>
        <v>3353.2</v>
      </c>
      <c r="W333">
        <f t="shared" si="39"/>
        <v>13859.0333333333</v>
      </c>
      <c r="X333">
        <f t="shared" si="35"/>
        <v>0.253416437268278</v>
      </c>
      <c r="AH333" t="str">
        <f t="shared" si="34"/>
        <v>3rd Quality</v>
      </c>
      <c r="AJ333">
        <f>((T333-X333)*2)/3.4</f>
        <v>278.622937177227</v>
      </c>
      <c r="AK333">
        <f t="shared" si="40"/>
        <v>269182.248674699</v>
      </c>
    </row>
    <row r="334" spans="1:37">
      <c r="A334" t="s">
        <v>397</v>
      </c>
      <c r="B334">
        <v>19</v>
      </c>
      <c r="C334" t="s">
        <v>50</v>
      </c>
      <c r="D334" t="s">
        <v>60</v>
      </c>
      <c r="E334">
        <v>472</v>
      </c>
      <c r="F334">
        <v>110</v>
      </c>
      <c r="G334">
        <v>4</v>
      </c>
      <c r="H334">
        <v>649.55</v>
      </c>
      <c r="I334">
        <v>2345.38</v>
      </c>
      <c r="J334">
        <v>30</v>
      </c>
      <c r="K334">
        <v>0</v>
      </c>
      <c r="L334">
        <v>37.3</v>
      </c>
      <c r="M334">
        <v>2.9</v>
      </c>
      <c r="N334" t="s">
        <v>52</v>
      </c>
      <c r="O334" t="s">
        <v>47</v>
      </c>
      <c r="P334" t="s">
        <v>58</v>
      </c>
      <c r="R334">
        <f>SUMIF(A334:A5333,"C00333",I334:I5333)</f>
        <v>2345.38</v>
      </c>
      <c r="S334" s="1">
        <v>2345.38</v>
      </c>
      <c r="T334">
        <f t="shared" si="36"/>
        <v>78.1793333333333</v>
      </c>
      <c r="U334">
        <f t="shared" si="37"/>
        <v>87</v>
      </c>
      <c r="V334">
        <f t="shared" si="38"/>
        <v>7.25</v>
      </c>
      <c r="W334">
        <f t="shared" si="39"/>
        <v>998.643333333333</v>
      </c>
      <c r="X334">
        <f t="shared" si="35"/>
        <v>0.726656916326688</v>
      </c>
      <c r="AH334" t="str">
        <f t="shared" ref="AH334:AH397" si="41">IF(AND(W334&gt;=12550,B334&lt;=33,E334&gt;=915),"1st Quality",IF(AND(W334&gt;=6275,B334&lt;=43,E334&gt;=457),"2nd Quality","3rd Quality"))</f>
        <v>3rd Quality</v>
      </c>
      <c r="AJ334">
        <f>((T334-X334)*2)/37.3</f>
        <v>4.15295852101912</v>
      </c>
      <c r="AK334">
        <f t="shared" si="40"/>
        <v>36900.6453333333</v>
      </c>
    </row>
    <row r="335" spans="1:37">
      <c r="A335" t="s">
        <v>398</v>
      </c>
      <c r="B335">
        <v>28</v>
      </c>
      <c r="C335" t="s">
        <v>44</v>
      </c>
      <c r="D335" t="s">
        <v>60</v>
      </c>
      <c r="E335">
        <v>847</v>
      </c>
      <c r="F335">
        <v>270</v>
      </c>
      <c r="G335">
        <v>1</v>
      </c>
      <c r="H335">
        <v>1144.96</v>
      </c>
      <c r="I335">
        <v>1097.42</v>
      </c>
      <c r="J335">
        <v>14</v>
      </c>
      <c r="K335">
        <v>0</v>
      </c>
      <c r="L335">
        <v>10.1</v>
      </c>
      <c r="M335">
        <v>34.3</v>
      </c>
      <c r="N335" t="s">
        <v>78</v>
      </c>
      <c r="O335" t="s">
        <v>47</v>
      </c>
      <c r="P335" t="s">
        <v>68</v>
      </c>
      <c r="R335">
        <f>SUMIF(A335:A5334,"C00334",I335:I5334)</f>
        <v>1097.42</v>
      </c>
      <c r="S335" s="1">
        <v>1097.42</v>
      </c>
      <c r="T335">
        <f t="shared" si="36"/>
        <v>78.3871428571429</v>
      </c>
      <c r="U335">
        <f t="shared" si="37"/>
        <v>480.2</v>
      </c>
      <c r="V335">
        <f t="shared" si="38"/>
        <v>40.0166666666667</v>
      </c>
      <c r="W335">
        <f t="shared" si="39"/>
        <v>747.793333333333</v>
      </c>
      <c r="X335">
        <f t="shared" si="35"/>
        <v>0.739763834544438</v>
      </c>
      <c r="AH335" t="str">
        <f t="shared" si="41"/>
        <v>3rd Quality</v>
      </c>
      <c r="AJ335">
        <f>((T335-X335)*2)/10.1</f>
        <v>15.3757186183363</v>
      </c>
      <c r="AK335">
        <f t="shared" si="40"/>
        <v>66393.91</v>
      </c>
    </row>
    <row r="336" spans="1:37">
      <c r="A336" t="s">
        <v>399</v>
      </c>
      <c r="B336">
        <v>46</v>
      </c>
      <c r="C336" t="s">
        <v>101</v>
      </c>
      <c r="D336" t="s">
        <v>45</v>
      </c>
      <c r="E336">
        <v>1136</v>
      </c>
      <c r="F336">
        <v>21</v>
      </c>
      <c r="G336">
        <v>19</v>
      </c>
      <c r="H336">
        <v>5337.98</v>
      </c>
      <c r="I336">
        <v>92668.89</v>
      </c>
      <c r="J336">
        <v>138</v>
      </c>
      <c r="K336">
        <v>3</v>
      </c>
      <c r="L336">
        <v>20.5</v>
      </c>
      <c r="M336">
        <v>22.8</v>
      </c>
      <c r="N336" t="s">
        <v>63</v>
      </c>
      <c r="O336" t="s">
        <v>47</v>
      </c>
      <c r="P336" t="s">
        <v>58</v>
      </c>
      <c r="R336">
        <f>SUMIF(A336:A5335,"C00335",I336:I5335)</f>
        <v>92668.89</v>
      </c>
      <c r="S336" s="1">
        <v>92668.89</v>
      </c>
      <c r="T336">
        <f t="shared" si="36"/>
        <v>671.513695652174</v>
      </c>
      <c r="U336">
        <f t="shared" si="37"/>
        <v>3146.4</v>
      </c>
      <c r="V336">
        <f>U336*3</f>
        <v>9439.2</v>
      </c>
      <c r="W336">
        <f t="shared" si="39"/>
        <v>32669.29</v>
      </c>
      <c r="X336">
        <f t="shared" si="35"/>
        <v>0.212814585292564</v>
      </c>
      <c r="AH336" t="str">
        <f t="shared" si="41"/>
        <v>3rd Quality</v>
      </c>
      <c r="AJ336">
        <f>((T336-X336)*2)/20.5</f>
        <v>65.4927688845738</v>
      </c>
      <c r="AK336">
        <f t="shared" si="40"/>
        <v>762839.55826087</v>
      </c>
    </row>
    <row r="337" spans="1:37">
      <c r="A337" t="s">
        <v>400</v>
      </c>
      <c r="B337">
        <v>38</v>
      </c>
      <c r="C337" t="s">
        <v>44</v>
      </c>
      <c r="D337" t="s">
        <v>60</v>
      </c>
      <c r="E337">
        <v>1122</v>
      </c>
      <c r="F337">
        <v>13</v>
      </c>
      <c r="G337">
        <v>2</v>
      </c>
      <c r="H337">
        <v>9703.98</v>
      </c>
      <c r="I337">
        <v>19867.25</v>
      </c>
      <c r="J337">
        <v>26</v>
      </c>
      <c r="K337">
        <v>0</v>
      </c>
      <c r="L337">
        <v>2</v>
      </c>
      <c r="M337">
        <v>55.5</v>
      </c>
      <c r="N337" t="s">
        <v>78</v>
      </c>
      <c r="O337" t="s">
        <v>47</v>
      </c>
      <c r="P337" t="s">
        <v>58</v>
      </c>
      <c r="R337">
        <f>SUMIF(A337:A5336,"C00336",I337:I5336)</f>
        <v>19867.25</v>
      </c>
      <c r="S337" s="1">
        <v>19867.25</v>
      </c>
      <c r="T337">
        <f t="shared" si="36"/>
        <v>764.125</v>
      </c>
      <c r="U337">
        <f t="shared" si="37"/>
        <v>1443</v>
      </c>
      <c r="V337">
        <f t="shared" si="38"/>
        <v>120.25</v>
      </c>
      <c r="W337">
        <f t="shared" si="39"/>
        <v>9857.41</v>
      </c>
      <c r="X337">
        <f t="shared" si="35"/>
        <v>0.11562266204176</v>
      </c>
      <c r="AH337" t="str">
        <f t="shared" si="41"/>
        <v>2nd Quality</v>
      </c>
      <c r="AJ337">
        <f>((T337-X337)*2)/2</f>
        <v>764.009377337958</v>
      </c>
      <c r="AK337">
        <f t="shared" si="40"/>
        <v>857348.25</v>
      </c>
    </row>
    <row r="338" spans="1:37">
      <c r="A338" t="s">
        <v>401</v>
      </c>
      <c r="B338">
        <v>35</v>
      </c>
      <c r="C338" t="s">
        <v>50</v>
      </c>
      <c r="D338" t="s">
        <v>45</v>
      </c>
      <c r="E338">
        <v>1243</v>
      </c>
      <c r="F338">
        <v>13</v>
      </c>
      <c r="G338">
        <v>31</v>
      </c>
      <c r="H338">
        <v>7532.53</v>
      </c>
      <c r="I338">
        <v>229412.44</v>
      </c>
      <c r="J338">
        <v>194</v>
      </c>
      <c r="K338">
        <v>3</v>
      </c>
      <c r="L338">
        <v>12.7</v>
      </c>
      <c r="M338">
        <v>18.5</v>
      </c>
      <c r="N338" t="s">
        <v>46</v>
      </c>
      <c r="O338" t="s">
        <v>47</v>
      </c>
      <c r="P338" t="s">
        <v>58</v>
      </c>
      <c r="R338">
        <f>SUMIF(A338:A5337,"C00337",I338:I5337)</f>
        <v>229412.44</v>
      </c>
      <c r="S338" s="1">
        <v>229412.44</v>
      </c>
      <c r="T338">
        <f t="shared" si="36"/>
        <v>1182.53835051546</v>
      </c>
      <c r="U338">
        <f t="shared" si="37"/>
        <v>3589</v>
      </c>
      <c r="V338">
        <f>U338*3</f>
        <v>10767</v>
      </c>
      <c r="W338">
        <f t="shared" si="39"/>
        <v>78981.99</v>
      </c>
      <c r="X338">
        <f t="shared" si="35"/>
        <v>0.165017597009239</v>
      </c>
      <c r="AH338" t="str">
        <f t="shared" si="41"/>
        <v>2nd Quality</v>
      </c>
      <c r="AJ338">
        <f>((T338-X338)*2)/12.7</f>
        <v>186.200524869047</v>
      </c>
      <c r="AK338">
        <f t="shared" si="40"/>
        <v>1469895.16969072</v>
      </c>
    </row>
    <row r="339" spans="1:37">
      <c r="A339" t="s">
        <v>402</v>
      </c>
      <c r="B339">
        <v>38</v>
      </c>
      <c r="C339" t="s">
        <v>44</v>
      </c>
      <c r="D339" t="s">
        <v>60</v>
      </c>
      <c r="E339">
        <v>1009</v>
      </c>
      <c r="F339">
        <v>149</v>
      </c>
      <c r="G339">
        <v>7</v>
      </c>
      <c r="H339">
        <v>978.72</v>
      </c>
      <c r="I339">
        <v>7564.98</v>
      </c>
      <c r="J339">
        <v>36</v>
      </c>
      <c r="K339">
        <v>0</v>
      </c>
      <c r="L339">
        <v>31.7</v>
      </c>
      <c r="M339">
        <v>42.7</v>
      </c>
      <c r="N339" t="s">
        <v>63</v>
      </c>
      <c r="O339" t="s">
        <v>47</v>
      </c>
      <c r="P339" t="s">
        <v>68</v>
      </c>
      <c r="R339">
        <f>SUMIF(A339:A5338,"C00338",I339:I5338)</f>
        <v>7564.98</v>
      </c>
      <c r="S339" s="1">
        <v>7564.98</v>
      </c>
      <c r="T339">
        <f t="shared" si="36"/>
        <v>210.138333333333</v>
      </c>
      <c r="U339">
        <f t="shared" si="37"/>
        <v>1537.2</v>
      </c>
      <c r="V339">
        <f t="shared" si="38"/>
        <v>128.1</v>
      </c>
      <c r="W339">
        <f t="shared" si="39"/>
        <v>2848.23333333333</v>
      </c>
      <c r="X339">
        <f t="shared" si="35"/>
        <v>1.03093836848128</v>
      </c>
      <c r="AH339" t="str">
        <f t="shared" si="41"/>
        <v>3rd Quality</v>
      </c>
      <c r="AJ339">
        <f>((T339-X339)*2)/31.7</f>
        <v>13.1928955813787</v>
      </c>
      <c r="AK339">
        <f t="shared" si="40"/>
        <v>212029.578333333</v>
      </c>
    </row>
    <row r="340" spans="1:37">
      <c r="A340" t="s">
        <v>403</v>
      </c>
      <c r="B340">
        <v>32</v>
      </c>
      <c r="C340" t="s">
        <v>44</v>
      </c>
      <c r="D340" t="s">
        <v>45</v>
      </c>
      <c r="E340">
        <v>522</v>
      </c>
      <c r="F340">
        <v>14</v>
      </c>
      <c r="G340">
        <v>23</v>
      </c>
      <c r="H340">
        <v>4002.57</v>
      </c>
      <c r="I340">
        <v>94461.69</v>
      </c>
      <c r="J340">
        <v>123</v>
      </c>
      <c r="K340">
        <v>2</v>
      </c>
      <c r="L340">
        <v>7.9</v>
      </c>
      <c r="M340">
        <v>21.2</v>
      </c>
      <c r="N340" t="s">
        <v>78</v>
      </c>
      <c r="O340" t="s">
        <v>47</v>
      </c>
      <c r="P340" t="s">
        <v>68</v>
      </c>
      <c r="R340">
        <f>SUMIF(A340:A5339,"C00339",I340:I5339)</f>
        <v>94461.69</v>
      </c>
      <c r="S340" s="1">
        <v>94461.69</v>
      </c>
      <c r="T340">
        <f t="shared" si="36"/>
        <v>767.981219512195</v>
      </c>
      <c r="U340">
        <f t="shared" si="37"/>
        <v>2607.6</v>
      </c>
      <c r="V340">
        <f>U340*2</f>
        <v>5215.2</v>
      </c>
      <c r="W340">
        <f t="shared" si="39"/>
        <v>32821.7533333333</v>
      </c>
      <c r="X340">
        <f t="shared" si="35"/>
        <v>0.130416207586626</v>
      </c>
      <c r="AH340" t="str">
        <f t="shared" si="41"/>
        <v>2nd Quality</v>
      </c>
      <c r="AJ340">
        <f>((T340-X340)*2)/7.9</f>
        <v>194.392608431546</v>
      </c>
      <c r="AK340">
        <f t="shared" si="40"/>
        <v>400886.196585366</v>
      </c>
    </row>
    <row r="341" spans="1:37">
      <c r="A341" t="s">
        <v>404</v>
      </c>
      <c r="B341">
        <v>21</v>
      </c>
      <c r="C341" t="s">
        <v>44</v>
      </c>
      <c r="D341" t="s">
        <v>51</v>
      </c>
      <c r="E341">
        <v>1325</v>
      </c>
      <c r="F341">
        <v>239</v>
      </c>
      <c r="G341">
        <v>1</v>
      </c>
      <c r="H341">
        <v>1135.66</v>
      </c>
      <c r="I341">
        <v>1207.94</v>
      </c>
      <c r="J341">
        <v>10</v>
      </c>
      <c r="K341">
        <v>0</v>
      </c>
      <c r="L341">
        <v>15.9</v>
      </c>
      <c r="M341">
        <v>21.3</v>
      </c>
      <c r="N341" t="s">
        <v>52</v>
      </c>
      <c r="O341" t="s">
        <v>47</v>
      </c>
      <c r="P341" t="s">
        <v>48</v>
      </c>
      <c r="R341">
        <f>SUMIF(A341:A5340,"C00340",I341:I5340)</f>
        <v>1207.94</v>
      </c>
      <c r="S341" s="1">
        <v>1207.94</v>
      </c>
      <c r="T341">
        <f t="shared" si="36"/>
        <v>120.794</v>
      </c>
      <c r="U341">
        <f t="shared" si="37"/>
        <v>213</v>
      </c>
      <c r="V341">
        <f t="shared" si="38"/>
        <v>17.75</v>
      </c>
      <c r="W341">
        <f t="shared" si="39"/>
        <v>781.533333333333</v>
      </c>
      <c r="X341">
        <f t="shared" si="35"/>
        <v>1.16672243453146</v>
      </c>
      <c r="AH341" t="str">
        <f t="shared" si="41"/>
        <v>3rd Quality</v>
      </c>
      <c r="AJ341">
        <f>((T341-X341)*2)/15.9</f>
        <v>15.0474562975432</v>
      </c>
      <c r="AK341">
        <f t="shared" si="40"/>
        <v>160052.05</v>
      </c>
    </row>
    <row r="342" spans="1:37">
      <c r="A342" t="s">
        <v>405</v>
      </c>
      <c r="B342">
        <v>33</v>
      </c>
      <c r="C342" t="s">
        <v>44</v>
      </c>
      <c r="D342" t="s">
        <v>60</v>
      </c>
      <c r="E342">
        <v>1291</v>
      </c>
      <c r="F342">
        <v>11</v>
      </c>
      <c r="G342">
        <v>24</v>
      </c>
      <c r="H342">
        <v>2945.36</v>
      </c>
      <c r="I342">
        <v>67890.32</v>
      </c>
      <c r="J342">
        <v>81</v>
      </c>
      <c r="K342">
        <v>0</v>
      </c>
      <c r="L342">
        <v>3.1</v>
      </c>
      <c r="M342">
        <v>54.6</v>
      </c>
      <c r="N342" t="s">
        <v>46</v>
      </c>
      <c r="O342" t="s">
        <v>53</v>
      </c>
      <c r="P342" t="s">
        <v>68</v>
      </c>
      <c r="R342">
        <f>SUMIF(A342:A5341,"C00341",I342:I5341)</f>
        <v>67890.32</v>
      </c>
      <c r="S342" s="1">
        <v>67890.32</v>
      </c>
      <c r="T342">
        <f t="shared" si="36"/>
        <v>838.152098765432</v>
      </c>
      <c r="U342">
        <f t="shared" si="37"/>
        <v>4422.6</v>
      </c>
      <c r="V342">
        <f t="shared" si="38"/>
        <v>368.55</v>
      </c>
      <c r="W342">
        <f t="shared" si="39"/>
        <v>23612.2266666667</v>
      </c>
      <c r="X342">
        <f t="shared" si="35"/>
        <v>0.438316538555559</v>
      </c>
      <c r="AH342" t="str">
        <f t="shared" si="41"/>
        <v>1st Quality</v>
      </c>
      <c r="AJ342">
        <f>((T342-X342)*2)/3.1</f>
        <v>540.460504662501</v>
      </c>
      <c r="AK342">
        <f t="shared" si="40"/>
        <v>1082054.35950617</v>
      </c>
    </row>
    <row r="343" spans="1:37">
      <c r="A343" t="s">
        <v>406</v>
      </c>
      <c r="B343">
        <v>35</v>
      </c>
      <c r="C343" t="s">
        <v>50</v>
      </c>
      <c r="D343" t="s">
        <v>60</v>
      </c>
      <c r="E343">
        <v>659</v>
      </c>
      <c r="F343">
        <v>76</v>
      </c>
      <c r="G343">
        <v>1</v>
      </c>
      <c r="H343">
        <v>1747.61</v>
      </c>
      <c r="I343">
        <v>1854.35</v>
      </c>
      <c r="J343">
        <v>13</v>
      </c>
      <c r="K343">
        <v>0</v>
      </c>
      <c r="L343">
        <v>31.7</v>
      </c>
      <c r="M343">
        <v>49</v>
      </c>
      <c r="N343" t="s">
        <v>78</v>
      </c>
      <c r="O343" t="s">
        <v>47</v>
      </c>
      <c r="P343" t="s">
        <v>66</v>
      </c>
      <c r="R343">
        <f>SUMIF(A343:A5342,"C00342",I343:I5342)</f>
        <v>1854.35</v>
      </c>
      <c r="S343" s="1">
        <v>1854.35</v>
      </c>
      <c r="T343">
        <f t="shared" si="36"/>
        <v>142.642307692308</v>
      </c>
      <c r="U343">
        <f t="shared" si="37"/>
        <v>637</v>
      </c>
      <c r="V343">
        <f t="shared" si="38"/>
        <v>53.0833333333333</v>
      </c>
      <c r="W343">
        <f t="shared" si="39"/>
        <v>1200.98666666667</v>
      </c>
      <c r="X343">
        <f t="shared" si="35"/>
        <v>0.377086420883378</v>
      </c>
      <c r="AH343" t="str">
        <f t="shared" si="41"/>
        <v>3rd Quality</v>
      </c>
      <c r="AJ343">
        <f>((T343-X343)*2)/31.7</f>
        <v>8.97572373952206</v>
      </c>
      <c r="AK343">
        <f t="shared" si="40"/>
        <v>94001.2807692308</v>
      </c>
    </row>
    <row r="344" spans="1:37">
      <c r="A344" t="s">
        <v>407</v>
      </c>
      <c r="B344">
        <v>55</v>
      </c>
      <c r="C344" t="s">
        <v>50</v>
      </c>
      <c r="D344" t="s">
        <v>45</v>
      </c>
      <c r="E344">
        <v>1311</v>
      </c>
      <c r="F344">
        <v>67</v>
      </c>
      <c r="G344">
        <v>5</v>
      </c>
      <c r="H344">
        <v>667.19</v>
      </c>
      <c r="I344">
        <v>3523.92</v>
      </c>
      <c r="J344">
        <v>23</v>
      </c>
      <c r="K344">
        <v>1</v>
      </c>
      <c r="L344">
        <v>33.6</v>
      </c>
      <c r="M344">
        <v>31.3</v>
      </c>
      <c r="N344" t="s">
        <v>63</v>
      </c>
      <c r="O344" t="s">
        <v>47</v>
      </c>
      <c r="P344" t="s">
        <v>58</v>
      </c>
      <c r="R344">
        <f>SUMIF(A344:A5343,"C00343",I344:I5343)</f>
        <v>3523.92</v>
      </c>
      <c r="S344" s="1">
        <v>3523.92</v>
      </c>
      <c r="T344">
        <f t="shared" si="36"/>
        <v>153.213913043478</v>
      </c>
      <c r="U344">
        <f t="shared" si="37"/>
        <v>719.9</v>
      </c>
      <c r="V344">
        <f>U344*1</f>
        <v>719.9</v>
      </c>
      <c r="W344">
        <f t="shared" si="39"/>
        <v>1397.37</v>
      </c>
      <c r="X344">
        <f t="shared" si="35"/>
        <v>1.96495750835594</v>
      </c>
      <c r="AH344" t="str">
        <f t="shared" si="41"/>
        <v>3rd Quality</v>
      </c>
      <c r="AJ344">
        <f>((T344-X344)*2)/33.6</f>
        <v>9.00291401994774</v>
      </c>
      <c r="AK344">
        <f t="shared" si="40"/>
        <v>200863.44</v>
      </c>
    </row>
    <row r="345" spans="1:37">
      <c r="A345" t="s">
        <v>408</v>
      </c>
      <c r="B345">
        <v>30</v>
      </c>
      <c r="C345" t="s">
        <v>50</v>
      </c>
      <c r="D345" t="s">
        <v>60</v>
      </c>
      <c r="E345">
        <v>959</v>
      </c>
      <c r="F345">
        <v>80</v>
      </c>
      <c r="G345">
        <v>3</v>
      </c>
      <c r="H345">
        <v>7961.9</v>
      </c>
      <c r="I345">
        <v>26699.78</v>
      </c>
      <c r="J345">
        <v>16</v>
      </c>
      <c r="K345">
        <v>0</v>
      </c>
      <c r="L345">
        <v>0</v>
      </c>
      <c r="M345">
        <v>7.1</v>
      </c>
      <c r="N345" t="s">
        <v>46</v>
      </c>
      <c r="O345" t="s">
        <v>47</v>
      </c>
      <c r="P345" t="s">
        <v>58</v>
      </c>
      <c r="R345">
        <f>SUMIF(A345:A5344,"C00344",I345:I5344)</f>
        <v>26699.78</v>
      </c>
      <c r="S345" s="1">
        <v>26699.78</v>
      </c>
      <c r="T345">
        <f t="shared" si="36"/>
        <v>1668.73625</v>
      </c>
      <c r="U345">
        <f t="shared" si="37"/>
        <v>113.6</v>
      </c>
      <c r="V345">
        <f t="shared" si="38"/>
        <v>9.46666666666667</v>
      </c>
      <c r="W345">
        <f t="shared" si="39"/>
        <v>11554.2266666667</v>
      </c>
      <c r="X345">
        <f t="shared" si="35"/>
        <v>0.12044863663196</v>
      </c>
      <c r="AH345" t="str">
        <f t="shared" si="41"/>
        <v>2nd Quality</v>
      </c>
      <c r="AJ345">
        <f>((T345-X345)*2)</f>
        <v>3337.23160272674</v>
      </c>
      <c r="AK345">
        <f t="shared" si="40"/>
        <v>1600318.06375</v>
      </c>
    </row>
    <row r="346" spans="1:37">
      <c r="A346" t="s">
        <v>409</v>
      </c>
      <c r="B346">
        <v>39</v>
      </c>
      <c r="C346" t="s">
        <v>44</v>
      </c>
      <c r="D346" t="s">
        <v>45</v>
      </c>
      <c r="E346">
        <v>790</v>
      </c>
      <c r="F346">
        <v>55</v>
      </c>
      <c r="G346">
        <v>4</v>
      </c>
      <c r="H346">
        <v>997.14</v>
      </c>
      <c r="I346">
        <v>4142.84</v>
      </c>
      <c r="J346">
        <v>24</v>
      </c>
      <c r="K346">
        <v>0</v>
      </c>
      <c r="L346">
        <v>20.5</v>
      </c>
      <c r="M346">
        <v>15.1</v>
      </c>
      <c r="N346" t="s">
        <v>63</v>
      </c>
      <c r="O346" t="s">
        <v>75</v>
      </c>
      <c r="P346" t="s">
        <v>48</v>
      </c>
      <c r="R346">
        <f>SUMIF(A346:A5345,"C00345",I346:I5345)</f>
        <v>4142.84</v>
      </c>
      <c r="S346" s="1">
        <v>4142.84</v>
      </c>
      <c r="T346">
        <f t="shared" si="36"/>
        <v>172.618333333333</v>
      </c>
      <c r="U346">
        <f t="shared" si="37"/>
        <v>362.4</v>
      </c>
      <c r="V346">
        <f t="shared" si="38"/>
        <v>30.2</v>
      </c>
      <c r="W346">
        <f t="shared" si="39"/>
        <v>1713.66</v>
      </c>
      <c r="X346">
        <f t="shared" si="35"/>
        <v>0.792265880417996</v>
      </c>
      <c r="AH346" t="str">
        <f t="shared" si="41"/>
        <v>3rd Quality</v>
      </c>
      <c r="AJ346">
        <f>((T346-X346)*2)/20.5</f>
        <v>16.7635187758941</v>
      </c>
      <c r="AK346">
        <f t="shared" si="40"/>
        <v>136368.483333333</v>
      </c>
    </row>
    <row r="347" spans="1:37">
      <c r="A347" t="s">
        <v>410</v>
      </c>
      <c r="B347">
        <v>37</v>
      </c>
      <c r="C347" t="s">
        <v>50</v>
      </c>
      <c r="D347" t="s">
        <v>45</v>
      </c>
      <c r="E347">
        <v>527</v>
      </c>
      <c r="F347">
        <v>94</v>
      </c>
      <c r="G347">
        <v>1</v>
      </c>
      <c r="H347">
        <v>1004.6</v>
      </c>
      <c r="I347">
        <v>1104.94</v>
      </c>
      <c r="J347">
        <v>18</v>
      </c>
      <c r="K347">
        <v>0</v>
      </c>
      <c r="L347">
        <v>33.7</v>
      </c>
      <c r="M347">
        <v>12.5</v>
      </c>
      <c r="N347" t="s">
        <v>46</v>
      </c>
      <c r="O347" t="s">
        <v>53</v>
      </c>
      <c r="P347" t="s">
        <v>54</v>
      </c>
      <c r="R347">
        <f>SUMIF(A347:A5346,"C00346",I347:I5346)</f>
        <v>1104.94</v>
      </c>
      <c r="S347" s="1">
        <v>1104.94</v>
      </c>
      <c r="T347">
        <f t="shared" si="36"/>
        <v>61.3855555555556</v>
      </c>
      <c r="U347">
        <f t="shared" si="37"/>
        <v>225</v>
      </c>
      <c r="V347">
        <f t="shared" si="38"/>
        <v>18.75</v>
      </c>
      <c r="W347">
        <f t="shared" si="39"/>
        <v>703.513333333333</v>
      </c>
      <c r="X347">
        <f t="shared" si="35"/>
        <v>0.524586900258809</v>
      </c>
      <c r="AH347" t="str">
        <f t="shared" si="41"/>
        <v>3rd Quality</v>
      </c>
      <c r="AJ347">
        <f>((T347-X347)*2)/33.7</f>
        <v>3.61192692316301</v>
      </c>
      <c r="AK347">
        <f t="shared" si="40"/>
        <v>32350.1877777778</v>
      </c>
    </row>
    <row r="348" spans="1:37">
      <c r="A348" t="s">
        <v>411</v>
      </c>
      <c r="B348">
        <v>45</v>
      </c>
      <c r="C348" t="s">
        <v>44</v>
      </c>
      <c r="D348" t="s">
        <v>60</v>
      </c>
      <c r="E348">
        <v>1389</v>
      </c>
      <c r="F348">
        <v>199</v>
      </c>
      <c r="G348">
        <v>1</v>
      </c>
      <c r="H348">
        <v>1022.85</v>
      </c>
      <c r="I348">
        <v>1112.92</v>
      </c>
      <c r="J348">
        <v>7</v>
      </c>
      <c r="K348">
        <v>0</v>
      </c>
      <c r="L348">
        <v>17.9</v>
      </c>
      <c r="M348">
        <v>15.2</v>
      </c>
      <c r="N348" t="s">
        <v>52</v>
      </c>
      <c r="O348" t="s">
        <v>53</v>
      </c>
      <c r="P348" t="s">
        <v>58</v>
      </c>
      <c r="R348">
        <f>SUMIF(A348:A5347,"C00347",I348:I5347)</f>
        <v>1112.92</v>
      </c>
      <c r="S348" s="1">
        <v>1112.92</v>
      </c>
      <c r="T348">
        <f t="shared" si="36"/>
        <v>158.988571428571</v>
      </c>
      <c r="U348">
        <f t="shared" si="37"/>
        <v>106.4</v>
      </c>
      <c r="V348">
        <f t="shared" si="38"/>
        <v>8.86666666666667</v>
      </c>
      <c r="W348">
        <f t="shared" si="39"/>
        <v>712.256666666667</v>
      </c>
      <c r="X348">
        <f t="shared" si="35"/>
        <v>1.35797037688811</v>
      </c>
      <c r="AH348" t="str">
        <f t="shared" si="41"/>
        <v>3rd Quality</v>
      </c>
      <c r="AJ348">
        <f>((T348-X348)*2)/17.9</f>
        <v>17.6123576594059</v>
      </c>
      <c r="AK348">
        <f t="shared" si="40"/>
        <v>220835.125714286</v>
      </c>
    </row>
    <row r="349" spans="1:37">
      <c r="A349" t="s">
        <v>412</v>
      </c>
      <c r="B349">
        <v>33</v>
      </c>
      <c r="C349" t="s">
        <v>101</v>
      </c>
      <c r="D349" t="s">
        <v>60</v>
      </c>
      <c r="E349">
        <v>1073</v>
      </c>
      <c r="F349">
        <v>47</v>
      </c>
      <c r="G349">
        <v>6</v>
      </c>
      <c r="H349">
        <v>1503.7</v>
      </c>
      <c r="I349">
        <v>9928.89</v>
      </c>
      <c r="J349">
        <v>56</v>
      </c>
      <c r="K349">
        <v>0</v>
      </c>
      <c r="L349">
        <v>10.3</v>
      </c>
      <c r="M349">
        <v>11.3</v>
      </c>
      <c r="N349" t="s">
        <v>61</v>
      </c>
      <c r="O349" t="s">
        <v>47</v>
      </c>
      <c r="P349" t="s">
        <v>68</v>
      </c>
      <c r="R349">
        <f>SUMIF(A349:A5348,"C00348",I349:I5348)</f>
        <v>9928.89</v>
      </c>
      <c r="S349" s="1">
        <v>9928.89</v>
      </c>
      <c r="T349">
        <f t="shared" si="36"/>
        <v>177.301607142857</v>
      </c>
      <c r="U349">
        <f t="shared" si="37"/>
        <v>632.8</v>
      </c>
      <c r="V349">
        <f t="shared" si="38"/>
        <v>52.7333333333333</v>
      </c>
      <c r="W349">
        <f t="shared" si="39"/>
        <v>3811.19666666667</v>
      </c>
      <c r="X349">
        <f t="shared" si="35"/>
        <v>0.713573186140853</v>
      </c>
      <c r="AH349" t="str">
        <f t="shared" si="41"/>
        <v>3rd Quality</v>
      </c>
      <c r="AJ349">
        <f>((T349-X349)*2)/10.3</f>
        <v>34.2889386323721</v>
      </c>
      <c r="AK349">
        <f t="shared" si="40"/>
        <v>190244.624464286</v>
      </c>
    </row>
    <row r="350" spans="1:37">
      <c r="A350" t="s">
        <v>413</v>
      </c>
      <c r="B350">
        <v>24</v>
      </c>
      <c r="C350" t="s">
        <v>44</v>
      </c>
      <c r="D350" t="s">
        <v>51</v>
      </c>
      <c r="E350">
        <v>847</v>
      </c>
      <c r="F350">
        <v>28</v>
      </c>
      <c r="G350">
        <v>5</v>
      </c>
      <c r="H350">
        <v>11721.65</v>
      </c>
      <c r="I350">
        <v>59637.41</v>
      </c>
      <c r="J350">
        <v>48</v>
      </c>
      <c r="K350">
        <v>1</v>
      </c>
      <c r="L350">
        <v>24.8</v>
      </c>
      <c r="M350">
        <v>61</v>
      </c>
      <c r="N350" t="s">
        <v>52</v>
      </c>
      <c r="O350" t="s">
        <v>47</v>
      </c>
      <c r="P350" t="s">
        <v>58</v>
      </c>
      <c r="R350">
        <f>SUMIF(A350:A5349,"C00349",I350:I5349)</f>
        <v>59637.41</v>
      </c>
      <c r="S350" s="1">
        <v>59637.41</v>
      </c>
      <c r="T350">
        <f t="shared" si="36"/>
        <v>1242.44604166667</v>
      </c>
      <c r="U350">
        <f t="shared" si="37"/>
        <v>2928</v>
      </c>
      <c r="V350">
        <f>U350*1</f>
        <v>2928</v>
      </c>
      <c r="W350">
        <f t="shared" si="39"/>
        <v>23786.6866666667</v>
      </c>
      <c r="X350">
        <f t="shared" si="35"/>
        <v>0.0722594515277286</v>
      </c>
      <c r="AH350" t="str">
        <f t="shared" si="41"/>
        <v>2nd Quality</v>
      </c>
      <c r="AJ350">
        <f>((T350-X350)*2)/24.8</f>
        <v>100.191434049608</v>
      </c>
      <c r="AK350">
        <f t="shared" si="40"/>
        <v>1052351.79729167</v>
      </c>
    </row>
    <row r="351" spans="1:37">
      <c r="A351" t="s">
        <v>414</v>
      </c>
      <c r="B351">
        <v>70</v>
      </c>
      <c r="C351" t="s">
        <v>44</v>
      </c>
      <c r="D351" t="s">
        <v>45</v>
      </c>
      <c r="E351">
        <v>1201</v>
      </c>
      <c r="F351">
        <v>8</v>
      </c>
      <c r="G351">
        <v>24</v>
      </c>
      <c r="H351">
        <v>255703</v>
      </c>
      <c r="I351">
        <v>57303.44</v>
      </c>
      <c r="J351">
        <v>175</v>
      </c>
      <c r="K351">
        <v>3</v>
      </c>
      <c r="L351">
        <v>0</v>
      </c>
      <c r="M351">
        <v>45.2</v>
      </c>
      <c r="N351" t="s">
        <v>61</v>
      </c>
      <c r="O351" t="s">
        <v>47</v>
      </c>
      <c r="P351" t="s">
        <v>58</v>
      </c>
      <c r="R351">
        <f>SUMIF(A351:A5350,"C00350",I351:I5350)</f>
        <v>57303.44</v>
      </c>
      <c r="S351" s="1">
        <v>57303.44</v>
      </c>
      <c r="T351">
        <f t="shared" si="36"/>
        <v>327.448228571429</v>
      </c>
      <c r="U351">
        <f t="shared" si="37"/>
        <v>7910</v>
      </c>
      <c r="V351">
        <f>U351*3</f>
        <v>23730</v>
      </c>
      <c r="W351">
        <f t="shared" si="39"/>
        <v>104335.813333333</v>
      </c>
      <c r="X351">
        <f t="shared" si="35"/>
        <v>0.00469685533607349</v>
      </c>
      <c r="AH351" t="str">
        <f t="shared" si="41"/>
        <v>3rd Quality</v>
      </c>
      <c r="AJ351">
        <f>((T351-X351)*2)</f>
        <v>654.887063432186</v>
      </c>
      <c r="AK351">
        <f t="shared" si="40"/>
        <v>393265.322514286</v>
      </c>
    </row>
    <row r="352" spans="1:37">
      <c r="A352" t="s">
        <v>415</v>
      </c>
      <c r="B352">
        <v>18</v>
      </c>
      <c r="C352" t="s">
        <v>50</v>
      </c>
      <c r="D352" t="s">
        <v>60</v>
      </c>
      <c r="E352">
        <v>1214</v>
      </c>
      <c r="F352">
        <v>54</v>
      </c>
      <c r="G352">
        <v>3</v>
      </c>
      <c r="H352">
        <v>7303.58</v>
      </c>
      <c r="I352">
        <v>22357.86</v>
      </c>
      <c r="J352">
        <v>25</v>
      </c>
      <c r="K352">
        <v>0</v>
      </c>
      <c r="L352">
        <v>3.8</v>
      </c>
      <c r="M352">
        <v>26.4</v>
      </c>
      <c r="N352" t="s">
        <v>78</v>
      </c>
      <c r="O352" t="s">
        <v>47</v>
      </c>
      <c r="P352" t="s">
        <v>68</v>
      </c>
      <c r="R352">
        <f>SUMIF(A352:A5351,"C00351",I352:I5351)</f>
        <v>22357.86</v>
      </c>
      <c r="S352" s="1">
        <v>22357.86</v>
      </c>
      <c r="T352">
        <f t="shared" si="36"/>
        <v>894.3144</v>
      </c>
      <c r="U352">
        <f t="shared" si="37"/>
        <v>660</v>
      </c>
      <c r="V352">
        <f t="shared" si="38"/>
        <v>55</v>
      </c>
      <c r="W352">
        <f t="shared" si="39"/>
        <v>9887.48</v>
      </c>
      <c r="X352">
        <f t="shared" si="35"/>
        <v>0.16621985382511</v>
      </c>
      <c r="AH352" t="str">
        <f t="shared" si="41"/>
        <v>2nd Quality</v>
      </c>
      <c r="AJ352">
        <f>((T352-X352)*2)/3.8</f>
        <v>470.604305340092</v>
      </c>
      <c r="AK352">
        <f t="shared" si="40"/>
        <v>1085697.6816</v>
      </c>
    </row>
    <row r="353" spans="1:37">
      <c r="A353" t="s">
        <v>416</v>
      </c>
      <c r="B353">
        <v>26</v>
      </c>
      <c r="C353" t="s">
        <v>50</v>
      </c>
      <c r="D353" t="s">
        <v>51</v>
      </c>
      <c r="E353">
        <v>930</v>
      </c>
      <c r="F353">
        <v>12</v>
      </c>
      <c r="G353">
        <v>22</v>
      </c>
      <c r="H353">
        <v>3784.48</v>
      </c>
      <c r="I353">
        <v>91684.44</v>
      </c>
      <c r="J353">
        <v>93</v>
      </c>
      <c r="K353">
        <v>3</v>
      </c>
      <c r="L353">
        <v>10.1</v>
      </c>
      <c r="M353">
        <v>46.9</v>
      </c>
      <c r="N353" t="s">
        <v>46</v>
      </c>
      <c r="O353" t="s">
        <v>47</v>
      </c>
      <c r="P353" t="s">
        <v>58</v>
      </c>
      <c r="R353">
        <f>SUMIF(A353:A5352,"C00352",I353:I5352)</f>
        <v>91684.44</v>
      </c>
      <c r="S353" s="1">
        <v>91684.44</v>
      </c>
      <c r="T353">
        <f t="shared" si="36"/>
        <v>985.854193548387</v>
      </c>
      <c r="U353">
        <f t="shared" si="37"/>
        <v>4361.7</v>
      </c>
      <c r="V353">
        <f>U353*3</f>
        <v>13085.1</v>
      </c>
      <c r="W353">
        <f t="shared" si="39"/>
        <v>31823.3066666667</v>
      </c>
      <c r="X353">
        <f t="shared" si="35"/>
        <v>0.245740498034076</v>
      </c>
      <c r="AH353" t="str">
        <f t="shared" si="41"/>
        <v>1st Quality</v>
      </c>
      <c r="AJ353">
        <f>((T353-X353)*2)/10.1</f>
        <v>195.16999070304</v>
      </c>
      <c r="AK353">
        <f t="shared" si="40"/>
        <v>916844.4</v>
      </c>
    </row>
    <row r="354" spans="1:37">
      <c r="A354" t="s">
        <v>417</v>
      </c>
      <c r="B354">
        <v>31</v>
      </c>
      <c r="C354" t="s">
        <v>50</v>
      </c>
      <c r="D354" t="s">
        <v>60</v>
      </c>
      <c r="E354">
        <v>606</v>
      </c>
      <c r="F354">
        <v>32</v>
      </c>
      <c r="G354">
        <v>6</v>
      </c>
      <c r="H354">
        <v>35734</v>
      </c>
      <c r="I354">
        <v>23874.41</v>
      </c>
      <c r="J354">
        <v>22</v>
      </c>
      <c r="K354">
        <v>0</v>
      </c>
      <c r="L354">
        <v>2.2</v>
      </c>
      <c r="M354">
        <v>2.4</v>
      </c>
      <c r="N354" t="s">
        <v>52</v>
      </c>
      <c r="O354" t="s">
        <v>47</v>
      </c>
      <c r="P354" t="s">
        <v>54</v>
      </c>
      <c r="R354">
        <f>SUMIF(A354:A5353,"C00353",I354:I5353)</f>
        <v>23874.41</v>
      </c>
      <c r="S354" s="1">
        <v>23874.41</v>
      </c>
      <c r="T354">
        <f t="shared" si="36"/>
        <v>1085.20045454545</v>
      </c>
      <c r="U354">
        <f t="shared" si="37"/>
        <v>52.8</v>
      </c>
      <c r="V354">
        <f t="shared" si="38"/>
        <v>4.4</v>
      </c>
      <c r="W354">
        <f t="shared" si="39"/>
        <v>19869.8033333333</v>
      </c>
      <c r="X354">
        <f t="shared" si="35"/>
        <v>0.0169586388313651</v>
      </c>
      <c r="AH354" t="str">
        <f t="shared" si="41"/>
        <v>2nd Quality</v>
      </c>
      <c r="AJ354">
        <f>((T354-X354)*2)/2.2</f>
        <v>986.530450824199</v>
      </c>
      <c r="AK354">
        <f t="shared" si="40"/>
        <v>657631.475454545</v>
      </c>
    </row>
    <row r="355" spans="1:37">
      <c r="A355" t="s">
        <v>418</v>
      </c>
      <c r="B355">
        <v>53</v>
      </c>
      <c r="C355" t="s">
        <v>50</v>
      </c>
      <c r="D355" t="s">
        <v>45</v>
      </c>
      <c r="E355">
        <v>858</v>
      </c>
      <c r="F355">
        <v>18</v>
      </c>
      <c r="G355">
        <v>5</v>
      </c>
      <c r="H355">
        <v>9507.53</v>
      </c>
      <c r="I355">
        <v>52627.99</v>
      </c>
      <c r="J355">
        <v>25</v>
      </c>
      <c r="K355">
        <v>0</v>
      </c>
      <c r="L355">
        <v>13</v>
      </c>
      <c r="M355">
        <v>18.5</v>
      </c>
      <c r="N355" t="s">
        <v>61</v>
      </c>
      <c r="O355" t="s">
        <v>47</v>
      </c>
      <c r="P355" t="s">
        <v>54</v>
      </c>
      <c r="R355">
        <f>SUMIF(A355:A5354,"C00354",I355:I5354)</f>
        <v>52627.99</v>
      </c>
      <c r="S355" s="1">
        <v>52627.99</v>
      </c>
      <c r="T355">
        <f t="shared" si="36"/>
        <v>2105.1196</v>
      </c>
      <c r="U355">
        <f t="shared" si="37"/>
        <v>462.5</v>
      </c>
      <c r="V355">
        <f t="shared" si="38"/>
        <v>38.5416666666667</v>
      </c>
      <c r="W355">
        <f t="shared" si="39"/>
        <v>20712.1733333333</v>
      </c>
      <c r="X355">
        <f t="shared" si="35"/>
        <v>0.0902442590241629</v>
      </c>
      <c r="AH355" t="str">
        <f t="shared" si="41"/>
        <v>3rd Quality</v>
      </c>
      <c r="AJ355">
        <f>((T355-X355)*2)/13</f>
        <v>323.850670113996</v>
      </c>
      <c r="AK355">
        <f t="shared" si="40"/>
        <v>1806192.6168</v>
      </c>
    </row>
    <row r="356" spans="1:37">
      <c r="A356" t="s">
        <v>419</v>
      </c>
      <c r="B356">
        <v>27</v>
      </c>
      <c r="C356" t="s">
        <v>50</v>
      </c>
      <c r="D356" t="s">
        <v>60</v>
      </c>
      <c r="E356">
        <v>1035</v>
      </c>
      <c r="F356">
        <v>26</v>
      </c>
      <c r="G356">
        <v>11</v>
      </c>
      <c r="H356">
        <v>2512.27</v>
      </c>
      <c r="I356">
        <v>27244.26</v>
      </c>
      <c r="J356">
        <v>54</v>
      </c>
      <c r="K356">
        <v>2</v>
      </c>
      <c r="L356">
        <v>26.6</v>
      </c>
      <c r="M356">
        <v>27.5</v>
      </c>
      <c r="N356" t="s">
        <v>63</v>
      </c>
      <c r="O356" t="s">
        <v>47</v>
      </c>
      <c r="P356" t="s">
        <v>58</v>
      </c>
      <c r="R356">
        <f>SUMIF(A356:A5355,"C00355",I356:I5355)</f>
        <v>27244.26</v>
      </c>
      <c r="S356" s="1">
        <v>27244.26</v>
      </c>
      <c r="T356">
        <f t="shared" si="36"/>
        <v>504.523333333333</v>
      </c>
      <c r="U356">
        <f t="shared" si="37"/>
        <v>1485</v>
      </c>
      <c r="V356">
        <f>U356*2</f>
        <v>2970</v>
      </c>
      <c r="W356">
        <f t="shared" si="39"/>
        <v>9919.17666666667</v>
      </c>
      <c r="X356">
        <f t="shared" si="35"/>
        <v>0.411978011917509</v>
      </c>
      <c r="AH356" t="str">
        <f t="shared" si="41"/>
        <v>2nd Quality</v>
      </c>
      <c r="AJ356">
        <f>((T356-X356)*2)/26.6</f>
        <v>37.9031094226628</v>
      </c>
      <c r="AK356">
        <f t="shared" si="40"/>
        <v>522181.65</v>
      </c>
    </row>
    <row r="357" spans="1:37">
      <c r="A357" t="s">
        <v>420</v>
      </c>
      <c r="B357">
        <v>22</v>
      </c>
      <c r="C357" t="s">
        <v>50</v>
      </c>
      <c r="D357" t="s">
        <v>51</v>
      </c>
      <c r="E357">
        <v>572</v>
      </c>
      <c r="F357">
        <v>36</v>
      </c>
      <c r="G357">
        <v>6</v>
      </c>
      <c r="H357">
        <v>3541.94</v>
      </c>
      <c r="I357">
        <v>22803.84</v>
      </c>
      <c r="J357">
        <v>23</v>
      </c>
      <c r="K357">
        <v>0</v>
      </c>
      <c r="L357">
        <v>8</v>
      </c>
      <c r="M357">
        <v>41.8</v>
      </c>
      <c r="N357" t="s">
        <v>63</v>
      </c>
      <c r="O357" t="s">
        <v>47</v>
      </c>
      <c r="P357" t="s">
        <v>68</v>
      </c>
      <c r="R357">
        <f>SUMIF(A357:A5356,"C00356",I357:I5356)</f>
        <v>22803.84</v>
      </c>
      <c r="S357" s="1">
        <v>22803.84</v>
      </c>
      <c r="T357">
        <f t="shared" si="36"/>
        <v>991.471304347826</v>
      </c>
      <c r="U357">
        <f t="shared" si="37"/>
        <v>961.4</v>
      </c>
      <c r="V357">
        <f t="shared" si="38"/>
        <v>80.1166666666667</v>
      </c>
      <c r="W357">
        <f t="shared" si="39"/>
        <v>8782.26</v>
      </c>
      <c r="X357">
        <f t="shared" si="35"/>
        <v>0.16149341886085</v>
      </c>
      <c r="AH357" t="str">
        <f t="shared" si="41"/>
        <v>2nd Quality</v>
      </c>
      <c r="AJ357">
        <f>((T357-X357)*2)/8</f>
        <v>247.827452732241</v>
      </c>
      <c r="AK357">
        <f t="shared" si="40"/>
        <v>567121.586086957</v>
      </c>
    </row>
    <row r="358" spans="1:37">
      <c r="A358" t="s">
        <v>421</v>
      </c>
      <c r="B358">
        <v>37</v>
      </c>
      <c r="C358" t="s">
        <v>44</v>
      </c>
      <c r="D358" t="s">
        <v>60</v>
      </c>
      <c r="E358">
        <v>502</v>
      </c>
      <c r="F358">
        <v>184</v>
      </c>
      <c r="G358">
        <v>2</v>
      </c>
      <c r="H358">
        <v>1162.04</v>
      </c>
      <c r="I358">
        <v>2317.7</v>
      </c>
      <c r="J358">
        <v>19</v>
      </c>
      <c r="K358">
        <v>0</v>
      </c>
      <c r="L358">
        <v>29.5</v>
      </c>
      <c r="M358">
        <v>7.7</v>
      </c>
      <c r="N358" t="s">
        <v>81</v>
      </c>
      <c r="O358" t="s">
        <v>47</v>
      </c>
      <c r="P358" t="s">
        <v>58</v>
      </c>
      <c r="R358">
        <f>SUMIF(A358:A5357,"C00357",I358:I5357)</f>
        <v>2317.7</v>
      </c>
      <c r="S358" s="1">
        <v>2317.7</v>
      </c>
      <c r="T358">
        <f t="shared" si="36"/>
        <v>121.984210526316</v>
      </c>
      <c r="U358">
        <f t="shared" si="37"/>
        <v>146.3</v>
      </c>
      <c r="V358">
        <f t="shared" si="38"/>
        <v>12.1916666666667</v>
      </c>
      <c r="W358">
        <f t="shared" si="39"/>
        <v>1160.24666666667</v>
      </c>
      <c r="X358">
        <f t="shared" si="35"/>
        <v>0.431998898488864</v>
      </c>
      <c r="AH358" t="str">
        <f t="shared" si="41"/>
        <v>3rd Quality</v>
      </c>
      <c r="AJ358">
        <f>((T358-X358)*2)/29.5</f>
        <v>8.24082790697133</v>
      </c>
      <c r="AK358">
        <f t="shared" si="40"/>
        <v>61236.0736842105</v>
      </c>
    </row>
    <row r="359" spans="1:37">
      <c r="A359" t="s">
        <v>422</v>
      </c>
      <c r="B359">
        <v>47</v>
      </c>
      <c r="C359" t="s">
        <v>44</v>
      </c>
      <c r="D359" t="s">
        <v>45</v>
      </c>
      <c r="E359">
        <v>1389</v>
      </c>
      <c r="F359">
        <v>228</v>
      </c>
      <c r="G359">
        <v>5</v>
      </c>
      <c r="H359">
        <v>1045.36</v>
      </c>
      <c r="I359">
        <v>5467.31</v>
      </c>
      <c r="J359">
        <v>33</v>
      </c>
      <c r="K359">
        <v>1</v>
      </c>
      <c r="L359">
        <v>33.8</v>
      </c>
      <c r="M359">
        <v>28.6</v>
      </c>
      <c r="N359" t="s">
        <v>57</v>
      </c>
      <c r="O359" t="s">
        <v>75</v>
      </c>
      <c r="P359" t="s">
        <v>58</v>
      </c>
      <c r="R359">
        <f>SUMIF(A359:A5358,"C00358",I359:I5358)</f>
        <v>5467.31</v>
      </c>
      <c r="S359" s="1">
        <v>5467.31</v>
      </c>
      <c r="T359">
        <f t="shared" si="36"/>
        <v>165.676060606061</v>
      </c>
      <c r="U359">
        <f t="shared" si="37"/>
        <v>943.8</v>
      </c>
      <c r="V359">
        <f>U359*1</f>
        <v>943.8</v>
      </c>
      <c r="W359">
        <f t="shared" si="39"/>
        <v>2171.22333333333</v>
      </c>
      <c r="X359">
        <f t="shared" si="35"/>
        <v>1.32872885895768</v>
      </c>
      <c r="AH359" t="str">
        <f t="shared" si="41"/>
        <v>3rd Quality</v>
      </c>
      <c r="AJ359">
        <f>((T359-X359)*2)/33.8</f>
        <v>9.72469418621913</v>
      </c>
      <c r="AK359">
        <f t="shared" si="40"/>
        <v>230124.048181818</v>
      </c>
    </row>
    <row r="360" spans="1:37">
      <c r="A360" t="s">
        <v>423</v>
      </c>
      <c r="B360">
        <v>19</v>
      </c>
      <c r="C360" t="s">
        <v>50</v>
      </c>
      <c r="D360" t="s">
        <v>51</v>
      </c>
      <c r="E360">
        <v>1004</v>
      </c>
      <c r="F360">
        <v>38</v>
      </c>
      <c r="G360">
        <v>4</v>
      </c>
      <c r="H360">
        <v>5500.36</v>
      </c>
      <c r="I360">
        <v>21639.93</v>
      </c>
      <c r="J360">
        <v>29</v>
      </c>
      <c r="K360">
        <v>0</v>
      </c>
      <c r="L360">
        <v>5.5</v>
      </c>
      <c r="M360">
        <v>27</v>
      </c>
      <c r="N360" t="s">
        <v>57</v>
      </c>
      <c r="O360" t="s">
        <v>47</v>
      </c>
      <c r="P360" t="s">
        <v>58</v>
      </c>
      <c r="R360">
        <f>SUMIF(A360:A5359,"C00359",I360:I5359)</f>
        <v>21639.93</v>
      </c>
      <c r="S360" s="1">
        <v>21639.93</v>
      </c>
      <c r="T360">
        <f t="shared" si="36"/>
        <v>746.204482758621</v>
      </c>
      <c r="U360">
        <f t="shared" si="37"/>
        <v>783</v>
      </c>
      <c r="V360">
        <f t="shared" si="38"/>
        <v>65.25</v>
      </c>
      <c r="W360">
        <f t="shared" si="39"/>
        <v>9047.09666666667</v>
      </c>
      <c r="X360">
        <f t="shared" si="35"/>
        <v>0.18253350689773</v>
      </c>
      <c r="AH360" t="str">
        <f t="shared" si="41"/>
        <v>2nd Quality</v>
      </c>
      <c r="AJ360">
        <f>((T360-X360)*2)/5.5</f>
        <v>271.280708818808</v>
      </c>
      <c r="AK360">
        <f t="shared" si="40"/>
        <v>749189.300689655</v>
      </c>
    </row>
    <row r="361" spans="1:37">
      <c r="A361" t="s">
        <v>424</v>
      </c>
      <c r="B361">
        <v>39</v>
      </c>
      <c r="C361" t="s">
        <v>44</v>
      </c>
      <c r="D361" t="s">
        <v>60</v>
      </c>
      <c r="E361">
        <v>1031</v>
      </c>
      <c r="F361">
        <v>106</v>
      </c>
      <c r="G361">
        <v>2</v>
      </c>
      <c r="H361">
        <v>11577.66</v>
      </c>
      <c r="I361">
        <v>22058.15</v>
      </c>
      <c r="J361">
        <v>24</v>
      </c>
      <c r="K361">
        <v>0</v>
      </c>
      <c r="L361">
        <v>0</v>
      </c>
      <c r="M361">
        <v>14.5</v>
      </c>
      <c r="N361" t="s">
        <v>81</v>
      </c>
      <c r="O361" t="s">
        <v>53</v>
      </c>
      <c r="P361" t="s">
        <v>58</v>
      </c>
      <c r="R361">
        <f>SUMIF(A361:A5360,"C00360",I361:I5360)</f>
        <v>22058.15</v>
      </c>
      <c r="S361" s="1">
        <v>22058.15</v>
      </c>
      <c r="T361">
        <f t="shared" si="36"/>
        <v>919.089583333333</v>
      </c>
      <c r="U361">
        <f t="shared" si="37"/>
        <v>348</v>
      </c>
      <c r="V361">
        <f t="shared" si="38"/>
        <v>29</v>
      </c>
      <c r="W361">
        <f t="shared" si="39"/>
        <v>11212.27</v>
      </c>
      <c r="X361">
        <f t="shared" si="35"/>
        <v>0.0890508099218668</v>
      </c>
      <c r="AH361" t="str">
        <f t="shared" si="41"/>
        <v>2nd Quality</v>
      </c>
      <c r="AJ361">
        <f>((T361-X361)*2)</f>
        <v>1838.00106504682</v>
      </c>
      <c r="AK361">
        <f t="shared" si="40"/>
        <v>947581.360416667</v>
      </c>
    </row>
    <row r="362" spans="1:37">
      <c r="A362" t="s">
        <v>425</v>
      </c>
      <c r="B362">
        <v>37</v>
      </c>
      <c r="C362" t="s">
        <v>50</v>
      </c>
      <c r="D362" t="s">
        <v>60</v>
      </c>
      <c r="E362">
        <v>850</v>
      </c>
      <c r="F362">
        <v>165</v>
      </c>
      <c r="G362">
        <v>1</v>
      </c>
      <c r="H362">
        <v>2487.23</v>
      </c>
      <c r="I362">
        <v>2452.57</v>
      </c>
      <c r="J362">
        <v>12</v>
      </c>
      <c r="K362">
        <v>0</v>
      </c>
      <c r="L362">
        <v>24.8</v>
      </c>
      <c r="M362">
        <v>21.7</v>
      </c>
      <c r="N362" t="s">
        <v>81</v>
      </c>
      <c r="O362" t="s">
        <v>47</v>
      </c>
      <c r="P362" t="s">
        <v>58</v>
      </c>
      <c r="R362">
        <f>SUMIF(A362:A5361,"C00361",I362:I5361)</f>
        <v>2452.57</v>
      </c>
      <c r="S362" s="1">
        <v>2452.57</v>
      </c>
      <c r="T362">
        <f t="shared" si="36"/>
        <v>204.380833333333</v>
      </c>
      <c r="U362">
        <f t="shared" si="37"/>
        <v>260.4</v>
      </c>
      <c r="V362">
        <f t="shared" si="38"/>
        <v>21.7</v>
      </c>
      <c r="W362">
        <f t="shared" si="39"/>
        <v>1646.93333333333</v>
      </c>
      <c r="X362">
        <f t="shared" si="35"/>
        <v>0.341745636712327</v>
      </c>
      <c r="AH362" t="str">
        <f t="shared" si="41"/>
        <v>3rd Quality</v>
      </c>
      <c r="AJ362">
        <f>((T362-X362)*2)/24.8</f>
        <v>16.4547651368242</v>
      </c>
      <c r="AK362">
        <f t="shared" si="40"/>
        <v>173723.708333333</v>
      </c>
    </row>
    <row r="363" spans="1:37">
      <c r="A363" t="s">
        <v>426</v>
      </c>
      <c r="B363">
        <v>24</v>
      </c>
      <c r="C363" t="s">
        <v>50</v>
      </c>
      <c r="D363" t="s">
        <v>60</v>
      </c>
      <c r="E363">
        <v>1259</v>
      </c>
      <c r="F363">
        <v>8</v>
      </c>
      <c r="G363">
        <v>27</v>
      </c>
      <c r="H363">
        <v>2046.31</v>
      </c>
      <c r="I363">
        <v>52690.9</v>
      </c>
      <c r="J363">
        <v>167</v>
      </c>
      <c r="K363">
        <v>1</v>
      </c>
      <c r="L363">
        <v>22.3</v>
      </c>
      <c r="M363">
        <v>46.8</v>
      </c>
      <c r="N363" t="s">
        <v>78</v>
      </c>
      <c r="O363" t="s">
        <v>75</v>
      </c>
      <c r="P363" t="s">
        <v>58</v>
      </c>
      <c r="R363">
        <f>SUMIF(A363:A5362,"C00362",I363:I5362)</f>
        <v>52690.9</v>
      </c>
      <c r="S363" s="1">
        <v>52690.9</v>
      </c>
      <c r="T363">
        <f t="shared" si="36"/>
        <v>315.514371257485</v>
      </c>
      <c r="U363">
        <f t="shared" si="37"/>
        <v>7815.6</v>
      </c>
      <c r="V363">
        <f>U363*1</f>
        <v>7815.6</v>
      </c>
      <c r="W363">
        <f t="shared" si="39"/>
        <v>18246.07</v>
      </c>
      <c r="X363">
        <f t="shared" si="35"/>
        <v>0.615253798300355</v>
      </c>
      <c r="AH363" t="str">
        <f t="shared" si="41"/>
        <v>1st Quality</v>
      </c>
      <c r="AJ363">
        <f>((T363-X363)*2)/22.3</f>
        <v>28.2420733147251</v>
      </c>
      <c r="AK363">
        <f t="shared" si="40"/>
        <v>397232.593413174</v>
      </c>
    </row>
    <row r="364" spans="1:37">
      <c r="A364" t="s">
        <v>427</v>
      </c>
      <c r="B364">
        <v>20</v>
      </c>
      <c r="C364" t="s">
        <v>44</v>
      </c>
      <c r="D364" t="s">
        <v>45</v>
      </c>
      <c r="E364">
        <v>773</v>
      </c>
      <c r="F364">
        <v>22</v>
      </c>
      <c r="G364">
        <v>25</v>
      </c>
      <c r="H364">
        <v>2445.88</v>
      </c>
      <c r="I364">
        <v>60019.62</v>
      </c>
      <c r="J364">
        <v>84</v>
      </c>
      <c r="K364">
        <v>1</v>
      </c>
      <c r="L364">
        <v>10.6</v>
      </c>
      <c r="M364">
        <v>36.6</v>
      </c>
      <c r="N364" t="s">
        <v>63</v>
      </c>
      <c r="O364" t="s">
        <v>47</v>
      </c>
      <c r="P364" t="s">
        <v>58</v>
      </c>
      <c r="R364">
        <f>SUMIF(A364:A5363,"C00363",I364:I5363)</f>
        <v>60019.62</v>
      </c>
      <c r="S364" s="1">
        <v>60019.62</v>
      </c>
      <c r="T364">
        <f t="shared" si="36"/>
        <v>714.519285714286</v>
      </c>
      <c r="U364">
        <f t="shared" si="37"/>
        <v>3074.4</v>
      </c>
      <c r="V364">
        <f>U364*1</f>
        <v>3074.4</v>
      </c>
      <c r="W364">
        <f t="shared" si="39"/>
        <v>20822.1666666667</v>
      </c>
      <c r="X364">
        <f t="shared" si="35"/>
        <v>0.316041670073757</v>
      </c>
      <c r="AH364" t="str">
        <f t="shared" si="41"/>
        <v>2nd Quality</v>
      </c>
      <c r="AJ364">
        <f>((T364-X364)*2)/10.6</f>
        <v>134.755329064946</v>
      </c>
      <c r="AK364">
        <f t="shared" si="40"/>
        <v>552323.407857143</v>
      </c>
    </row>
    <row r="365" spans="1:37">
      <c r="A365" t="s">
        <v>428</v>
      </c>
      <c r="B365">
        <v>36</v>
      </c>
      <c r="C365" t="s">
        <v>50</v>
      </c>
      <c r="D365" t="s">
        <v>60</v>
      </c>
      <c r="E365">
        <v>396</v>
      </c>
      <c r="F365">
        <v>11</v>
      </c>
      <c r="G365">
        <v>26</v>
      </c>
      <c r="H365">
        <v>3231.9</v>
      </c>
      <c r="I365">
        <v>87612.79</v>
      </c>
      <c r="J365">
        <v>92</v>
      </c>
      <c r="K365">
        <v>3</v>
      </c>
      <c r="L365">
        <v>10.7</v>
      </c>
      <c r="M365">
        <v>36.2</v>
      </c>
      <c r="N365" t="s">
        <v>81</v>
      </c>
      <c r="O365" t="s">
        <v>47</v>
      </c>
      <c r="P365" t="s">
        <v>58</v>
      </c>
      <c r="R365">
        <f>SUMIF(A365:A5364,"C00364",I365:I5364)</f>
        <v>87612.79</v>
      </c>
      <c r="S365" s="1">
        <v>87612.79</v>
      </c>
      <c r="T365">
        <f t="shared" si="36"/>
        <v>952.312934782609</v>
      </c>
      <c r="U365">
        <f t="shared" si="37"/>
        <v>3330.4</v>
      </c>
      <c r="V365">
        <f>U365*3</f>
        <v>9991.2</v>
      </c>
      <c r="W365">
        <f t="shared" si="39"/>
        <v>30281.8966666667</v>
      </c>
      <c r="X365">
        <f t="shared" si="35"/>
        <v>0.122528543581175</v>
      </c>
      <c r="AH365" t="str">
        <f t="shared" si="41"/>
        <v>3rd Quality</v>
      </c>
      <c r="AJ365">
        <f>((T365-X365)*2)/10.7</f>
        <v>177.979515184865</v>
      </c>
      <c r="AK365">
        <f t="shared" si="40"/>
        <v>377115.922173913</v>
      </c>
    </row>
    <row r="366" spans="1:37">
      <c r="A366" t="s">
        <v>429</v>
      </c>
      <c r="B366">
        <v>24</v>
      </c>
      <c r="C366" t="s">
        <v>44</v>
      </c>
      <c r="D366" t="s">
        <v>51</v>
      </c>
      <c r="E366">
        <v>1207</v>
      </c>
      <c r="F366">
        <v>19</v>
      </c>
      <c r="G366">
        <v>1</v>
      </c>
      <c r="H366">
        <v>13774.33</v>
      </c>
      <c r="I366">
        <v>12785.05</v>
      </c>
      <c r="J366">
        <v>16</v>
      </c>
      <c r="K366">
        <v>0</v>
      </c>
      <c r="L366">
        <v>6.8</v>
      </c>
      <c r="M366">
        <v>19</v>
      </c>
      <c r="N366" t="s">
        <v>57</v>
      </c>
      <c r="O366" t="s">
        <v>47</v>
      </c>
      <c r="P366" t="s">
        <v>66</v>
      </c>
      <c r="R366">
        <f>SUMIF(A366:A5365,"C00365",I366:I5365)</f>
        <v>12785.05</v>
      </c>
      <c r="S366" s="1">
        <v>12785.05</v>
      </c>
      <c r="T366">
        <f t="shared" si="36"/>
        <v>799.065625</v>
      </c>
      <c r="U366">
        <f t="shared" si="37"/>
        <v>304</v>
      </c>
      <c r="V366">
        <f t="shared" si="38"/>
        <v>25.3333333333333</v>
      </c>
      <c r="W366">
        <f t="shared" si="39"/>
        <v>8853.46</v>
      </c>
      <c r="X366">
        <f t="shared" si="35"/>
        <v>0.0876267666013519</v>
      </c>
      <c r="AH366" t="str">
        <f t="shared" si="41"/>
        <v>2nd Quality</v>
      </c>
      <c r="AJ366">
        <f>((T366-X366)*2)/6.8</f>
        <v>234.993528892176</v>
      </c>
      <c r="AK366">
        <f t="shared" si="40"/>
        <v>964472.209375</v>
      </c>
    </row>
    <row r="367" spans="1:37">
      <c r="A367" t="s">
        <v>430</v>
      </c>
      <c r="B367">
        <v>31</v>
      </c>
      <c r="C367" t="s">
        <v>50</v>
      </c>
      <c r="D367" t="s">
        <v>60</v>
      </c>
      <c r="E367">
        <v>644</v>
      </c>
      <c r="F367">
        <v>35</v>
      </c>
      <c r="G367">
        <v>9</v>
      </c>
      <c r="H367">
        <v>1099.09</v>
      </c>
      <c r="I367">
        <v>10311.34</v>
      </c>
      <c r="J367">
        <v>76</v>
      </c>
      <c r="K367">
        <v>2</v>
      </c>
      <c r="L367">
        <v>13.8</v>
      </c>
      <c r="M367">
        <v>26.1</v>
      </c>
      <c r="N367" t="s">
        <v>46</v>
      </c>
      <c r="O367" t="s">
        <v>47</v>
      </c>
      <c r="P367" t="s">
        <v>66</v>
      </c>
      <c r="R367">
        <f>SUMIF(A367:A5366,"C00366",I367:I5366)</f>
        <v>10311.34</v>
      </c>
      <c r="S367" s="1">
        <v>10311.34</v>
      </c>
      <c r="T367">
        <f t="shared" si="36"/>
        <v>135.675526315789</v>
      </c>
      <c r="U367">
        <f t="shared" si="37"/>
        <v>1983.6</v>
      </c>
      <c r="V367">
        <f>U367*2</f>
        <v>3967.2</v>
      </c>
      <c r="W367">
        <f t="shared" si="39"/>
        <v>3803.81</v>
      </c>
      <c r="X367">
        <f t="shared" ref="X367:X430" si="42">E367/H367</f>
        <v>0.585939277038277</v>
      </c>
      <c r="AH367" t="str">
        <f t="shared" si="41"/>
        <v>3rd Quality</v>
      </c>
      <c r="AJ367">
        <f>((T367-X367)*2)/13.8</f>
        <v>19.5782010201088</v>
      </c>
      <c r="AK367">
        <f t="shared" si="40"/>
        <v>87375.0389473684</v>
      </c>
    </row>
    <row r="368" spans="1:37">
      <c r="A368" t="s">
        <v>431</v>
      </c>
      <c r="B368">
        <v>47</v>
      </c>
      <c r="C368" t="s">
        <v>44</v>
      </c>
      <c r="D368" t="s">
        <v>45</v>
      </c>
      <c r="E368">
        <v>1199</v>
      </c>
      <c r="F368">
        <v>39</v>
      </c>
      <c r="G368">
        <v>8</v>
      </c>
      <c r="H368">
        <v>836.51</v>
      </c>
      <c r="I368">
        <v>6007.27</v>
      </c>
      <c r="J368">
        <v>69</v>
      </c>
      <c r="K368">
        <v>1</v>
      </c>
      <c r="L368">
        <v>26.2</v>
      </c>
      <c r="M368">
        <v>26.9</v>
      </c>
      <c r="N368" t="s">
        <v>63</v>
      </c>
      <c r="O368" t="s">
        <v>47</v>
      </c>
      <c r="P368" t="s">
        <v>58</v>
      </c>
      <c r="R368">
        <f>SUMIF(A368:A5367,"C00367",I368:I5367)</f>
        <v>6007.27</v>
      </c>
      <c r="S368" s="1">
        <v>6007.27</v>
      </c>
      <c r="T368">
        <f t="shared" si="36"/>
        <v>87.061884057971</v>
      </c>
      <c r="U368">
        <f t="shared" si="37"/>
        <v>1856.1</v>
      </c>
      <c r="V368">
        <f>U368*1</f>
        <v>1856.1</v>
      </c>
      <c r="W368">
        <f t="shared" si="39"/>
        <v>2281.59333333333</v>
      </c>
      <c r="X368">
        <f t="shared" si="42"/>
        <v>1.43333612270027</v>
      </c>
      <c r="AH368" t="str">
        <f t="shared" si="41"/>
        <v>3rd Quality</v>
      </c>
      <c r="AJ368">
        <f>((T368-X368)*2)/26.2</f>
        <v>6.53653037673822</v>
      </c>
      <c r="AK368">
        <f t="shared" si="40"/>
        <v>104387.198985507</v>
      </c>
    </row>
    <row r="369" spans="1:37">
      <c r="A369" t="s">
        <v>432</v>
      </c>
      <c r="B369">
        <v>36</v>
      </c>
      <c r="C369" t="s">
        <v>50</v>
      </c>
      <c r="D369" t="s">
        <v>60</v>
      </c>
      <c r="E369">
        <v>896</v>
      </c>
      <c r="F369">
        <v>81</v>
      </c>
      <c r="G369">
        <v>2</v>
      </c>
      <c r="H369">
        <v>660.22</v>
      </c>
      <c r="I369">
        <v>1162.49</v>
      </c>
      <c r="J369">
        <v>19</v>
      </c>
      <c r="K369">
        <v>0</v>
      </c>
      <c r="L369">
        <v>35.6</v>
      </c>
      <c r="M369">
        <v>43.3</v>
      </c>
      <c r="N369" t="s">
        <v>46</v>
      </c>
      <c r="O369" t="s">
        <v>75</v>
      </c>
      <c r="P369" t="s">
        <v>58</v>
      </c>
      <c r="R369">
        <f>SUMIF(A369:A5368,"C00368",I369:I5368)</f>
        <v>1162.49</v>
      </c>
      <c r="S369" s="1">
        <v>1162.49</v>
      </c>
      <c r="T369">
        <f t="shared" si="36"/>
        <v>61.1836842105263</v>
      </c>
      <c r="U369">
        <f t="shared" si="37"/>
        <v>822.7</v>
      </c>
      <c r="V369">
        <f t="shared" si="38"/>
        <v>68.5583333333333</v>
      </c>
      <c r="W369">
        <f t="shared" si="39"/>
        <v>607.903333333333</v>
      </c>
      <c r="X369">
        <f t="shared" si="42"/>
        <v>1.35712338311472</v>
      </c>
      <c r="AH369" t="str">
        <f t="shared" si="41"/>
        <v>3rd Quality</v>
      </c>
      <c r="AJ369">
        <f>((T369-X369)*2)/35.6</f>
        <v>3.36104274311301</v>
      </c>
      <c r="AK369">
        <f t="shared" si="40"/>
        <v>54820.5810526316</v>
      </c>
    </row>
    <row r="370" spans="1:37">
      <c r="A370" t="s">
        <v>433</v>
      </c>
      <c r="B370">
        <v>30</v>
      </c>
      <c r="C370" t="s">
        <v>44</v>
      </c>
      <c r="D370" t="s">
        <v>45</v>
      </c>
      <c r="E370">
        <v>761</v>
      </c>
      <c r="F370">
        <v>13</v>
      </c>
      <c r="G370">
        <v>9</v>
      </c>
      <c r="H370">
        <v>1362.66</v>
      </c>
      <c r="I370">
        <v>11478.2</v>
      </c>
      <c r="J370">
        <v>23</v>
      </c>
      <c r="K370">
        <v>0</v>
      </c>
      <c r="L370">
        <v>24.8</v>
      </c>
      <c r="M370">
        <v>20.8</v>
      </c>
      <c r="N370" t="s">
        <v>81</v>
      </c>
      <c r="O370" t="s">
        <v>47</v>
      </c>
      <c r="P370" t="s">
        <v>68</v>
      </c>
      <c r="R370">
        <f>SUMIF(A370:A5369,"C00369",I370:I5369)</f>
        <v>11478.2</v>
      </c>
      <c r="S370" s="1">
        <v>11478.2</v>
      </c>
      <c r="T370">
        <f t="shared" si="36"/>
        <v>499.052173913044</v>
      </c>
      <c r="U370">
        <f t="shared" si="37"/>
        <v>478.4</v>
      </c>
      <c r="V370">
        <f t="shared" si="38"/>
        <v>39.8666666666667</v>
      </c>
      <c r="W370">
        <f t="shared" si="39"/>
        <v>4280.62</v>
      </c>
      <c r="X370">
        <f t="shared" si="42"/>
        <v>0.558466528701217</v>
      </c>
      <c r="AH370" t="str">
        <f t="shared" si="41"/>
        <v>3rd Quality</v>
      </c>
      <c r="AJ370">
        <f>((T370-X370)*2)/24.8</f>
        <v>40.2011054342212</v>
      </c>
      <c r="AK370">
        <f t="shared" si="40"/>
        <v>379778.704347826</v>
      </c>
    </row>
    <row r="371" spans="1:37">
      <c r="A371" t="s">
        <v>434</v>
      </c>
      <c r="B371">
        <v>57</v>
      </c>
      <c r="C371" t="s">
        <v>50</v>
      </c>
      <c r="D371" t="s">
        <v>60</v>
      </c>
      <c r="E371">
        <v>955</v>
      </c>
      <c r="F371">
        <v>86</v>
      </c>
      <c r="G371">
        <v>1</v>
      </c>
      <c r="H371">
        <v>2530.37</v>
      </c>
      <c r="I371">
        <v>2349.62</v>
      </c>
      <c r="J371">
        <v>14</v>
      </c>
      <c r="K371">
        <v>0</v>
      </c>
      <c r="L371">
        <v>30</v>
      </c>
      <c r="M371">
        <v>53.9</v>
      </c>
      <c r="N371" t="s">
        <v>46</v>
      </c>
      <c r="O371" t="s">
        <v>53</v>
      </c>
      <c r="P371" t="s">
        <v>66</v>
      </c>
      <c r="R371">
        <f>SUMIF(A371:A5370,"C00370",I5370:I70371)</f>
        <v>0</v>
      </c>
      <c r="S371" s="1">
        <v>2349.62</v>
      </c>
      <c r="T371">
        <f t="shared" si="36"/>
        <v>167.83</v>
      </c>
      <c r="U371">
        <f t="shared" si="37"/>
        <v>754.6</v>
      </c>
      <c r="V371">
        <f t="shared" si="38"/>
        <v>62.8833333333333</v>
      </c>
      <c r="W371">
        <f t="shared" si="39"/>
        <v>1626.99666666667</v>
      </c>
      <c r="X371">
        <f t="shared" si="42"/>
        <v>0.377415160628683</v>
      </c>
      <c r="AH371" t="str">
        <f t="shared" si="41"/>
        <v>3rd Quality</v>
      </c>
      <c r="AJ371">
        <f>((T371-X371)*2)/30</f>
        <v>11.1635056559581</v>
      </c>
      <c r="AK371">
        <f t="shared" si="40"/>
        <v>160277.65</v>
      </c>
    </row>
    <row r="372" spans="1:37">
      <c r="A372" t="s">
        <v>435</v>
      </c>
      <c r="B372">
        <v>38</v>
      </c>
      <c r="C372" t="s">
        <v>44</v>
      </c>
      <c r="D372" t="s">
        <v>45</v>
      </c>
      <c r="E372">
        <v>848</v>
      </c>
      <c r="F372">
        <v>112</v>
      </c>
      <c r="G372">
        <v>2</v>
      </c>
      <c r="H372">
        <v>884.9</v>
      </c>
      <c r="I372">
        <v>1911.31</v>
      </c>
      <c r="J372">
        <v>20</v>
      </c>
      <c r="K372">
        <v>0</v>
      </c>
      <c r="L372">
        <v>35.3</v>
      </c>
      <c r="M372">
        <v>10.2</v>
      </c>
      <c r="N372" t="s">
        <v>61</v>
      </c>
      <c r="O372" t="s">
        <v>53</v>
      </c>
      <c r="P372" t="s">
        <v>58</v>
      </c>
      <c r="R372">
        <f>SUMIF(A372:A5371,"C00371",I372:I5371)</f>
        <v>1911.31</v>
      </c>
      <c r="S372" s="1">
        <v>1911.31</v>
      </c>
      <c r="T372">
        <f t="shared" si="36"/>
        <v>95.5655</v>
      </c>
      <c r="U372">
        <f t="shared" si="37"/>
        <v>204</v>
      </c>
      <c r="V372">
        <f t="shared" si="38"/>
        <v>17</v>
      </c>
      <c r="W372">
        <f t="shared" si="39"/>
        <v>932.403333333333</v>
      </c>
      <c r="X372">
        <f t="shared" si="42"/>
        <v>0.958300372923494</v>
      </c>
      <c r="AH372" t="str">
        <f t="shared" si="41"/>
        <v>3rd Quality</v>
      </c>
      <c r="AJ372">
        <f>((T372-X372)*2)/35.3</f>
        <v>5.36018128198734</v>
      </c>
      <c r="AK372">
        <f t="shared" si="40"/>
        <v>81039.544</v>
      </c>
    </row>
    <row r="373" spans="1:37">
      <c r="A373" t="s">
        <v>436</v>
      </c>
      <c r="B373">
        <v>26</v>
      </c>
      <c r="C373" t="s">
        <v>50</v>
      </c>
      <c r="D373" t="s">
        <v>51</v>
      </c>
      <c r="E373">
        <v>811</v>
      </c>
      <c r="F373">
        <v>3</v>
      </c>
      <c r="G373">
        <v>9</v>
      </c>
      <c r="H373">
        <v>1178.53</v>
      </c>
      <c r="I373">
        <v>11258.56</v>
      </c>
      <c r="J373">
        <v>61</v>
      </c>
      <c r="K373">
        <v>0</v>
      </c>
      <c r="L373">
        <v>20.2</v>
      </c>
      <c r="M373">
        <v>27.5</v>
      </c>
      <c r="N373" t="s">
        <v>61</v>
      </c>
      <c r="O373" t="s">
        <v>47</v>
      </c>
      <c r="P373" t="s">
        <v>68</v>
      </c>
      <c r="R373">
        <f>SUMIF(A373:A5372,"C00372",I373:I5372)</f>
        <v>11258.56</v>
      </c>
      <c r="S373" s="1">
        <v>11258.56</v>
      </c>
      <c r="T373">
        <f t="shared" si="36"/>
        <v>184.566557377049</v>
      </c>
      <c r="U373">
        <f t="shared" si="37"/>
        <v>1677.5</v>
      </c>
      <c r="V373">
        <f t="shared" si="38"/>
        <v>139.791666666667</v>
      </c>
      <c r="W373">
        <f t="shared" si="39"/>
        <v>4146.03</v>
      </c>
      <c r="X373">
        <f t="shared" si="42"/>
        <v>0.688145401474718</v>
      </c>
      <c r="AH373" t="str">
        <f t="shared" si="41"/>
        <v>3rd Quality</v>
      </c>
      <c r="AJ373">
        <f>((T373-X373)*2)/20.2</f>
        <v>18.2057833639182</v>
      </c>
      <c r="AK373">
        <f t="shared" si="40"/>
        <v>149683.478032787</v>
      </c>
    </row>
    <row r="374" spans="1:37">
      <c r="A374" t="s">
        <v>437</v>
      </c>
      <c r="B374">
        <v>40</v>
      </c>
      <c r="C374" t="s">
        <v>50</v>
      </c>
      <c r="D374" t="s">
        <v>45</v>
      </c>
      <c r="E374">
        <v>666</v>
      </c>
      <c r="F374">
        <v>13</v>
      </c>
      <c r="G374">
        <v>6</v>
      </c>
      <c r="H374">
        <v>13333</v>
      </c>
      <c r="I374">
        <v>8319.26</v>
      </c>
      <c r="J374">
        <v>31</v>
      </c>
      <c r="K374">
        <v>0</v>
      </c>
      <c r="L374">
        <v>27.8</v>
      </c>
      <c r="M374">
        <v>27.2</v>
      </c>
      <c r="N374" t="s">
        <v>78</v>
      </c>
      <c r="O374" t="s">
        <v>47</v>
      </c>
      <c r="P374" t="s">
        <v>58</v>
      </c>
      <c r="R374">
        <f>SUMIF(A374:A5373,"C00373",I374:I5373)</f>
        <v>8319.26</v>
      </c>
      <c r="S374" s="1">
        <v>8319.26</v>
      </c>
      <c r="T374">
        <f t="shared" si="36"/>
        <v>268.363225806452</v>
      </c>
      <c r="U374">
        <f t="shared" si="37"/>
        <v>843.2</v>
      </c>
      <c r="V374">
        <f t="shared" si="38"/>
        <v>70.2666666666667</v>
      </c>
      <c r="W374">
        <f t="shared" si="39"/>
        <v>7217.75333333333</v>
      </c>
      <c r="X374">
        <f t="shared" si="42"/>
        <v>0.0499512487812195</v>
      </c>
      <c r="AH374" t="str">
        <f t="shared" si="41"/>
        <v>2nd Quality</v>
      </c>
      <c r="AJ374">
        <f>((T374-X374)*2)/27.8</f>
        <v>19.3031132775303</v>
      </c>
      <c r="AK374">
        <f t="shared" si="40"/>
        <v>178729.908387097</v>
      </c>
    </row>
    <row r="375" spans="1:37">
      <c r="A375" t="s">
        <v>438</v>
      </c>
      <c r="B375">
        <v>45</v>
      </c>
      <c r="C375" t="s">
        <v>44</v>
      </c>
      <c r="D375" t="s">
        <v>60</v>
      </c>
      <c r="E375">
        <v>737</v>
      </c>
      <c r="F375">
        <v>18</v>
      </c>
      <c r="G375">
        <v>11</v>
      </c>
      <c r="H375">
        <v>995.88</v>
      </c>
      <c r="I375">
        <v>11496.94</v>
      </c>
      <c r="J375">
        <v>28</v>
      </c>
      <c r="K375">
        <v>4</v>
      </c>
      <c r="L375">
        <v>21.7</v>
      </c>
      <c r="M375">
        <v>10.6</v>
      </c>
      <c r="N375" t="s">
        <v>46</v>
      </c>
      <c r="O375" t="s">
        <v>47</v>
      </c>
      <c r="P375" t="s">
        <v>58</v>
      </c>
      <c r="R375">
        <f>SUMIF(A375:A5374,"C00374",I375:I5374)</f>
        <v>11496.94</v>
      </c>
      <c r="S375" s="1">
        <v>11496.94</v>
      </c>
      <c r="T375">
        <f t="shared" si="36"/>
        <v>410.605</v>
      </c>
      <c r="U375">
        <f t="shared" si="37"/>
        <v>296.8</v>
      </c>
      <c r="V375">
        <f>U375*4</f>
        <v>1187.2</v>
      </c>
      <c r="W375">
        <f t="shared" si="39"/>
        <v>4164.60666666667</v>
      </c>
      <c r="X375">
        <f t="shared" si="42"/>
        <v>0.740049001887778</v>
      </c>
      <c r="AH375" t="str">
        <f t="shared" si="41"/>
        <v>3rd Quality</v>
      </c>
      <c r="AJ375">
        <f>((T375-X375)*2)/21.7</f>
        <v>37.7755715205633</v>
      </c>
      <c r="AK375">
        <f t="shared" si="40"/>
        <v>302615.885</v>
      </c>
    </row>
    <row r="376" spans="1:37">
      <c r="A376" t="s">
        <v>439</v>
      </c>
      <c r="B376">
        <v>40</v>
      </c>
      <c r="C376" t="s">
        <v>44</v>
      </c>
      <c r="D376" t="s">
        <v>45</v>
      </c>
      <c r="E376">
        <v>732</v>
      </c>
      <c r="F376">
        <v>7</v>
      </c>
      <c r="G376">
        <v>15</v>
      </c>
      <c r="H376">
        <v>2193.02</v>
      </c>
      <c r="I376">
        <v>34182.06</v>
      </c>
      <c r="J376">
        <v>81</v>
      </c>
      <c r="K376">
        <v>3</v>
      </c>
      <c r="L376">
        <v>0</v>
      </c>
      <c r="M376">
        <v>47.2</v>
      </c>
      <c r="N376" t="s">
        <v>81</v>
      </c>
      <c r="O376" t="s">
        <v>75</v>
      </c>
      <c r="P376" t="s">
        <v>58</v>
      </c>
      <c r="R376">
        <f>SUMIF(A376:A5375,"C00375",I376:I5375)</f>
        <v>34182.06</v>
      </c>
      <c r="S376" s="1">
        <v>34182.06</v>
      </c>
      <c r="T376">
        <f t="shared" si="36"/>
        <v>422.000740740741</v>
      </c>
      <c r="U376">
        <f t="shared" si="37"/>
        <v>3823.2</v>
      </c>
      <c r="V376">
        <f>U376*3</f>
        <v>11469.6</v>
      </c>
      <c r="W376">
        <f t="shared" si="39"/>
        <v>12125.36</v>
      </c>
      <c r="X376">
        <f t="shared" si="42"/>
        <v>0.333786285578791</v>
      </c>
      <c r="AH376" t="str">
        <f t="shared" si="41"/>
        <v>2nd Quality</v>
      </c>
      <c r="AJ376">
        <f>((T376-X376)*2)</f>
        <v>843.333908910324</v>
      </c>
      <c r="AK376">
        <f t="shared" si="40"/>
        <v>308904.542222222</v>
      </c>
    </row>
    <row r="377" spans="1:37">
      <c r="A377" t="s">
        <v>440</v>
      </c>
      <c r="B377">
        <v>44</v>
      </c>
      <c r="C377" t="s">
        <v>50</v>
      </c>
      <c r="D377" t="s">
        <v>45</v>
      </c>
      <c r="E377">
        <v>861</v>
      </c>
      <c r="F377">
        <v>15</v>
      </c>
      <c r="G377">
        <v>19</v>
      </c>
      <c r="H377">
        <v>5055.36</v>
      </c>
      <c r="I377">
        <v>103577.34</v>
      </c>
      <c r="J377">
        <v>163</v>
      </c>
      <c r="K377">
        <v>4</v>
      </c>
      <c r="L377">
        <v>17.4</v>
      </c>
      <c r="M377">
        <v>43.3</v>
      </c>
      <c r="N377" t="s">
        <v>81</v>
      </c>
      <c r="O377" t="s">
        <v>47</v>
      </c>
      <c r="P377" t="s">
        <v>58</v>
      </c>
      <c r="R377">
        <f>SUMIF(A377:A5376,"C00376",I377:I5376)</f>
        <v>103577.34</v>
      </c>
      <c r="S377" s="1">
        <v>103577.34</v>
      </c>
      <c r="T377">
        <f t="shared" si="36"/>
        <v>635.443803680982</v>
      </c>
      <c r="U377">
        <f t="shared" si="37"/>
        <v>7057.9</v>
      </c>
      <c r="V377">
        <f>U377*4</f>
        <v>28231.6</v>
      </c>
      <c r="W377">
        <f t="shared" si="39"/>
        <v>36211.2333333333</v>
      </c>
      <c r="X377">
        <f t="shared" si="42"/>
        <v>0.170314280288644</v>
      </c>
      <c r="AH377" t="str">
        <f t="shared" si="41"/>
        <v>3rd Quality</v>
      </c>
      <c r="AJ377">
        <f>((T377-X377)*2)/17.4</f>
        <v>73.0199413104245</v>
      </c>
      <c r="AK377">
        <f t="shared" si="40"/>
        <v>547117.114969325</v>
      </c>
    </row>
    <row r="378" spans="1:37">
      <c r="A378" t="s">
        <v>441</v>
      </c>
      <c r="B378">
        <v>46</v>
      </c>
      <c r="C378" t="s">
        <v>44</v>
      </c>
      <c r="D378" t="s">
        <v>60</v>
      </c>
      <c r="E378">
        <v>1430</v>
      </c>
      <c r="F378">
        <v>145</v>
      </c>
      <c r="G378">
        <v>1</v>
      </c>
      <c r="H378">
        <v>3167.55</v>
      </c>
      <c r="I378">
        <v>3193.32</v>
      </c>
      <c r="J378">
        <v>12</v>
      </c>
      <c r="K378">
        <v>0</v>
      </c>
      <c r="L378">
        <v>21.6</v>
      </c>
      <c r="M378">
        <v>49</v>
      </c>
      <c r="N378" t="s">
        <v>46</v>
      </c>
      <c r="O378" t="s">
        <v>47</v>
      </c>
      <c r="P378" t="s">
        <v>66</v>
      </c>
      <c r="R378">
        <f>SUMIF(A378:A5377,"C00377",I378:I5377)</f>
        <v>3193.32</v>
      </c>
      <c r="S378" s="1">
        <v>3193.32</v>
      </c>
      <c r="T378">
        <f t="shared" si="36"/>
        <v>266.11</v>
      </c>
      <c r="U378">
        <f t="shared" si="37"/>
        <v>588</v>
      </c>
      <c r="V378">
        <f t="shared" si="38"/>
        <v>49</v>
      </c>
      <c r="W378">
        <f t="shared" si="39"/>
        <v>2120.62333333333</v>
      </c>
      <c r="X378">
        <f t="shared" si="42"/>
        <v>0.451453015737715</v>
      </c>
      <c r="AH378" t="str">
        <f t="shared" si="41"/>
        <v>3rd Quality</v>
      </c>
      <c r="AJ378">
        <f>((T378-X378)*2)/21.6</f>
        <v>24.5980136096539</v>
      </c>
      <c r="AK378">
        <f t="shared" si="40"/>
        <v>380537.3</v>
      </c>
    </row>
    <row r="379" spans="1:37">
      <c r="A379" t="s">
        <v>442</v>
      </c>
      <c r="B379">
        <v>32</v>
      </c>
      <c r="C379" t="s">
        <v>44</v>
      </c>
      <c r="D379" t="s">
        <v>60</v>
      </c>
      <c r="E379">
        <v>769</v>
      </c>
      <c r="F379">
        <v>93</v>
      </c>
      <c r="G379">
        <v>18</v>
      </c>
      <c r="H379">
        <v>683.4</v>
      </c>
      <c r="I379">
        <v>10877.14</v>
      </c>
      <c r="J379">
        <v>70</v>
      </c>
      <c r="K379">
        <v>0</v>
      </c>
      <c r="L379">
        <v>43.6</v>
      </c>
      <c r="M379">
        <v>29.1</v>
      </c>
      <c r="N379" t="s">
        <v>57</v>
      </c>
      <c r="O379" t="s">
        <v>47</v>
      </c>
      <c r="P379" t="s">
        <v>68</v>
      </c>
      <c r="R379">
        <f>SUMIF(A379:A5378,"C00378",I379:I5378)</f>
        <v>10877.14</v>
      </c>
      <c r="S379" s="1">
        <v>10877.14</v>
      </c>
      <c r="T379">
        <f t="shared" si="36"/>
        <v>155.387714285714</v>
      </c>
      <c r="U379">
        <f t="shared" si="37"/>
        <v>2037</v>
      </c>
      <c r="V379">
        <f t="shared" si="38"/>
        <v>169.75</v>
      </c>
      <c r="W379">
        <f t="shared" si="39"/>
        <v>3853.84666666667</v>
      </c>
      <c r="X379">
        <f t="shared" si="42"/>
        <v>1.12525607257829</v>
      </c>
      <c r="AH379" t="str">
        <f t="shared" si="41"/>
        <v>3rd Quality</v>
      </c>
      <c r="AJ379">
        <f>((T379-X379)*2)/43.6</f>
        <v>7.07625955106127</v>
      </c>
      <c r="AK379">
        <f t="shared" si="40"/>
        <v>119493.152285714</v>
      </c>
    </row>
    <row r="380" spans="1:37">
      <c r="A380" t="s">
        <v>443</v>
      </c>
      <c r="B380">
        <v>48</v>
      </c>
      <c r="C380" t="s">
        <v>50</v>
      </c>
      <c r="D380" t="s">
        <v>60</v>
      </c>
      <c r="E380">
        <v>1049</v>
      </c>
      <c r="F380">
        <v>20</v>
      </c>
      <c r="G380">
        <v>11</v>
      </c>
      <c r="H380">
        <v>1684.24</v>
      </c>
      <c r="I380">
        <v>20142.09</v>
      </c>
      <c r="J380">
        <v>82</v>
      </c>
      <c r="K380">
        <v>0</v>
      </c>
      <c r="L380">
        <v>19.3</v>
      </c>
      <c r="M380">
        <v>4.2</v>
      </c>
      <c r="N380" t="s">
        <v>78</v>
      </c>
      <c r="O380" t="s">
        <v>47</v>
      </c>
      <c r="P380" t="s">
        <v>66</v>
      </c>
      <c r="R380">
        <f>SUMIF(A380:A5379,"C00379",I380:I5379)</f>
        <v>20142.09</v>
      </c>
      <c r="S380" s="1">
        <v>20142.09</v>
      </c>
      <c r="T380">
        <f t="shared" si="36"/>
        <v>245.635243902439</v>
      </c>
      <c r="U380">
        <f t="shared" si="37"/>
        <v>344.4</v>
      </c>
      <c r="V380">
        <f t="shared" si="38"/>
        <v>28.7</v>
      </c>
      <c r="W380">
        <f t="shared" si="39"/>
        <v>7275.77666666667</v>
      </c>
      <c r="X380">
        <f t="shared" si="42"/>
        <v>0.622832850425118</v>
      </c>
      <c r="AH380" t="str">
        <f t="shared" si="41"/>
        <v>3rd Quality</v>
      </c>
      <c r="AJ380">
        <f>((T380-X380)*2)/19.3</f>
        <v>25.3898871556491</v>
      </c>
      <c r="AK380">
        <f t="shared" si="40"/>
        <v>257671.370853659</v>
      </c>
    </row>
    <row r="381" spans="1:37">
      <c r="A381" t="s">
        <v>444</v>
      </c>
      <c r="B381">
        <v>50</v>
      </c>
      <c r="C381" t="s">
        <v>44</v>
      </c>
      <c r="D381" t="s">
        <v>45</v>
      </c>
      <c r="E381">
        <v>413</v>
      </c>
      <c r="F381">
        <v>10</v>
      </c>
      <c r="G381">
        <v>5</v>
      </c>
      <c r="H381">
        <v>1178.07</v>
      </c>
      <c r="I381">
        <v>5848.54</v>
      </c>
      <c r="J381">
        <v>40</v>
      </c>
      <c r="K381">
        <v>0</v>
      </c>
      <c r="L381">
        <v>35.2</v>
      </c>
      <c r="M381">
        <v>20.2</v>
      </c>
      <c r="N381" t="s">
        <v>46</v>
      </c>
      <c r="O381" t="s">
        <v>53</v>
      </c>
      <c r="P381" t="s">
        <v>48</v>
      </c>
      <c r="R381">
        <f>SUMIF(A381:A5380,"C00380",I381:I5380)</f>
        <v>5848.54</v>
      </c>
      <c r="S381" s="1">
        <v>5848.54</v>
      </c>
      <c r="T381">
        <f t="shared" si="36"/>
        <v>146.2135</v>
      </c>
      <c r="U381">
        <f t="shared" si="37"/>
        <v>808</v>
      </c>
      <c r="V381">
        <f t="shared" si="38"/>
        <v>67.3333333333333</v>
      </c>
      <c r="W381">
        <f t="shared" si="39"/>
        <v>2342.53666666667</v>
      </c>
      <c r="X381">
        <f t="shared" si="42"/>
        <v>0.35057339546886</v>
      </c>
      <c r="AH381" t="str">
        <f t="shared" si="41"/>
        <v>3rd Quality</v>
      </c>
      <c r="AJ381">
        <f>((T381-X381)*2)/35.2</f>
        <v>8.28766628434836</v>
      </c>
      <c r="AK381">
        <f t="shared" si="40"/>
        <v>60386.1755</v>
      </c>
    </row>
    <row r="382" spans="1:37">
      <c r="A382" t="s">
        <v>445</v>
      </c>
      <c r="B382">
        <v>36</v>
      </c>
      <c r="C382" t="s">
        <v>50</v>
      </c>
      <c r="D382" t="s">
        <v>60</v>
      </c>
      <c r="E382">
        <v>373</v>
      </c>
      <c r="F382">
        <v>11</v>
      </c>
      <c r="G382">
        <v>4</v>
      </c>
      <c r="H382">
        <v>5994.55</v>
      </c>
      <c r="I382">
        <v>26443.69</v>
      </c>
      <c r="J382">
        <v>35</v>
      </c>
      <c r="K382">
        <v>0</v>
      </c>
      <c r="L382">
        <v>1.9</v>
      </c>
      <c r="M382">
        <v>48.1</v>
      </c>
      <c r="N382" t="s">
        <v>61</v>
      </c>
      <c r="O382" t="s">
        <v>47</v>
      </c>
      <c r="P382" t="s">
        <v>68</v>
      </c>
      <c r="R382">
        <f>SUMIF(A382:A5381,"C00381",I382:I5381)</f>
        <v>26443.69</v>
      </c>
      <c r="S382" s="1">
        <v>26443.69</v>
      </c>
      <c r="T382">
        <f t="shared" si="36"/>
        <v>755.534</v>
      </c>
      <c r="U382">
        <f t="shared" si="37"/>
        <v>1683.5</v>
      </c>
      <c r="V382">
        <f t="shared" si="38"/>
        <v>140.291666666667</v>
      </c>
      <c r="W382">
        <f t="shared" si="39"/>
        <v>10813.08</v>
      </c>
      <c r="X382">
        <f t="shared" si="42"/>
        <v>0.0622231860606718</v>
      </c>
      <c r="AH382" t="str">
        <f t="shared" si="41"/>
        <v>3rd Quality</v>
      </c>
      <c r="AJ382">
        <f>((T382-X382)*2)/1.9</f>
        <v>795.233449277831</v>
      </c>
      <c r="AK382">
        <f t="shared" si="40"/>
        <v>281814.182</v>
      </c>
    </row>
    <row r="383" spans="1:37">
      <c r="A383" t="s">
        <v>446</v>
      </c>
      <c r="B383">
        <v>58</v>
      </c>
      <c r="C383" t="s">
        <v>44</v>
      </c>
      <c r="D383" t="s">
        <v>45</v>
      </c>
      <c r="E383">
        <v>1125</v>
      </c>
      <c r="F383">
        <v>248</v>
      </c>
      <c r="G383">
        <v>1</v>
      </c>
      <c r="H383">
        <v>1421</v>
      </c>
      <c r="I383">
        <v>1555.03</v>
      </c>
      <c r="J383">
        <v>11</v>
      </c>
      <c r="K383">
        <v>0</v>
      </c>
      <c r="L383">
        <v>12</v>
      </c>
      <c r="M383">
        <v>36.8</v>
      </c>
      <c r="N383" t="s">
        <v>57</v>
      </c>
      <c r="O383" t="s">
        <v>47</v>
      </c>
      <c r="P383" t="s">
        <v>68</v>
      </c>
      <c r="R383">
        <f>SUMIF(A383:A5382,"C00382",I383:I5382)</f>
        <v>1555.03</v>
      </c>
      <c r="S383" s="1">
        <v>1555.03</v>
      </c>
      <c r="T383">
        <f t="shared" si="36"/>
        <v>141.366363636364</v>
      </c>
      <c r="U383">
        <f t="shared" si="37"/>
        <v>404.8</v>
      </c>
      <c r="V383">
        <f t="shared" si="38"/>
        <v>33.7333333333333</v>
      </c>
      <c r="W383">
        <f t="shared" si="39"/>
        <v>992.343333333333</v>
      </c>
      <c r="X383">
        <f t="shared" si="42"/>
        <v>0.791695988740324</v>
      </c>
      <c r="AH383" t="str">
        <f t="shared" si="41"/>
        <v>3rd Quality</v>
      </c>
      <c r="AJ383">
        <f>((T383-X383)*2)/12</f>
        <v>23.429111274604</v>
      </c>
      <c r="AK383">
        <f t="shared" si="40"/>
        <v>159037.159090909</v>
      </c>
    </row>
    <row r="384" spans="1:37">
      <c r="A384" t="s">
        <v>447</v>
      </c>
      <c r="B384">
        <v>29</v>
      </c>
      <c r="C384" t="s">
        <v>50</v>
      </c>
      <c r="D384" t="s">
        <v>51</v>
      </c>
      <c r="E384">
        <v>1098</v>
      </c>
      <c r="F384">
        <v>38</v>
      </c>
      <c r="G384">
        <v>6</v>
      </c>
      <c r="H384">
        <v>682.63</v>
      </c>
      <c r="I384">
        <v>3996.83</v>
      </c>
      <c r="J384">
        <v>40</v>
      </c>
      <c r="K384">
        <v>0</v>
      </c>
      <c r="L384">
        <v>46.4</v>
      </c>
      <c r="M384">
        <v>35.2</v>
      </c>
      <c r="N384" t="s">
        <v>52</v>
      </c>
      <c r="O384" t="s">
        <v>47</v>
      </c>
      <c r="P384" t="s">
        <v>58</v>
      </c>
      <c r="R384">
        <f>SUMIF(A384:A5383,"C00383",I384:I5383)</f>
        <v>3996.83</v>
      </c>
      <c r="S384" s="1">
        <v>3996.83</v>
      </c>
      <c r="T384">
        <f t="shared" si="36"/>
        <v>99.92075</v>
      </c>
      <c r="U384">
        <f t="shared" si="37"/>
        <v>1408</v>
      </c>
      <c r="V384">
        <f t="shared" si="38"/>
        <v>117.333333333333</v>
      </c>
      <c r="W384">
        <f t="shared" si="39"/>
        <v>1560.15333333333</v>
      </c>
      <c r="X384">
        <f t="shared" si="42"/>
        <v>1.60848483072821</v>
      </c>
      <c r="AH384" t="str">
        <f t="shared" si="41"/>
        <v>3rd Quality</v>
      </c>
      <c r="AJ384">
        <f>((T384-X384)*2)/46.4</f>
        <v>4.23759763660654</v>
      </c>
      <c r="AK384">
        <f t="shared" si="40"/>
        <v>109712.9835</v>
      </c>
    </row>
    <row r="385" spans="1:37">
      <c r="A385" t="s">
        <v>448</v>
      </c>
      <c r="B385">
        <v>30</v>
      </c>
      <c r="C385" t="s">
        <v>44</v>
      </c>
      <c r="D385" t="s">
        <v>51</v>
      </c>
      <c r="E385">
        <v>1211</v>
      </c>
      <c r="F385">
        <v>20</v>
      </c>
      <c r="G385">
        <v>12</v>
      </c>
      <c r="H385">
        <v>2780.04</v>
      </c>
      <c r="I385">
        <v>36827.89</v>
      </c>
      <c r="J385">
        <v>91</v>
      </c>
      <c r="K385">
        <v>1</v>
      </c>
      <c r="L385">
        <v>8.6</v>
      </c>
      <c r="M385">
        <v>22.9</v>
      </c>
      <c r="N385" t="s">
        <v>81</v>
      </c>
      <c r="O385" t="s">
        <v>53</v>
      </c>
      <c r="P385" t="s">
        <v>66</v>
      </c>
      <c r="R385">
        <f>SUMIF(A385:A5384,"C00384",I385:I5384)</f>
        <v>36827.89</v>
      </c>
      <c r="S385" s="1">
        <v>36827.89</v>
      </c>
      <c r="T385">
        <f t="shared" si="36"/>
        <v>404.702087912088</v>
      </c>
      <c r="U385">
        <f t="shared" si="37"/>
        <v>2083.9</v>
      </c>
      <c r="V385">
        <f>U385*1</f>
        <v>2083.9</v>
      </c>
      <c r="W385">
        <f t="shared" si="39"/>
        <v>13202.9766666667</v>
      </c>
      <c r="X385">
        <f t="shared" si="42"/>
        <v>0.435605243090027</v>
      </c>
      <c r="AH385" t="str">
        <f t="shared" si="41"/>
        <v>1st Quality</v>
      </c>
      <c r="AJ385">
        <f>((T385-X385)*2)/8.6</f>
        <v>94.0154610858135</v>
      </c>
      <c r="AK385">
        <f t="shared" si="40"/>
        <v>490094.228461538</v>
      </c>
    </row>
    <row r="386" spans="1:37">
      <c r="A386" t="s">
        <v>449</v>
      </c>
      <c r="B386">
        <v>19</v>
      </c>
      <c r="C386" t="s">
        <v>50</v>
      </c>
      <c r="D386" t="s">
        <v>45</v>
      </c>
      <c r="E386">
        <v>980</v>
      </c>
      <c r="F386">
        <v>79</v>
      </c>
      <c r="G386">
        <v>9</v>
      </c>
      <c r="H386">
        <v>2529.54</v>
      </c>
      <c r="I386">
        <v>20354.05</v>
      </c>
      <c r="J386">
        <v>24</v>
      </c>
      <c r="K386">
        <v>2</v>
      </c>
      <c r="L386">
        <v>22.8</v>
      </c>
      <c r="M386">
        <v>21.4</v>
      </c>
      <c r="N386" t="s">
        <v>81</v>
      </c>
      <c r="O386" t="s">
        <v>53</v>
      </c>
      <c r="P386" t="s">
        <v>58</v>
      </c>
      <c r="R386">
        <f>SUMIF(A386:A5385,"C00385",I386:I5385)</f>
        <v>20354.05</v>
      </c>
      <c r="S386" s="1">
        <v>20354.05</v>
      </c>
      <c r="T386">
        <f t="shared" si="36"/>
        <v>848.085416666667</v>
      </c>
      <c r="U386">
        <f t="shared" si="37"/>
        <v>513.6</v>
      </c>
      <c r="V386">
        <f>U386*2</f>
        <v>1027.2</v>
      </c>
      <c r="W386">
        <f t="shared" si="39"/>
        <v>7628.19666666667</v>
      </c>
      <c r="X386">
        <f t="shared" si="42"/>
        <v>0.387422219059592</v>
      </c>
      <c r="AH386" t="str">
        <f t="shared" si="41"/>
        <v>2nd Quality</v>
      </c>
      <c r="AJ386">
        <f>((T386-X386)*2)/22.8</f>
        <v>74.3594731971586</v>
      </c>
      <c r="AK386">
        <f t="shared" si="40"/>
        <v>831123.708333333</v>
      </c>
    </row>
    <row r="387" spans="1:37">
      <c r="A387" t="s">
        <v>450</v>
      </c>
      <c r="B387">
        <v>34</v>
      </c>
      <c r="C387" t="s">
        <v>44</v>
      </c>
      <c r="D387" t="s">
        <v>51</v>
      </c>
      <c r="E387">
        <v>709</v>
      </c>
      <c r="F387">
        <v>365</v>
      </c>
      <c r="G387">
        <v>1</v>
      </c>
      <c r="H387">
        <v>1197.91</v>
      </c>
      <c r="I387">
        <v>1244.58</v>
      </c>
      <c r="J387">
        <v>10</v>
      </c>
      <c r="K387">
        <v>0</v>
      </c>
      <c r="L387">
        <v>30.2</v>
      </c>
      <c r="M387">
        <v>10.3</v>
      </c>
      <c r="N387" t="s">
        <v>61</v>
      </c>
      <c r="O387" t="s">
        <v>53</v>
      </c>
      <c r="P387" t="s">
        <v>66</v>
      </c>
      <c r="R387">
        <f>SUMIF(A387:A5386,"C00386",I387:I5386)</f>
        <v>1244.58</v>
      </c>
      <c r="S387" s="1">
        <v>1244.58</v>
      </c>
      <c r="T387">
        <f t="shared" ref="T387:T450" si="43">I387/J387</f>
        <v>124.458</v>
      </c>
      <c r="U387">
        <f t="shared" ref="U387:U450" si="44">J387*M387</f>
        <v>103</v>
      </c>
      <c r="V387">
        <f t="shared" ref="V387:V450" si="45">U387/12</f>
        <v>8.58333333333333</v>
      </c>
      <c r="W387">
        <f t="shared" ref="W387:W450" si="46">(H387+I387+1)/3</f>
        <v>814.496666666667</v>
      </c>
      <c r="X387">
        <f t="shared" si="42"/>
        <v>0.591864163417953</v>
      </c>
      <c r="AH387" t="str">
        <f t="shared" si="41"/>
        <v>3rd Quality</v>
      </c>
      <c r="AJ387">
        <f>((T387-X387)*2)/30.2</f>
        <v>8.20305535341603</v>
      </c>
      <c r="AK387">
        <f t="shared" ref="AK387:AK450" si="47">I387/J387*E387</f>
        <v>88240.722</v>
      </c>
    </row>
    <row r="388" spans="1:37">
      <c r="A388" t="s">
        <v>451</v>
      </c>
      <c r="B388">
        <v>28</v>
      </c>
      <c r="C388" t="s">
        <v>50</v>
      </c>
      <c r="D388" t="s">
        <v>45</v>
      </c>
      <c r="E388">
        <v>478</v>
      </c>
      <c r="F388">
        <v>25</v>
      </c>
      <c r="G388">
        <v>2</v>
      </c>
      <c r="H388">
        <v>488.2</v>
      </c>
      <c r="I388">
        <v>1018.93</v>
      </c>
      <c r="J388">
        <v>12</v>
      </c>
      <c r="K388">
        <v>0</v>
      </c>
      <c r="L388">
        <v>19.2</v>
      </c>
      <c r="M388">
        <v>33.2</v>
      </c>
      <c r="N388" t="s">
        <v>57</v>
      </c>
      <c r="O388" t="s">
        <v>53</v>
      </c>
      <c r="P388" t="s">
        <v>66</v>
      </c>
      <c r="R388">
        <f>SUMIF(A388:A5387,"C00387",I388:I5387)</f>
        <v>1018.93</v>
      </c>
      <c r="S388" s="1">
        <v>1018.93</v>
      </c>
      <c r="T388">
        <f t="shared" si="43"/>
        <v>84.9108333333333</v>
      </c>
      <c r="U388">
        <f t="shared" si="44"/>
        <v>398.4</v>
      </c>
      <c r="V388">
        <f t="shared" si="45"/>
        <v>33.2</v>
      </c>
      <c r="W388">
        <f t="shared" si="46"/>
        <v>502.71</v>
      </c>
      <c r="X388">
        <f t="shared" si="42"/>
        <v>0.979106923392052</v>
      </c>
      <c r="AH388" t="str">
        <f t="shared" si="41"/>
        <v>3rd Quality</v>
      </c>
      <c r="AJ388">
        <f>((T388-X388)*2)/19.2</f>
        <v>8.74288816770221</v>
      </c>
      <c r="AK388">
        <f t="shared" si="47"/>
        <v>40587.3783333333</v>
      </c>
    </row>
    <row r="389" spans="1:37">
      <c r="A389" t="s">
        <v>452</v>
      </c>
      <c r="B389">
        <v>28</v>
      </c>
      <c r="C389" t="s">
        <v>50</v>
      </c>
      <c r="D389" t="s">
        <v>60</v>
      </c>
      <c r="E389">
        <v>1423</v>
      </c>
      <c r="F389">
        <v>171</v>
      </c>
      <c r="G389">
        <v>1</v>
      </c>
      <c r="H389">
        <v>2280.42</v>
      </c>
      <c r="I389">
        <v>2466.57</v>
      </c>
      <c r="J389">
        <v>10</v>
      </c>
      <c r="K389">
        <v>0</v>
      </c>
      <c r="L389">
        <v>14.4</v>
      </c>
      <c r="M389">
        <v>42.5</v>
      </c>
      <c r="N389" t="s">
        <v>57</v>
      </c>
      <c r="O389" t="s">
        <v>53</v>
      </c>
      <c r="P389" t="s">
        <v>58</v>
      </c>
      <c r="R389">
        <f>SUMIF(A389:A5388,"C00388",I389:I5388)</f>
        <v>2466.57</v>
      </c>
      <c r="S389" s="1">
        <v>2466.57</v>
      </c>
      <c r="T389">
        <f t="shared" si="43"/>
        <v>246.657</v>
      </c>
      <c r="U389">
        <f t="shared" si="44"/>
        <v>425</v>
      </c>
      <c r="V389">
        <f t="shared" si="45"/>
        <v>35.4166666666667</v>
      </c>
      <c r="W389">
        <f t="shared" si="46"/>
        <v>1582.66333333333</v>
      </c>
      <c r="X389">
        <f t="shared" si="42"/>
        <v>0.624007858201559</v>
      </c>
      <c r="AH389" t="str">
        <f t="shared" si="41"/>
        <v>3rd Quality</v>
      </c>
      <c r="AJ389">
        <f>((T389-X389)*2)/14.4</f>
        <v>34.1712489085831</v>
      </c>
      <c r="AK389">
        <f t="shared" si="47"/>
        <v>350992.911</v>
      </c>
    </row>
    <row r="390" spans="1:37">
      <c r="A390" t="s">
        <v>453</v>
      </c>
      <c r="B390">
        <v>40</v>
      </c>
      <c r="C390" t="s">
        <v>44</v>
      </c>
      <c r="D390" t="s">
        <v>45</v>
      </c>
      <c r="E390">
        <v>570</v>
      </c>
      <c r="F390">
        <v>11</v>
      </c>
      <c r="G390">
        <v>30</v>
      </c>
      <c r="H390">
        <v>3934.76</v>
      </c>
      <c r="I390">
        <v>117233.81</v>
      </c>
      <c r="J390">
        <v>249</v>
      </c>
      <c r="K390">
        <v>4</v>
      </c>
      <c r="L390">
        <v>16.4</v>
      </c>
      <c r="M390">
        <v>36.4</v>
      </c>
      <c r="N390" t="s">
        <v>81</v>
      </c>
      <c r="O390" t="s">
        <v>47</v>
      </c>
      <c r="P390" t="s">
        <v>66</v>
      </c>
      <c r="R390">
        <f>SUMIF(A390:A5389,"C00389",I390:I5389)</f>
        <v>117233.81</v>
      </c>
      <c r="S390" s="1">
        <v>117233.81</v>
      </c>
      <c r="T390">
        <f t="shared" si="43"/>
        <v>470.818514056225</v>
      </c>
      <c r="U390">
        <f t="shared" si="44"/>
        <v>9063.6</v>
      </c>
      <c r="V390">
        <f>U390*4</f>
        <v>36254.4</v>
      </c>
      <c r="W390">
        <f t="shared" si="46"/>
        <v>40389.8566666667</v>
      </c>
      <c r="X390">
        <f t="shared" si="42"/>
        <v>0.144862710813366</v>
      </c>
      <c r="AH390" t="str">
        <f t="shared" si="41"/>
        <v>2nd Quality</v>
      </c>
      <c r="AJ390">
        <f>((T390-X390)*2)/16.4</f>
        <v>57.3992257738307</v>
      </c>
      <c r="AK390">
        <f t="shared" si="47"/>
        <v>268366.553012048</v>
      </c>
    </row>
    <row r="391" spans="1:37">
      <c r="A391" t="s">
        <v>454</v>
      </c>
      <c r="B391">
        <v>26</v>
      </c>
      <c r="C391" t="s">
        <v>44</v>
      </c>
      <c r="D391" t="s">
        <v>60</v>
      </c>
      <c r="E391">
        <v>1446</v>
      </c>
      <c r="F391">
        <v>177</v>
      </c>
      <c r="G391">
        <v>5</v>
      </c>
      <c r="H391">
        <v>1363.7</v>
      </c>
      <c r="I391">
        <v>6393.95</v>
      </c>
      <c r="J391">
        <v>32</v>
      </c>
      <c r="K391">
        <v>0</v>
      </c>
      <c r="L391">
        <v>21.6</v>
      </c>
      <c r="M391">
        <v>44</v>
      </c>
      <c r="N391" t="s">
        <v>63</v>
      </c>
      <c r="O391" t="s">
        <v>75</v>
      </c>
      <c r="P391" t="s">
        <v>68</v>
      </c>
      <c r="R391">
        <f>SUMIF(A391:A5390,"C00390",I391:I5390)</f>
        <v>6393.95</v>
      </c>
      <c r="S391" s="1">
        <v>6393.95</v>
      </c>
      <c r="T391">
        <f t="shared" si="43"/>
        <v>199.8109375</v>
      </c>
      <c r="U391">
        <f t="shared" si="44"/>
        <v>1408</v>
      </c>
      <c r="V391">
        <f t="shared" si="45"/>
        <v>117.333333333333</v>
      </c>
      <c r="W391">
        <f t="shared" si="46"/>
        <v>2586.21666666667</v>
      </c>
      <c r="X391">
        <f t="shared" si="42"/>
        <v>1.06035051697587</v>
      </c>
      <c r="AH391" t="str">
        <f t="shared" si="41"/>
        <v>3rd Quality</v>
      </c>
      <c r="AJ391">
        <f>((T391-X391)*2)/21.6</f>
        <v>18.4028321280578</v>
      </c>
      <c r="AK391">
        <f t="shared" si="47"/>
        <v>288926.615625</v>
      </c>
    </row>
    <row r="392" spans="1:37">
      <c r="A392" t="s">
        <v>455</v>
      </c>
      <c r="B392">
        <v>29</v>
      </c>
      <c r="C392" t="s">
        <v>50</v>
      </c>
      <c r="D392" t="s">
        <v>45</v>
      </c>
      <c r="E392">
        <v>667</v>
      </c>
      <c r="F392">
        <v>20</v>
      </c>
      <c r="G392">
        <v>2</v>
      </c>
      <c r="H392">
        <v>6352.47</v>
      </c>
      <c r="I392">
        <v>11315.06</v>
      </c>
      <c r="J392">
        <v>14</v>
      </c>
      <c r="K392">
        <v>0</v>
      </c>
      <c r="L392">
        <v>9.3</v>
      </c>
      <c r="M392">
        <v>11.8</v>
      </c>
      <c r="N392" t="s">
        <v>63</v>
      </c>
      <c r="O392" t="s">
        <v>47</v>
      </c>
      <c r="P392" t="s">
        <v>68</v>
      </c>
      <c r="R392">
        <f>SUMIF(A392:A5391,"C00391",I392:I5391)</f>
        <v>11315.06</v>
      </c>
      <c r="S392" s="1">
        <v>11315.06</v>
      </c>
      <c r="T392">
        <f t="shared" si="43"/>
        <v>808.218571428571</v>
      </c>
      <c r="U392">
        <f t="shared" si="44"/>
        <v>165.2</v>
      </c>
      <c r="V392">
        <f t="shared" si="45"/>
        <v>13.7666666666667</v>
      </c>
      <c r="W392">
        <f t="shared" si="46"/>
        <v>5889.51</v>
      </c>
      <c r="X392">
        <f t="shared" si="42"/>
        <v>0.104998528131577</v>
      </c>
      <c r="AH392" t="str">
        <f t="shared" si="41"/>
        <v>3rd Quality</v>
      </c>
      <c r="AJ392">
        <f>((T392-X392)*2)/9.3</f>
        <v>173.787865139879</v>
      </c>
      <c r="AK392">
        <f t="shared" si="47"/>
        <v>539081.787142857</v>
      </c>
    </row>
    <row r="393" spans="1:37">
      <c r="A393" t="s">
        <v>456</v>
      </c>
      <c r="B393">
        <v>48</v>
      </c>
      <c r="C393" t="s">
        <v>44</v>
      </c>
      <c r="D393" t="s">
        <v>60</v>
      </c>
      <c r="E393">
        <v>990</v>
      </c>
      <c r="F393">
        <v>11</v>
      </c>
      <c r="G393">
        <v>15</v>
      </c>
      <c r="H393">
        <v>4212.67</v>
      </c>
      <c r="I393">
        <v>62693.99</v>
      </c>
      <c r="J393">
        <v>65</v>
      </c>
      <c r="K393">
        <v>0</v>
      </c>
      <c r="L393">
        <v>4.5</v>
      </c>
      <c r="M393">
        <v>68.9</v>
      </c>
      <c r="N393" t="s">
        <v>63</v>
      </c>
      <c r="O393" t="s">
        <v>53</v>
      </c>
      <c r="P393" t="s">
        <v>48</v>
      </c>
      <c r="R393">
        <f>SUMIF(A393:A5392,"C00392",I393:I5392)</f>
        <v>62693.99</v>
      </c>
      <c r="S393" s="1">
        <v>62693.99</v>
      </c>
      <c r="T393">
        <f t="shared" si="43"/>
        <v>964.522923076923</v>
      </c>
      <c r="U393">
        <f t="shared" si="44"/>
        <v>4478.5</v>
      </c>
      <c r="V393">
        <f t="shared" si="45"/>
        <v>373.208333333333</v>
      </c>
      <c r="W393">
        <f t="shared" si="46"/>
        <v>22302.5533333333</v>
      </c>
      <c r="X393">
        <f t="shared" si="42"/>
        <v>0.235005352899705</v>
      </c>
      <c r="AH393" t="str">
        <f t="shared" si="41"/>
        <v>3rd Quality</v>
      </c>
      <c r="AJ393">
        <f>((T393-X393)*2)/4.5</f>
        <v>428.572407877344</v>
      </c>
      <c r="AK393">
        <f t="shared" si="47"/>
        <v>954877.693846154</v>
      </c>
    </row>
    <row r="394" spans="1:37">
      <c r="A394" t="s">
        <v>457</v>
      </c>
      <c r="B394">
        <v>21</v>
      </c>
      <c r="C394" t="s">
        <v>44</v>
      </c>
      <c r="D394" t="s">
        <v>45</v>
      </c>
      <c r="E394">
        <v>471</v>
      </c>
      <c r="F394">
        <v>63</v>
      </c>
      <c r="G394">
        <v>8</v>
      </c>
      <c r="H394">
        <v>7193.83</v>
      </c>
      <c r="I394">
        <v>56905.26</v>
      </c>
      <c r="J394">
        <v>59</v>
      </c>
      <c r="K394">
        <v>0</v>
      </c>
      <c r="L394">
        <v>16.4</v>
      </c>
      <c r="M394">
        <v>2.2</v>
      </c>
      <c r="N394" t="s">
        <v>63</v>
      </c>
      <c r="O394" t="s">
        <v>47</v>
      </c>
      <c r="P394" t="s">
        <v>58</v>
      </c>
      <c r="R394">
        <f>SUMIF(A394:A5393,"C00393",I394:I5393)</f>
        <v>56905.26</v>
      </c>
      <c r="S394" s="1">
        <v>56905.26</v>
      </c>
      <c r="T394">
        <f t="shared" si="43"/>
        <v>964.49593220339</v>
      </c>
      <c r="U394">
        <f t="shared" si="44"/>
        <v>129.8</v>
      </c>
      <c r="V394">
        <f t="shared" si="45"/>
        <v>10.8166666666667</v>
      </c>
      <c r="W394">
        <f t="shared" si="46"/>
        <v>21366.6966666667</v>
      </c>
      <c r="X394">
        <f t="shared" si="42"/>
        <v>0.0654727731959193</v>
      </c>
      <c r="AH394" t="str">
        <f t="shared" si="41"/>
        <v>2nd Quality</v>
      </c>
      <c r="AJ394">
        <f>((T394-X394)*2)/16.4</f>
        <v>117.613470662219</v>
      </c>
      <c r="AK394">
        <f t="shared" si="47"/>
        <v>454277.584067797</v>
      </c>
    </row>
    <row r="395" spans="1:37">
      <c r="A395" t="s">
        <v>458</v>
      </c>
      <c r="B395">
        <v>46</v>
      </c>
      <c r="C395" t="s">
        <v>50</v>
      </c>
      <c r="D395" t="s">
        <v>60</v>
      </c>
      <c r="E395">
        <v>1236</v>
      </c>
      <c r="F395">
        <v>94</v>
      </c>
      <c r="G395">
        <v>7</v>
      </c>
      <c r="H395">
        <v>1077.11</v>
      </c>
      <c r="I395">
        <v>7279.89</v>
      </c>
      <c r="J395">
        <v>45</v>
      </c>
      <c r="K395">
        <v>0</v>
      </c>
      <c r="L395">
        <v>39.1</v>
      </c>
      <c r="M395">
        <v>23.2</v>
      </c>
      <c r="N395" t="s">
        <v>52</v>
      </c>
      <c r="O395" t="s">
        <v>47</v>
      </c>
      <c r="P395" t="s">
        <v>68</v>
      </c>
      <c r="R395">
        <f>SUMIF(A395:A5394,"C00394",I395:I5394)</f>
        <v>7279.89</v>
      </c>
      <c r="S395" s="1">
        <v>7279.89</v>
      </c>
      <c r="T395">
        <f t="shared" si="43"/>
        <v>161.775333333333</v>
      </c>
      <c r="U395">
        <f t="shared" si="44"/>
        <v>1044</v>
      </c>
      <c r="V395">
        <f t="shared" si="45"/>
        <v>87</v>
      </c>
      <c r="W395">
        <f t="shared" si="46"/>
        <v>2786</v>
      </c>
      <c r="X395">
        <f t="shared" si="42"/>
        <v>1.14751510987736</v>
      </c>
      <c r="AH395" t="str">
        <f t="shared" si="41"/>
        <v>3rd Quality</v>
      </c>
      <c r="AJ395">
        <f>((T395-X395)*2)/39.1</f>
        <v>8.21625668662177</v>
      </c>
      <c r="AK395">
        <f t="shared" si="47"/>
        <v>199954.312</v>
      </c>
    </row>
    <row r="396" spans="1:37">
      <c r="A396" t="s">
        <v>459</v>
      </c>
      <c r="B396">
        <v>57</v>
      </c>
      <c r="C396" t="s">
        <v>44</v>
      </c>
      <c r="D396" t="s">
        <v>60</v>
      </c>
      <c r="E396">
        <v>809</v>
      </c>
      <c r="F396">
        <v>1</v>
      </c>
      <c r="G396">
        <v>23</v>
      </c>
      <c r="H396">
        <v>3155.18</v>
      </c>
      <c r="I396">
        <v>74945.15</v>
      </c>
      <c r="J396">
        <v>121</v>
      </c>
      <c r="K396">
        <v>2</v>
      </c>
      <c r="L396">
        <v>6.6</v>
      </c>
      <c r="M396">
        <v>18.5</v>
      </c>
      <c r="N396" t="s">
        <v>52</v>
      </c>
      <c r="O396" t="s">
        <v>53</v>
      </c>
      <c r="P396" t="s">
        <v>58</v>
      </c>
      <c r="R396">
        <f>SUMIF(A396:A5395,"C00395",I396:I5395)</f>
        <v>74945.15</v>
      </c>
      <c r="S396" s="1">
        <v>74945.15</v>
      </c>
      <c r="T396">
        <f t="shared" si="43"/>
        <v>619.381404958678</v>
      </c>
      <c r="U396">
        <f t="shared" si="44"/>
        <v>2238.5</v>
      </c>
      <c r="V396">
        <f>U396*2</f>
        <v>4477</v>
      </c>
      <c r="W396">
        <f t="shared" si="46"/>
        <v>26033.7766666667</v>
      </c>
      <c r="X396">
        <f t="shared" si="42"/>
        <v>0.256403755094797</v>
      </c>
      <c r="AH396" t="str">
        <f t="shared" si="41"/>
        <v>3rd Quality</v>
      </c>
      <c r="AJ396">
        <f>((T396-X396)*2)/6.6</f>
        <v>187.613636728359</v>
      </c>
      <c r="AK396">
        <f t="shared" si="47"/>
        <v>501079.55661157</v>
      </c>
    </row>
    <row r="397" spans="1:37">
      <c r="A397" t="s">
        <v>460</v>
      </c>
      <c r="B397">
        <v>50</v>
      </c>
      <c r="C397" t="s">
        <v>44</v>
      </c>
      <c r="D397" t="s">
        <v>60</v>
      </c>
      <c r="E397">
        <v>965</v>
      </c>
      <c r="F397">
        <v>29</v>
      </c>
      <c r="G397">
        <v>7</v>
      </c>
      <c r="H397">
        <v>2779.69</v>
      </c>
      <c r="I397">
        <v>19604.37</v>
      </c>
      <c r="J397">
        <v>60</v>
      </c>
      <c r="K397">
        <v>0</v>
      </c>
      <c r="L397">
        <v>2.9</v>
      </c>
      <c r="M397">
        <v>47.7</v>
      </c>
      <c r="N397" t="s">
        <v>78</v>
      </c>
      <c r="O397" t="s">
        <v>47</v>
      </c>
      <c r="P397" t="s">
        <v>66</v>
      </c>
      <c r="R397">
        <f>SUMIF(A397:A5396,"C00396",I397:I5396)</f>
        <v>19604.37</v>
      </c>
      <c r="S397" s="1">
        <v>19604.37</v>
      </c>
      <c r="T397">
        <f t="shared" si="43"/>
        <v>326.7395</v>
      </c>
      <c r="U397">
        <f t="shared" si="44"/>
        <v>2862</v>
      </c>
      <c r="V397">
        <f t="shared" si="45"/>
        <v>238.5</v>
      </c>
      <c r="W397">
        <f t="shared" si="46"/>
        <v>7461.68666666667</v>
      </c>
      <c r="X397">
        <f t="shared" si="42"/>
        <v>0.347161014357716</v>
      </c>
      <c r="AH397" t="str">
        <f t="shared" si="41"/>
        <v>3rd Quality</v>
      </c>
      <c r="AJ397">
        <f>((T397-X397)*2)/2.9</f>
        <v>225.098164817684</v>
      </c>
      <c r="AK397">
        <f t="shared" si="47"/>
        <v>315303.6175</v>
      </c>
    </row>
    <row r="398" spans="1:37">
      <c r="A398" t="s">
        <v>461</v>
      </c>
      <c r="B398">
        <v>26</v>
      </c>
      <c r="C398" t="s">
        <v>44</v>
      </c>
      <c r="D398" t="s">
        <v>60</v>
      </c>
      <c r="E398">
        <v>512</v>
      </c>
      <c r="F398">
        <v>45</v>
      </c>
      <c r="G398">
        <v>4</v>
      </c>
      <c r="H398">
        <v>1007.52</v>
      </c>
      <c r="I398">
        <v>3658.24</v>
      </c>
      <c r="J398">
        <v>21</v>
      </c>
      <c r="K398">
        <v>2</v>
      </c>
      <c r="L398">
        <v>33.6</v>
      </c>
      <c r="M398">
        <v>14.7</v>
      </c>
      <c r="N398" t="s">
        <v>63</v>
      </c>
      <c r="O398" t="s">
        <v>75</v>
      </c>
      <c r="P398" t="s">
        <v>54</v>
      </c>
      <c r="R398">
        <f>SUMIF(A398:A5397,"C00397",I398:I5397)</f>
        <v>3658.24</v>
      </c>
      <c r="S398" s="1">
        <v>3658.24</v>
      </c>
      <c r="T398">
        <f t="shared" si="43"/>
        <v>174.201904761905</v>
      </c>
      <c r="U398">
        <f t="shared" si="44"/>
        <v>308.7</v>
      </c>
      <c r="V398">
        <f>U398*2</f>
        <v>617.4</v>
      </c>
      <c r="W398">
        <f t="shared" si="46"/>
        <v>1555.58666666667</v>
      </c>
      <c r="X398">
        <f t="shared" si="42"/>
        <v>0.508178497697316</v>
      </c>
      <c r="AH398" t="str">
        <f t="shared" ref="AH398:AH461" si="48">IF(AND(W398&gt;=12550,B398&lt;=33,E398&gt;=915),"1st Quality",IF(AND(W398&gt;=6275,B398&lt;=43,E398&gt;=457),"2nd Quality","3rd Quality"))</f>
        <v>3rd Quality</v>
      </c>
      <c r="AJ398">
        <f>((T398-X398)*2)/33.6</f>
        <v>10.3389122776314</v>
      </c>
      <c r="AK398">
        <f t="shared" si="47"/>
        <v>89191.3752380952</v>
      </c>
    </row>
    <row r="399" spans="1:37">
      <c r="A399" t="s">
        <v>462</v>
      </c>
      <c r="B399">
        <v>18</v>
      </c>
      <c r="C399" t="s">
        <v>50</v>
      </c>
      <c r="D399" t="s">
        <v>51</v>
      </c>
      <c r="E399">
        <v>654</v>
      </c>
      <c r="F399">
        <v>18</v>
      </c>
      <c r="G399">
        <v>5</v>
      </c>
      <c r="H399">
        <v>1198.16</v>
      </c>
      <c r="I399">
        <v>5341.09</v>
      </c>
      <c r="J399">
        <v>31</v>
      </c>
      <c r="K399">
        <v>0</v>
      </c>
      <c r="L399">
        <v>30.2</v>
      </c>
      <c r="M399">
        <v>8.3</v>
      </c>
      <c r="N399" t="s">
        <v>81</v>
      </c>
      <c r="O399" t="s">
        <v>75</v>
      </c>
      <c r="P399" t="s">
        <v>58</v>
      </c>
      <c r="R399">
        <f>SUMIF(A399:A5398,"C00398",I399:I5398)</f>
        <v>5341.09</v>
      </c>
      <c r="S399" s="1">
        <v>5341.09</v>
      </c>
      <c r="T399">
        <f t="shared" si="43"/>
        <v>172.293225806452</v>
      </c>
      <c r="U399">
        <f t="shared" si="44"/>
        <v>257.3</v>
      </c>
      <c r="V399">
        <f t="shared" si="45"/>
        <v>21.4416666666667</v>
      </c>
      <c r="W399">
        <f t="shared" si="46"/>
        <v>2180.08333333333</v>
      </c>
      <c r="X399">
        <f t="shared" si="42"/>
        <v>0.545836949989985</v>
      </c>
      <c r="AH399" t="str">
        <f t="shared" si="48"/>
        <v>3rd Quality</v>
      </c>
      <c r="AJ399">
        <f>((T399-X399)*2)/30.2</f>
        <v>11.3739992620174</v>
      </c>
      <c r="AK399">
        <f t="shared" si="47"/>
        <v>112679.769677419</v>
      </c>
    </row>
    <row r="400" spans="1:37">
      <c r="A400" t="s">
        <v>463</v>
      </c>
      <c r="B400">
        <v>29</v>
      </c>
      <c r="C400" t="s">
        <v>101</v>
      </c>
      <c r="D400" t="s">
        <v>45</v>
      </c>
      <c r="E400">
        <v>811</v>
      </c>
      <c r="F400">
        <v>19</v>
      </c>
      <c r="G400">
        <v>11</v>
      </c>
      <c r="H400">
        <v>1422.65</v>
      </c>
      <c r="I400">
        <v>17116.43</v>
      </c>
      <c r="J400">
        <v>52</v>
      </c>
      <c r="K400">
        <v>1</v>
      </c>
      <c r="L400">
        <v>26.7</v>
      </c>
      <c r="M400">
        <v>2.9</v>
      </c>
      <c r="N400" t="s">
        <v>57</v>
      </c>
      <c r="O400" t="s">
        <v>75</v>
      </c>
      <c r="P400" t="s">
        <v>58</v>
      </c>
      <c r="R400">
        <f>SUMIF(A400:A5399,"C00399",I400:I5399)</f>
        <v>17116.43</v>
      </c>
      <c r="S400" s="1">
        <v>17116.43</v>
      </c>
      <c r="T400">
        <f t="shared" si="43"/>
        <v>329.162115384615</v>
      </c>
      <c r="U400">
        <f t="shared" si="44"/>
        <v>150.8</v>
      </c>
      <c r="V400">
        <f>U400*1</f>
        <v>150.8</v>
      </c>
      <c r="W400">
        <f t="shared" si="46"/>
        <v>6180.02666666667</v>
      </c>
      <c r="X400">
        <f t="shared" si="42"/>
        <v>0.570062910765121</v>
      </c>
      <c r="AH400" t="str">
        <f t="shared" si="48"/>
        <v>3rd Quality</v>
      </c>
      <c r="AJ400">
        <f>((T400-X400)*2)/26.7</f>
        <v>24.613636889427</v>
      </c>
      <c r="AK400">
        <f t="shared" si="47"/>
        <v>266950.475576923</v>
      </c>
    </row>
    <row r="401" spans="1:37">
      <c r="A401" t="s">
        <v>464</v>
      </c>
      <c r="B401">
        <v>28</v>
      </c>
      <c r="C401" t="s">
        <v>44</v>
      </c>
      <c r="D401" t="s">
        <v>60</v>
      </c>
      <c r="E401">
        <v>446</v>
      </c>
      <c r="F401">
        <v>3</v>
      </c>
      <c r="G401">
        <v>8</v>
      </c>
      <c r="H401">
        <v>1299.41</v>
      </c>
      <c r="I401">
        <v>10999.46</v>
      </c>
      <c r="J401">
        <v>32</v>
      </c>
      <c r="K401">
        <v>1</v>
      </c>
      <c r="L401">
        <v>25.8</v>
      </c>
      <c r="M401">
        <v>12.2</v>
      </c>
      <c r="N401" t="s">
        <v>46</v>
      </c>
      <c r="O401" t="s">
        <v>47</v>
      </c>
      <c r="P401" t="s">
        <v>68</v>
      </c>
      <c r="R401">
        <f>SUMIF(A401:A5400,"C00400",I401:I5400)</f>
        <v>10999.46</v>
      </c>
      <c r="S401" s="1">
        <v>10999.46</v>
      </c>
      <c r="T401">
        <f t="shared" si="43"/>
        <v>343.733125</v>
      </c>
      <c r="U401">
        <f t="shared" si="44"/>
        <v>390.4</v>
      </c>
      <c r="V401">
        <f>U401*1</f>
        <v>390.4</v>
      </c>
      <c r="W401">
        <f t="shared" si="46"/>
        <v>4099.95666666667</v>
      </c>
      <c r="X401">
        <f t="shared" si="42"/>
        <v>0.343232697916747</v>
      </c>
      <c r="AH401" t="str">
        <f t="shared" si="48"/>
        <v>3rd Quality</v>
      </c>
      <c r="AJ401">
        <f>((T401-X401)*2)/25.8</f>
        <v>26.6193714962855</v>
      </c>
      <c r="AK401">
        <f t="shared" si="47"/>
        <v>153304.97375</v>
      </c>
    </row>
    <row r="402" spans="1:37">
      <c r="A402" t="s">
        <v>465</v>
      </c>
      <c r="B402">
        <v>18</v>
      </c>
      <c r="C402" t="s">
        <v>44</v>
      </c>
      <c r="D402" t="s">
        <v>45</v>
      </c>
      <c r="E402">
        <v>1175</v>
      </c>
      <c r="F402">
        <v>92</v>
      </c>
      <c r="G402">
        <v>5</v>
      </c>
      <c r="H402">
        <v>870.59</v>
      </c>
      <c r="I402">
        <v>4314.5</v>
      </c>
      <c r="J402">
        <v>51</v>
      </c>
      <c r="K402">
        <v>0</v>
      </c>
      <c r="L402">
        <v>24.8</v>
      </c>
      <c r="M402">
        <v>17.5</v>
      </c>
      <c r="N402" t="s">
        <v>57</v>
      </c>
      <c r="O402" t="s">
        <v>75</v>
      </c>
      <c r="P402" t="s">
        <v>66</v>
      </c>
      <c r="R402">
        <f>SUMIF(A402:A5401,"C00401",I402:I5401)</f>
        <v>4314.5</v>
      </c>
      <c r="S402" s="1">
        <v>4314.5</v>
      </c>
      <c r="T402">
        <f t="shared" si="43"/>
        <v>84.5980392156863</v>
      </c>
      <c r="U402">
        <f t="shared" si="44"/>
        <v>892.5</v>
      </c>
      <c r="V402">
        <f t="shared" si="45"/>
        <v>74.375</v>
      </c>
      <c r="W402">
        <f t="shared" si="46"/>
        <v>1728.69666666667</v>
      </c>
      <c r="X402">
        <f t="shared" si="42"/>
        <v>1.34965942636603</v>
      </c>
      <c r="AH402" t="str">
        <f t="shared" si="48"/>
        <v>3rd Quality</v>
      </c>
      <c r="AJ402">
        <f>((T402-X402)*2)/24.8</f>
        <v>6.71357901526776</v>
      </c>
      <c r="AK402">
        <f t="shared" si="47"/>
        <v>99402.6960784314</v>
      </c>
    </row>
    <row r="403" spans="1:37">
      <c r="A403" t="s">
        <v>466</v>
      </c>
      <c r="B403">
        <v>23</v>
      </c>
      <c r="C403" t="s">
        <v>44</v>
      </c>
      <c r="D403" t="s">
        <v>60</v>
      </c>
      <c r="E403">
        <v>745</v>
      </c>
      <c r="F403">
        <v>365</v>
      </c>
      <c r="G403">
        <v>1</v>
      </c>
      <c r="H403">
        <v>3532.79</v>
      </c>
      <c r="I403">
        <v>3529.44</v>
      </c>
      <c r="J403">
        <v>13</v>
      </c>
      <c r="K403">
        <v>0</v>
      </c>
      <c r="L403">
        <v>15.6</v>
      </c>
      <c r="M403">
        <v>9.4</v>
      </c>
      <c r="N403" t="s">
        <v>61</v>
      </c>
      <c r="O403" t="s">
        <v>47</v>
      </c>
      <c r="P403" t="s">
        <v>48</v>
      </c>
      <c r="R403">
        <f>SUMIF(A403:A5402,"C00402",I403:I5402)</f>
        <v>3529.44</v>
      </c>
      <c r="S403" s="1">
        <v>3529.44</v>
      </c>
      <c r="T403">
        <f t="shared" si="43"/>
        <v>271.495384615385</v>
      </c>
      <c r="U403">
        <f t="shared" si="44"/>
        <v>122.2</v>
      </c>
      <c r="V403">
        <f t="shared" si="45"/>
        <v>10.1833333333333</v>
      </c>
      <c r="W403">
        <f t="shared" si="46"/>
        <v>2354.41</v>
      </c>
      <c r="X403">
        <f t="shared" si="42"/>
        <v>0.210881484605652</v>
      </c>
      <c r="AH403" t="str">
        <f t="shared" si="48"/>
        <v>3rd Quality</v>
      </c>
      <c r="AJ403">
        <f>((T403-X403)*2)/15.6</f>
        <v>34.7800645039461</v>
      </c>
      <c r="AK403">
        <f t="shared" si="47"/>
        <v>202264.061538462</v>
      </c>
    </row>
    <row r="404" spans="1:37">
      <c r="A404" t="s">
        <v>467</v>
      </c>
      <c r="B404">
        <v>30</v>
      </c>
      <c r="C404" t="s">
        <v>50</v>
      </c>
      <c r="D404" t="s">
        <v>60</v>
      </c>
      <c r="E404">
        <v>1172</v>
      </c>
      <c r="F404">
        <v>266</v>
      </c>
      <c r="G404">
        <v>5</v>
      </c>
      <c r="H404">
        <v>1560.48</v>
      </c>
      <c r="I404">
        <v>7080.44</v>
      </c>
      <c r="J404">
        <v>36</v>
      </c>
      <c r="K404">
        <v>0</v>
      </c>
      <c r="L404">
        <v>24.6</v>
      </c>
      <c r="M404">
        <v>9.2</v>
      </c>
      <c r="N404" t="s">
        <v>52</v>
      </c>
      <c r="O404" t="s">
        <v>47</v>
      </c>
      <c r="P404" t="s">
        <v>66</v>
      </c>
      <c r="R404">
        <f>SUMIF(A404:A5403,"C00403",I404:I5403)</f>
        <v>7080.44</v>
      </c>
      <c r="S404" s="1">
        <v>7080.44</v>
      </c>
      <c r="T404">
        <f t="shared" si="43"/>
        <v>196.678888888889</v>
      </c>
      <c r="U404">
        <f t="shared" si="44"/>
        <v>331.2</v>
      </c>
      <c r="V404">
        <f t="shared" si="45"/>
        <v>27.6</v>
      </c>
      <c r="W404">
        <f t="shared" si="46"/>
        <v>2880.64</v>
      </c>
      <c r="X404">
        <f t="shared" si="42"/>
        <v>0.751050958679381</v>
      </c>
      <c r="AH404" t="str">
        <f t="shared" si="48"/>
        <v>3rd Quality</v>
      </c>
      <c r="AJ404">
        <f>((T404-X404)*2)/24.6</f>
        <v>15.9290925146512</v>
      </c>
      <c r="AK404">
        <f t="shared" si="47"/>
        <v>230507.657777778</v>
      </c>
    </row>
    <row r="405" spans="1:37">
      <c r="A405" t="s">
        <v>468</v>
      </c>
      <c r="B405">
        <v>41</v>
      </c>
      <c r="C405" t="s">
        <v>50</v>
      </c>
      <c r="D405" t="s">
        <v>60</v>
      </c>
      <c r="E405">
        <v>572</v>
      </c>
      <c r="F405">
        <v>38</v>
      </c>
      <c r="G405">
        <v>22</v>
      </c>
      <c r="H405">
        <v>2992.64</v>
      </c>
      <c r="I405">
        <v>62101.29</v>
      </c>
      <c r="J405">
        <v>185</v>
      </c>
      <c r="K405">
        <v>2</v>
      </c>
      <c r="L405">
        <v>10.2</v>
      </c>
      <c r="M405">
        <v>7.3</v>
      </c>
      <c r="N405" t="s">
        <v>78</v>
      </c>
      <c r="O405" t="s">
        <v>53</v>
      </c>
      <c r="P405" t="s">
        <v>66</v>
      </c>
      <c r="R405">
        <f>SUMIF(A405:A5404,"C00404",I405:I5404)</f>
        <v>62101.29</v>
      </c>
      <c r="S405" s="1">
        <v>62101.29</v>
      </c>
      <c r="T405">
        <f t="shared" si="43"/>
        <v>335.682648648649</v>
      </c>
      <c r="U405">
        <f t="shared" si="44"/>
        <v>1350.5</v>
      </c>
      <c r="V405">
        <f>U405*2</f>
        <v>2701</v>
      </c>
      <c r="W405">
        <f t="shared" si="46"/>
        <v>21698.31</v>
      </c>
      <c r="X405">
        <f t="shared" si="42"/>
        <v>0.191135585970915</v>
      </c>
      <c r="AH405" t="str">
        <f t="shared" si="48"/>
        <v>2nd Quality</v>
      </c>
      <c r="AJ405">
        <f>((T405-X405)*2)/10.2</f>
        <v>65.782649620133</v>
      </c>
      <c r="AK405">
        <f t="shared" si="47"/>
        <v>192010.475027027</v>
      </c>
    </row>
    <row r="406" spans="1:37">
      <c r="A406" t="s">
        <v>469</v>
      </c>
      <c r="B406">
        <v>36</v>
      </c>
      <c r="C406" t="s">
        <v>44</v>
      </c>
      <c r="D406" t="s">
        <v>60</v>
      </c>
      <c r="E406">
        <v>406</v>
      </c>
      <c r="F406">
        <v>235</v>
      </c>
      <c r="G406">
        <v>2</v>
      </c>
      <c r="H406">
        <v>2217.95</v>
      </c>
      <c r="I406">
        <v>4781.66</v>
      </c>
      <c r="J406">
        <v>16</v>
      </c>
      <c r="K406">
        <v>0</v>
      </c>
      <c r="L406">
        <v>16.3</v>
      </c>
      <c r="M406">
        <v>39.7</v>
      </c>
      <c r="N406" t="s">
        <v>46</v>
      </c>
      <c r="O406" t="s">
        <v>53</v>
      </c>
      <c r="P406" t="s">
        <v>66</v>
      </c>
      <c r="R406">
        <f>SUMIF(A406:A5405,"C00405",I406:I5405)</f>
        <v>4781.66</v>
      </c>
      <c r="S406" s="1">
        <v>4781.66</v>
      </c>
      <c r="T406">
        <f t="shared" si="43"/>
        <v>298.85375</v>
      </c>
      <c r="U406">
        <f t="shared" si="44"/>
        <v>635.2</v>
      </c>
      <c r="V406">
        <f t="shared" si="45"/>
        <v>52.9333333333333</v>
      </c>
      <c r="W406">
        <f t="shared" si="46"/>
        <v>2333.53666666667</v>
      </c>
      <c r="X406">
        <f t="shared" si="42"/>
        <v>0.18305191731103</v>
      </c>
      <c r="AH406" t="str">
        <f t="shared" si="48"/>
        <v>3rd Quality</v>
      </c>
      <c r="AJ406">
        <f>((T406-X406)*2)/16.3</f>
        <v>36.6467114211888</v>
      </c>
      <c r="AK406">
        <f t="shared" si="47"/>
        <v>121334.6225</v>
      </c>
    </row>
    <row r="407" spans="1:37">
      <c r="A407" t="s">
        <v>470</v>
      </c>
      <c r="B407">
        <v>32</v>
      </c>
      <c r="C407" t="s">
        <v>50</v>
      </c>
      <c r="D407" t="s">
        <v>45</v>
      </c>
      <c r="E407">
        <v>1376</v>
      </c>
      <c r="F407">
        <v>132</v>
      </c>
      <c r="G407">
        <v>1</v>
      </c>
      <c r="H407">
        <v>3706.81</v>
      </c>
      <c r="I407">
        <v>3374.39</v>
      </c>
      <c r="J407">
        <v>7</v>
      </c>
      <c r="K407">
        <v>0</v>
      </c>
      <c r="L407">
        <v>22.7</v>
      </c>
      <c r="M407">
        <v>30.1</v>
      </c>
      <c r="N407" t="s">
        <v>81</v>
      </c>
      <c r="O407" t="s">
        <v>47</v>
      </c>
      <c r="P407" t="s">
        <v>58</v>
      </c>
      <c r="R407">
        <f>SUMIF(A407:A5406,"C00406",I407:I5406)</f>
        <v>3374.39</v>
      </c>
      <c r="S407" s="1">
        <v>3374.39</v>
      </c>
      <c r="T407">
        <f t="shared" si="43"/>
        <v>482.055714285714</v>
      </c>
      <c r="U407">
        <f t="shared" si="44"/>
        <v>210.7</v>
      </c>
      <c r="V407">
        <f t="shared" si="45"/>
        <v>17.5583333333333</v>
      </c>
      <c r="W407">
        <f t="shared" si="46"/>
        <v>2360.73333333333</v>
      </c>
      <c r="X407">
        <f t="shared" si="42"/>
        <v>0.371208667290743</v>
      </c>
      <c r="AH407" t="str">
        <f t="shared" si="48"/>
        <v>3rd Quality</v>
      </c>
      <c r="AJ407">
        <f>((T407-X407)*2)/22.7</f>
        <v>42.43916349061</v>
      </c>
      <c r="AK407">
        <f t="shared" si="47"/>
        <v>663308.662857143</v>
      </c>
    </row>
    <row r="408" spans="1:37">
      <c r="A408" t="s">
        <v>471</v>
      </c>
      <c r="B408">
        <v>40</v>
      </c>
      <c r="C408" t="s">
        <v>50</v>
      </c>
      <c r="D408" t="s">
        <v>60</v>
      </c>
      <c r="E408">
        <v>611</v>
      </c>
      <c r="F408">
        <v>49</v>
      </c>
      <c r="G408">
        <v>14</v>
      </c>
      <c r="H408">
        <v>2160.04</v>
      </c>
      <c r="I408">
        <v>27368.65</v>
      </c>
      <c r="J408">
        <v>123</v>
      </c>
      <c r="K408">
        <v>0</v>
      </c>
      <c r="L408">
        <v>16.9</v>
      </c>
      <c r="M408">
        <v>13.5</v>
      </c>
      <c r="N408" t="s">
        <v>81</v>
      </c>
      <c r="O408" t="s">
        <v>47</v>
      </c>
      <c r="P408" t="s">
        <v>68</v>
      </c>
      <c r="R408">
        <f>SUMIF(A408:A5407,"C00407",I408:I5407)</f>
        <v>27368.65</v>
      </c>
      <c r="S408" s="1">
        <v>27368.65</v>
      </c>
      <c r="T408">
        <f t="shared" si="43"/>
        <v>222.509349593496</v>
      </c>
      <c r="U408">
        <f t="shared" si="44"/>
        <v>1660.5</v>
      </c>
      <c r="V408">
        <f t="shared" si="45"/>
        <v>138.375</v>
      </c>
      <c r="W408">
        <f t="shared" si="46"/>
        <v>9843.23</v>
      </c>
      <c r="X408">
        <f t="shared" si="42"/>
        <v>0.282865132127183</v>
      </c>
      <c r="AH408" t="str">
        <f t="shared" si="48"/>
        <v>2nd Quality</v>
      </c>
      <c r="AJ408">
        <f>((T408-X408)*2)/16.9</f>
        <v>26.298992243949</v>
      </c>
      <c r="AK408">
        <f t="shared" si="47"/>
        <v>135953.212601626</v>
      </c>
    </row>
    <row r="409" spans="1:37">
      <c r="A409" t="s">
        <v>472</v>
      </c>
      <c r="B409">
        <v>35</v>
      </c>
      <c r="C409" t="s">
        <v>44</v>
      </c>
      <c r="D409" t="s">
        <v>45</v>
      </c>
      <c r="E409">
        <v>1429</v>
      </c>
      <c r="F409">
        <v>133</v>
      </c>
      <c r="G409">
        <v>3</v>
      </c>
      <c r="H409">
        <v>756.29</v>
      </c>
      <c r="I409">
        <v>2300.53</v>
      </c>
      <c r="J409">
        <v>18</v>
      </c>
      <c r="K409">
        <v>0</v>
      </c>
      <c r="L409">
        <v>26.8</v>
      </c>
      <c r="M409">
        <v>23.2</v>
      </c>
      <c r="N409" t="s">
        <v>57</v>
      </c>
      <c r="O409" t="s">
        <v>53</v>
      </c>
      <c r="P409" t="s">
        <v>58</v>
      </c>
      <c r="R409">
        <f>SUMIF(A409:A5408,"C00408",I409:I5408)</f>
        <v>2300.53</v>
      </c>
      <c r="S409" s="1">
        <v>2300.53</v>
      </c>
      <c r="T409">
        <f t="shared" si="43"/>
        <v>127.807222222222</v>
      </c>
      <c r="U409">
        <f t="shared" si="44"/>
        <v>417.6</v>
      </c>
      <c r="V409">
        <f t="shared" si="45"/>
        <v>34.8</v>
      </c>
      <c r="W409">
        <f t="shared" si="46"/>
        <v>1019.27333333333</v>
      </c>
      <c r="X409">
        <f t="shared" si="42"/>
        <v>1.88948683705986</v>
      </c>
      <c r="AH409" t="str">
        <f t="shared" si="48"/>
        <v>3rd Quality</v>
      </c>
      <c r="AJ409">
        <f>((T409-X409)*2)/26.8</f>
        <v>9.39684592426583</v>
      </c>
      <c r="AK409">
        <f t="shared" si="47"/>
        <v>182636.520555556</v>
      </c>
    </row>
    <row r="410" spans="1:37">
      <c r="A410" t="s">
        <v>473</v>
      </c>
      <c r="B410">
        <v>32</v>
      </c>
      <c r="C410" t="s">
        <v>50</v>
      </c>
      <c r="D410" t="s">
        <v>45</v>
      </c>
      <c r="E410">
        <v>1129</v>
      </c>
      <c r="F410">
        <v>6</v>
      </c>
      <c r="G410">
        <v>21</v>
      </c>
      <c r="H410">
        <v>3094.81</v>
      </c>
      <c r="I410">
        <v>70299.18</v>
      </c>
      <c r="J410">
        <v>113</v>
      </c>
      <c r="K410">
        <v>1</v>
      </c>
      <c r="L410">
        <v>10.4</v>
      </c>
      <c r="M410">
        <v>43.7</v>
      </c>
      <c r="N410" t="s">
        <v>52</v>
      </c>
      <c r="O410" t="s">
        <v>53</v>
      </c>
      <c r="P410" t="s">
        <v>58</v>
      </c>
      <c r="R410">
        <f>SUMIF(A410:A5409,"C00409",I410:I5409)</f>
        <v>70299.18</v>
      </c>
      <c r="S410" s="1">
        <v>70299.18</v>
      </c>
      <c r="T410">
        <f t="shared" si="43"/>
        <v>622.116637168142</v>
      </c>
      <c r="U410">
        <f t="shared" si="44"/>
        <v>4938.1</v>
      </c>
      <c r="V410">
        <f>U410*1</f>
        <v>4938.1</v>
      </c>
      <c r="W410">
        <f t="shared" si="46"/>
        <v>24464.9966666667</v>
      </c>
      <c r="X410">
        <f t="shared" si="42"/>
        <v>0.364804301394916</v>
      </c>
      <c r="AH410" t="str">
        <f t="shared" si="48"/>
        <v>1st Quality</v>
      </c>
      <c r="AJ410">
        <f>((T410-X410)*2)/10.4</f>
        <v>119.567660166682</v>
      </c>
      <c r="AK410">
        <f t="shared" si="47"/>
        <v>702369.683362832</v>
      </c>
    </row>
    <row r="411" spans="1:37">
      <c r="A411" t="s">
        <v>474</v>
      </c>
      <c r="B411">
        <v>18</v>
      </c>
      <c r="C411" t="s">
        <v>44</v>
      </c>
      <c r="D411" t="s">
        <v>51</v>
      </c>
      <c r="E411">
        <v>950</v>
      </c>
      <c r="F411">
        <v>129</v>
      </c>
      <c r="G411">
        <v>1</v>
      </c>
      <c r="H411">
        <v>885.12</v>
      </c>
      <c r="I411">
        <v>859.44</v>
      </c>
      <c r="J411">
        <v>10</v>
      </c>
      <c r="K411">
        <v>0</v>
      </c>
      <c r="L411">
        <v>12.5</v>
      </c>
      <c r="M411">
        <v>8.8</v>
      </c>
      <c r="N411" t="s">
        <v>78</v>
      </c>
      <c r="O411" t="s">
        <v>47</v>
      </c>
      <c r="P411" t="s">
        <v>48</v>
      </c>
      <c r="R411">
        <f>SUMIF(A411:A5410,"C00410",I411:I5410)</f>
        <v>859.44</v>
      </c>
      <c r="S411" s="1">
        <v>859.44</v>
      </c>
      <c r="T411">
        <f t="shared" si="43"/>
        <v>85.944</v>
      </c>
      <c r="U411">
        <f t="shared" si="44"/>
        <v>88</v>
      </c>
      <c r="V411">
        <f t="shared" si="45"/>
        <v>7.33333333333333</v>
      </c>
      <c r="W411">
        <f t="shared" si="46"/>
        <v>581.853333333333</v>
      </c>
      <c r="X411">
        <f t="shared" si="42"/>
        <v>1.07330079537238</v>
      </c>
      <c r="AH411" t="str">
        <f t="shared" si="48"/>
        <v>3rd Quality</v>
      </c>
      <c r="AJ411">
        <f>((T411-X411)*2)/12.5</f>
        <v>13.5793118727404</v>
      </c>
      <c r="AK411">
        <f t="shared" si="47"/>
        <v>81646.8</v>
      </c>
    </row>
    <row r="412" spans="1:37">
      <c r="A412" t="s">
        <v>475</v>
      </c>
      <c r="B412">
        <v>25</v>
      </c>
      <c r="C412" t="s">
        <v>44</v>
      </c>
      <c r="D412" t="s">
        <v>51</v>
      </c>
      <c r="E412">
        <v>1061</v>
      </c>
      <c r="F412">
        <v>85</v>
      </c>
      <c r="G412">
        <v>2</v>
      </c>
      <c r="H412">
        <v>1140.99</v>
      </c>
      <c r="I412">
        <v>2361.87</v>
      </c>
      <c r="J412">
        <v>13</v>
      </c>
      <c r="K412">
        <v>0</v>
      </c>
      <c r="L412">
        <v>20</v>
      </c>
      <c r="M412">
        <v>28.3</v>
      </c>
      <c r="N412" t="s">
        <v>81</v>
      </c>
      <c r="O412" t="s">
        <v>75</v>
      </c>
      <c r="P412" t="s">
        <v>58</v>
      </c>
      <c r="R412">
        <f>SUMIF(A412:A5411,"C00411",I412:I5411)</f>
        <v>2361.87</v>
      </c>
      <c r="S412" s="1">
        <v>2361.87</v>
      </c>
      <c r="T412">
        <f t="shared" si="43"/>
        <v>181.682307692308</v>
      </c>
      <c r="U412">
        <f t="shared" si="44"/>
        <v>367.9</v>
      </c>
      <c r="V412">
        <f t="shared" si="45"/>
        <v>30.6583333333333</v>
      </c>
      <c r="W412">
        <f t="shared" si="46"/>
        <v>1167.95333333333</v>
      </c>
      <c r="X412">
        <f t="shared" si="42"/>
        <v>0.929894214673222</v>
      </c>
      <c r="AH412" t="str">
        <f t="shared" si="48"/>
        <v>3rd Quality</v>
      </c>
      <c r="AJ412">
        <f>((T412-X412)*2)/20</f>
        <v>18.0752413477635</v>
      </c>
      <c r="AK412">
        <f t="shared" si="47"/>
        <v>192764.928461538</v>
      </c>
    </row>
    <row r="413" spans="1:37">
      <c r="A413" t="s">
        <v>476</v>
      </c>
      <c r="B413">
        <v>36</v>
      </c>
      <c r="C413" t="s">
        <v>44</v>
      </c>
      <c r="D413" t="s">
        <v>60</v>
      </c>
      <c r="E413">
        <v>984</v>
      </c>
      <c r="F413">
        <v>17</v>
      </c>
      <c r="G413">
        <v>1</v>
      </c>
      <c r="H413">
        <v>15234.66</v>
      </c>
      <c r="I413">
        <v>16705.03</v>
      </c>
      <c r="J413">
        <v>10</v>
      </c>
      <c r="K413">
        <v>0</v>
      </c>
      <c r="L413">
        <v>11.2</v>
      </c>
      <c r="M413">
        <v>29.8</v>
      </c>
      <c r="N413" t="s">
        <v>78</v>
      </c>
      <c r="O413" t="s">
        <v>47</v>
      </c>
      <c r="P413" t="s">
        <v>58</v>
      </c>
      <c r="R413">
        <f>SUMIF(A413:A5412,"C00412",I413:I5412)</f>
        <v>16705.03</v>
      </c>
      <c r="S413" s="1">
        <v>16705.03</v>
      </c>
      <c r="T413">
        <f t="shared" si="43"/>
        <v>1670.503</v>
      </c>
      <c r="U413">
        <f t="shared" si="44"/>
        <v>298</v>
      </c>
      <c r="V413">
        <f t="shared" si="45"/>
        <v>24.8333333333333</v>
      </c>
      <c r="W413">
        <f t="shared" si="46"/>
        <v>10646.8966666667</v>
      </c>
      <c r="X413">
        <f t="shared" si="42"/>
        <v>0.0645895609091374</v>
      </c>
      <c r="AH413" t="str">
        <f t="shared" si="48"/>
        <v>2nd Quality</v>
      </c>
      <c r="AJ413">
        <f>((T413-X413)*2)/11.2</f>
        <v>298.292573292695</v>
      </c>
      <c r="AK413">
        <f t="shared" si="47"/>
        <v>1643774.952</v>
      </c>
    </row>
    <row r="414" spans="1:37">
      <c r="A414" t="s">
        <v>477</v>
      </c>
      <c r="B414">
        <v>18</v>
      </c>
      <c r="C414" t="s">
        <v>44</v>
      </c>
      <c r="D414" t="s">
        <v>60</v>
      </c>
      <c r="E414">
        <v>780</v>
      </c>
      <c r="F414">
        <v>14</v>
      </c>
      <c r="G414">
        <v>27</v>
      </c>
      <c r="H414">
        <v>5145.07</v>
      </c>
      <c r="I414">
        <v>151961.37</v>
      </c>
      <c r="J414">
        <v>84</v>
      </c>
      <c r="K414">
        <v>2</v>
      </c>
      <c r="L414">
        <v>0.6</v>
      </c>
      <c r="M414">
        <v>14.8</v>
      </c>
      <c r="N414" t="s">
        <v>61</v>
      </c>
      <c r="O414" t="s">
        <v>47</v>
      </c>
      <c r="P414" t="s">
        <v>58</v>
      </c>
      <c r="R414">
        <f>SUMIF(A414:A5413,"C00413",I414:I5413)</f>
        <v>151961.37</v>
      </c>
      <c r="S414" s="1">
        <v>151961.37</v>
      </c>
      <c r="T414">
        <f t="shared" si="43"/>
        <v>1809.06392857143</v>
      </c>
      <c r="U414">
        <f t="shared" si="44"/>
        <v>1243.2</v>
      </c>
      <c r="V414">
        <f>U414*2</f>
        <v>2486.4</v>
      </c>
      <c r="W414">
        <f t="shared" si="46"/>
        <v>52369.1466666667</v>
      </c>
      <c r="X414">
        <f t="shared" si="42"/>
        <v>0.151601435937703</v>
      </c>
      <c r="AH414" t="str">
        <f t="shared" si="48"/>
        <v>2nd Quality</v>
      </c>
      <c r="AJ414">
        <f>((T414-X414)*2)/0.6</f>
        <v>6029.70775711831</v>
      </c>
      <c r="AK414">
        <f t="shared" si="47"/>
        <v>1411069.86428571</v>
      </c>
    </row>
    <row r="415" spans="1:37">
      <c r="A415" t="s">
        <v>478</v>
      </c>
      <c r="B415">
        <v>46</v>
      </c>
      <c r="C415" t="s">
        <v>44</v>
      </c>
      <c r="D415" t="s">
        <v>51</v>
      </c>
      <c r="E415">
        <v>1385</v>
      </c>
      <c r="F415">
        <v>67</v>
      </c>
      <c r="G415">
        <v>1</v>
      </c>
      <c r="H415">
        <v>2218.93</v>
      </c>
      <c r="I415">
        <v>2201.82</v>
      </c>
      <c r="J415">
        <v>13</v>
      </c>
      <c r="K415">
        <v>0</v>
      </c>
      <c r="L415">
        <v>19</v>
      </c>
      <c r="M415">
        <v>56.9</v>
      </c>
      <c r="N415" t="s">
        <v>57</v>
      </c>
      <c r="O415" t="s">
        <v>47</v>
      </c>
      <c r="P415" t="s">
        <v>68</v>
      </c>
      <c r="R415">
        <f>SUMIF(A415:A5414,"C00414",I415:I5414)</f>
        <v>2201.82</v>
      </c>
      <c r="S415" s="1">
        <v>2201.82</v>
      </c>
      <c r="T415">
        <f t="shared" si="43"/>
        <v>169.370769230769</v>
      </c>
      <c r="U415">
        <f t="shared" si="44"/>
        <v>739.7</v>
      </c>
      <c r="V415">
        <f t="shared" si="45"/>
        <v>61.6416666666667</v>
      </c>
      <c r="W415">
        <f t="shared" si="46"/>
        <v>1473.91666666667</v>
      </c>
      <c r="X415">
        <f t="shared" si="42"/>
        <v>0.624174714840036</v>
      </c>
      <c r="AH415" t="str">
        <f t="shared" si="48"/>
        <v>3rd Quality</v>
      </c>
      <c r="AJ415">
        <f>((T415-X415)*2)/19</f>
        <v>17.7627994227294</v>
      </c>
      <c r="AK415">
        <f t="shared" si="47"/>
        <v>234578.515384615</v>
      </c>
    </row>
    <row r="416" spans="1:37">
      <c r="A416" t="s">
        <v>479</v>
      </c>
      <c r="B416">
        <v>35</v>
      </c>
      <c r="C416" t="s">
        <v>44</v>
      </c>
      <c r="D416" t="s">
        <v>45</v>
      </c>
      <c r="E416">
        <v>435</v>
      </c>
      <c r="F416">
        <v>17</v>
      </c>
      <c r="G416">
        <v>26</v>
      </c>
      <c r="H416">
        <v>3658.46</v>
      </c>
      <c r="I416">
        <v>90453.35</v>
      </c>
      <c r="J416">
        <v>193</v>
      </c>
      <c r="K416">
        <v>6</v>
      </c>
      <c r="L416">
        <v>13.5</v>
      </c>
      <c r="M416">
        <v>39.2</v>
      </c>
      <c r="N416" t="s">
        <v>52</v>
      </c>
      <c r="O416" t="s">
        <v>47</v>
      </c>
      <c r="P416" t="s">
        <v>58</v>
      </c>
      <c r="R416">
        <f>SUMIF(A416:A5415,"C00415",I416:I5415)</f>
        <v>90453.35</v>
      </c>
      <c r="S416" s="1">
        <v>90453.35</v>
      </c>
      <c r="T416">
        <f t="shared" si="43"/>
        <v>468.670207253886</v>
      </c>
      <c r="U416">
        <f t="shared" si="44"/>
        <v>7565.6</v>
      </c>
      <c r="V416">
        <f>U416*6</f>
        <v>45393.6</v>
      </c>
      <c r="W416">
        <f t="shared" si="46"/>
        <v>31370.9366666667</v>
      </c>
      <c r="X416">
        <f t="shared" si="42"/>
        <v>0.118902489025437</v>
      </c>
      <c r="AH416" t="str">
        <f t="shared" si="48"/>
        <v>3rd Quality</v>
      </c>
      <c r="AJ416">
        <f>((T416-X416)*2)/13.5</f>
        <v>69.4150081133127</v>
      </c>
      <c r="AK416">
        <f t="shared" si="47"/>
        <v>203871.54015544</v>
      </c>
    </row>
    <row r="417" spans="1:37">
      <c r="A417" t="s">
        <v>480</v>
      </c>
      <c r="B417">
        <v>55</v>
      </c>
      <c r="C417" t="s">
        <v>50</v>
      </c>
      <c r="D417" t="s">
        <v>60</v>
      </c>
      <c r="E417">
        <v>1185</v>
      </c>
      <c r="F417">
        <v>85</v>
      </c>
      <c r="G417">
        <v>8</v>
      </c>
      <c r="H417">
        <v>923.98</v>
      </c>
      <c r="I417">
        <v>7522.03</v>
      </c>
      <c r="J417">
        <v>40</v>
      </c>
      <c r="K417">
        <v>0</v>
      </c>
      <c r="L417">
        <v>32.7</v>
      </c>
      <c r="M417">
        <v>47.7</v>
      </c>
      <c r="N417" t="s">
        <v>61</v>
      </c>
      <c r="O417" t="s">
        <v>75</v>
      </c>
      <c r="P417" t="s">
        <v>66</v>
      </c>
      <c r="R417">
        <f>SUMIF(A417:A5416,"C00416",I417:I5416)</f>
        <v>7522.03</v>
      </c>
      <c r="S417" s="1">
        <v>7522.03</v>
      </c>
      <c r="T417">
        <f t="shared" si="43"/>
        <v>188.05075</v>
      </c>
      <c r="U417">
        <f t="shared" si="44"/>
        <v>1908</v>
      </c>
      <c r="V417">
        <f t="shared" si="45"/>
        <v>159</v>
      </c>
      <c r="W417">
        <f t="shared" si="46"/>
        <v>2815.67</v>
      </c>
      <c r="X417">
        <f t="shared" si="42"/>
        <v>1.28249529210589</v>
      </c>
      <c r="AH417" t="str">
        <f t="shared" si="48"/>
        <v>3rd Quality</v>
      </c>
      <c r="AJ417">
        <f>((T417-X417)*2)/32.7</f>
        <v>11.4231348445195</v>
      </c>
      <c r="AK417">
        <f t="shared" si="47"/>
        <v>222840.13875</v>
      </c>
    </row>
    <row r="418" spans="1:37">
      <c r="A418" t="s">
        <v>481</v>
      </c>
      <c r="B418">
        <v>35</v>
      </c>
      <c r="C418" t="s">
        <v>50</v>
      </c>
      <c r="D418" t="s">
        <v>45</v>
      </c>
      <c r="E418">
        <v>1044</v>
      </c>
      <c r="F418">
        <v>27</v>
      </c>
      <c r="G418">
        <v>22</v>
      </c>
      <c r="H418">
        <v>3613.37</v>
      </c>
      <c r="I418">
        <v>87587.25</v>
      </c>
      <c r="J418">
        <v>77</v>
      </c>
      <c r="K418">
        <v>0</v>
      </c>
      <c r="L418">
        <v>25.9</v>
      </c>
      <c r="M418">
        <v>46.3</v>
      </c>
      <c r="N418" t="s">
        <v>52</v>
      </c>
      <c r="O418" t="s">
        <v>47</v>
      </c>
      <c r="P418" t="s">
        <v>48</v>
      </c>
      <c r="R418">
        <f>SUMIF(A418:A5417,"C00417",I418:I5417)</f>
        <v>87587.25</v>
      </c>
      <c r="S418" s="1">
        <v>87587.25</v>
      </c>
      <c r="T418">
        <f t="shared" si="43"/>
        <v>1137.49675324675</v>
      </c>
      <c r="U418">
        <f t="shared" si="44"/>
        <v>3565.1</v>
      </c>
      <c r="V418">
        <f t="shared" si="45"/>
        <v>297.091666666667</v>
      </c>
      <c r="W418">
        <f t="shared" si="46"/>
        <v>30400.54</v>
      </c>
      <c r="X418">
        <f t="shared" si="42"/>
        <v>0.288926957383274</v>
      </c>
      <c r="AH418" t="str">
        <f t="shared" si="48"/>
        <v>2nd Quality</v>
      </c>
      <c r="AJ418">
        <f>((T418-X418)*2)/25.9</f>
        <v>87.8152761613411</v>
      </c>
      <c r="AK418">
        <f t="shared" si="47"/>
        <v>1187546.61038961</v>
      </c>
    </row>
    <row r="419" spans="1:37">
      <c r="A419" t="s">
        <v>482</v>
      </c>
      <c r="B419">
        <v>38</v>
      </c>
      <c r="C419" t="s">
        <v>50</v>
      </c>
      <c r="D419" t="s">
        <v>45</v>
      </c>
      <c r="E419">
        <v>546</v>
      </c>
      <c r="F419">
        <v>365</v>
      </c>
      <c r="G419">
        <v>4</v>
      </c>
      <c r="H419">
        <v>668.61</v>
      </c>
      <c r="I419">
        <v>2790.53</v>
      </c>
      <c r="J419">
        <v>19</v>
      </c>
      <c r="K419">
        <v>0</v>
      </c>
      <c r="L419">
        <v>38.9</v>
      </c>
      <c r="M419">
        <v>28.8</v>
      </c>
      <c r="N419" t="s">
        <v>78</v>
      </c>
      <c r="O419" t="s">
        <v>47</v>
      </c>
      <c r="P419" t="s">
        <v>58</v>
      </c>
      <c r="R419">
        <f>SUMIF(A419:A5418,"C00418",I419:I5418)</f>
        <v>2790.53</v>
      </c>
      <c r="S419" s="1">
        <v>2790.53</v>
      </c>
      <c r="T419">
        <f t="shared" si="43"/>
        <v>146.87</v>
      </c>
      <c r="U419">
        <f t="shared" si="44"/>
        <v>547.2</v>
      </c>
      <c r="V419">
        <f t="shared" si="45"/>
        <v>45.6</v>
      </c>
      <c r="W419">
        <f t="shared" si="46"/>
        <v>1153.38</v>
      </c>
      <c r="X419">
        <f t="shared" si="42"/>
        <v>0.81661955400009</v>
      </c>
      <c r="AH419" t="str">
        <f t="shared" si="48"/>
        <v>3rd Quality</v>
      </c>
      <c r="AJ419">
        <f>((T419-X419)*2)/38.9</f>
        <v>7.50917123115681</v>
      </c>
      <c r="AK419">
        <f t="shared" si="47"/>
        <v>80191.02</v>
      </c>
    </row>
    <row r="420" spans="1:37">
      <c r="A420" t="s">
        <v>483</v>
      </c>
      <c r="B420">
        <v>22</v>
      </c>
      <c r="C420" t="s">
        <v>44</v>
      </c>
      <c r="D420" t="s">
        <v>60</v>
      </c>
      <c r="E420">
        <v>1095</v>
      </c>
      <c r="F420">
        <v>14</v>
      </c>
      <c r="G420">
        <v>24</v>
      </c>
      <c r="H420">
        <v>3906.8</v>
      </c>
      <c r="I420">
        <v>104006.02</v>
      </c>
      <c r="J420">
        <v>103</v>
      </c>
      <c r="K420">
        <v>4</v>
      </c>
      <c r="L420">
        <v>4.8</v>
      </c>
      <c r="M420">
        <v>22.4</v>
      </c>
      <c r="N420" t="s">
        <v>52</v>
      </c>
      <c r="O420" t="s">
        <v>47</v>
      </c>
      <c r="P420" t="s">
        <v>68</v>
      </c>
      <c r="R420">
        <f>SUMIF(A420:A5419,"C00419",I420:I5419)</f>
        <v>104006.02</v>
      </c>
      <c r="S420" s="1">
        <v>104006.02</v>
      </c>
      <c r="T420">
        <f t="shared" si="43"/>
        <v>1009.76718446602</v>
      </c>
      <c r="U420">
        <f t="shared" si="44"/>
        <v>2307.2</v>
      </c>
      <c r="V420">
        <f>U420*4</f>
        <v>9228.8</v>
      </c>
      <c r="W420">
        <f t="shared" si="46"/>
        <v>35971.2733333333</v>
      </c>
      <c r="X420">
        <f t="shared" si="42"/>
        <v>0.280280536500461</v>
      </c>
      <c r="AH420" t="str">
        <f t="shared" si="48"/>
        <v>1st Quality</v>
      </c>
      <c r="AJ420">
        <f>((T420-X420)*2)/4.8</f>
        <v>420.619543303967</v>
      </c>
      <c r="AK420">
        <f t="shared" si="47"/>
        <v>1105695.06699029</v>
      </c>
    </row>
    <row r="421" spans="1:37">
      <c r="A421" t="s">
        <v>484</v>
      </c>
      <c r="B421">
        <v>50</v>
      </c>
      <c r="C421" t="s">
        <v>44</v>
      </c>
      <c r="D421" t="s">
        <v>45</v>
      </c>
      <c r="E421">
        <v>1408</v>
      </c>
      <c r="F421">
        <v>56</v>
      </c>
      <c r="G421">
        <v>1</v>
      </c>
      <c r="H421">
        <v>1271.71</v>
      </c>
      <c r="I421">
        <v>1295.87</v>
      </c>
      <c r="J421">
        <v>13</v>
      </c>
      <c r="K421">
        <v>0</v>
      </c>
      <c r="L421">
        <v>15.6</v>
      </c>
      <c r="M421">
        <v>26.8</v>
      </c>
      <c r="N421" t="s">
        <v>63</v>
      </c>
      <c r="O421" t="s">
        <v>75</v>
      </c>
      <c r="P421" t="s">
        <v>58</v>
      </c>
      <c r="R421">
        <f>SUMIF(A421:A5420,"C00420",I421:I5420)</f>
        <v>1295.87</v>
      </c>
      <c r="S421" s="1">
        <v>1295.87</v>
      </c>
      <c r="T421">
        <f t="shared" si="43"/>
        <v>99.6823076923077</v>
      </c>
      <c r="U421">
        <f t="shared" si="44"/>
        <v>348.4</v>
      </c>
      <c r="V421">
        <f t="shared" si="45"/>
        <v>29.0333333333333</v>
      </c>
      <c r="W421">
        <f t="shared" si="46"/>
        <v>856.193333333333</v>
      </c>
      <c r="X421">
        <f t="shared" si="42"/>
        <v>1.10717065997751</v>
      </c>
      <c r="AH421" t="str">
        <f t="shared" si="48"/>
        <v>3rd Quality</v>
      </c>
      <c r="AJ421">
        <f>((T421-X421)*2)/15.6</f>
        <v>12.637838081068</v>
      </c>
      <c r="AK421">
        <f t="shared" si="47"/>
        <v>140352.689230769</v>
      </c>
    </row>
    <row r="422" spans="1:37">
      <c r="A422" t="s">
        <v>485</v>
      </c>
      <c r="B422">
        <v>39</v>
      </c>
      <c r="C422" t="s">
        <v>50</v>
      </c>
      <c r="D422" t="s">
        <v>45</v>
      </c>
      <c r="E422">
        <v>689</v>
      </c>
      <c r="F422">
        <v>31</v>
      </c>
      <c r="G422">
        <v>3</v>
      </c>
      <c r="H422">
        <v>11570.3</v>
      </c>
      <c r="I422">
        <v>30722.39</v>
      </c>
      <c r="J422">
        <v>17</v>
      </c>
      <c r="K422">
        <v>1</v>
      </c>
      <c r="L422">
        <v>8.8</v>
      </c>
      <c r="M422">
        <v>14.2</v>
      </c>
      <c r="N422" t="s">
        <v>52</v>
      </c>
      <c r="O422" t="s">
        <v>75</v>
      </c>
      <c r="P422" t="s">
        <v>58</v>
      </c>
      <c r="R422">
        <f>SUMIF(A422:A5421,"C00421",I422:I5421)</f>
        <v>30722.39</v>
      </c>
      <c r="S422" s="1">
        <v>30722.39</v>
      </c>
      <c r="T422">
        <f t="shared" si="43"/>
        <v>1807.19941176471</v>
      </c>
      <c r="U422">
        <f t="shared" si="44"/>
        <v>241.4</v>
      </c>
      <c r="V422">
        <f>U422*1</f>
        <v>241.4</v>
      </c>
      <c r="W422">
        <f t="shared" si="46"/>
        <v>14097.8966666667</v>
      </c>
      <c r="X422">
        <f t="shared" si="42"/>
        <v>0.0595490177437059</v>
      </c>
      <c r="AH422" t="str">
        <f t="shared" si="48"/>
        <v>2nd Quality</v>
      </c>
      <c r="AJ422">
        <f>((T422-X422)*2)/8.8</f>
        <v>410.713605169765</v>
      </c>
      <c r="AK422">
        <f t="shared" si="47"/>
        <v>1245160.39470588</v>
      </c>
    </row>
    <row r="423" spans="1:37">
      <c r="A423" t="s">
        <v>486</v>
      </c>
      <c r="B423">
        <v>34</v>
      </c>
      <c r="C423" t="s">
        <v>44</v>
      </c>
      <c r="D423" t="s">
        <v>60</v>
      </c>
      <c r="E423">
        <v>993</v>
      </c>
      <c r="F423">
        <v>36</v>
      </c>
      <c r="G423">
        <v>28</v>
      </c>
      <c r="H423">
        <v>5290.63</v>
      </c>
      <c r="I423">
        <v>146286.18</v>
      </c>
      <c r="J423">
        <v>120</v>
      </c>
      <c r="K423">
        <v>2</v>
      </c>
      <c r="L423">
        <v>9.3</v>
      </c>
      <c r="M423">
        <v>8.5</v>
      </c>
      <c r="N423" t="s">
        <v>46</v>
      </c>
      <c r="O423" t="s">
        <v>47</v>
      </c>
      <c r="P423" t="s">
        <v>66</v>
      </c>
      <c r="R423">
        <f>SUMIF(A423:A5422,"C00422",I423:I5422)</f>
        <v>146286.18</v>
      </c>
      <c r="S423" s="1">
        <v>146286.18</v>
      </c>
      <c r="T423">
        <f t="shared" si="43"/>
        <v>1219.0515</v>
      </c>
      <c r="U423">
        <f t="shared" si="44"/>
        <v>1020</v>
      </c>
      <c r="V423">
        <f>U423*2</f>
        <v>2040</v>
      </c>
      <c r="W423">
        <f t="shared" si="46"/>
        <v>50525.9366666667</v>
      </c>
      <c r="X423">
        <f t="shared" si="42"/>
        <v>0.187690312873892</v>
      </c>
      <c r="AH423" t="str">
        <f t="shared" si="48"/>
        <v>2nd Quality</v>
      </c>
      <c r="AJ423">
        <f>((T423-X423)*2)/9.3</f>
        <v>262.121249395081</v>
      </c>
      <c r="AK423">
        <f t="shared" si="47"/>
        <v>1210518.1395</v>
      </c>
    </row>
    <row r="424" spans="1:37">
      <c r="A424" t="s">
        <v>487</v>
      </c>
      <c r="B424">
        <v>40</v>
      </c>
      <c r="C424" t="s">
        <v>50</v>
      </c>
      <c r="D424" t="s">
        <v>45</v>
      </c>
      <c r="E424">
        <v>784</v>
      </c>
      <c r="F424">
        <v>27</v>
      </c>
      <c r="G424">
        <v>28</v>
      </c>
      <c r="H424">
        <v>3693.11</v>
      </c>
      <c r="I424">
        <v>113415.43</v>
      </c>
      <c r="J424">
        <v>151</v>
      </c>
      <c r="K424">
        <v>1</v>
      </c>
      <c r="L424">
        <v>10.8</v>
      </c>
      <c r="M424">
        <v>32.6</v>
      </c>
      <c r="N424" t="s">
        <v>57</v>
      </c>
      <c r="O424" t="s">
        <v>47</v>
      </c>
      <c r="P424" t="s">
        <v>66</v>
      </c>
      <c r="R424">
        <f>SUMIF(A424:A5423,"C00423",I424:I5423)</f>
        <v>113415.43</v>
      </c>
      <c r="S424" s="1">
        <v>113415.43</v>
      </c>
      <c r="T424">
        <f t="shared" si="43"/>
        <v>751.095562913907</v>
      </c>
      <c r="U424">
        <f t="shared" si="44"/>
        <v>4922.6</v>
      </c>
      <c r="V424">
        <f>U424*1</f>
        <v>4922.6</v>
      </c>
      <c r="W424">
        <f t="shared" si="46"/>
        <v>39036.5133333333</v>
      </c>
      <c r="X424">
        <f t="shared" si="42"/>
        <v>0.212287205092727</v>
      </c>
      <c r="AH424" t="str">
        <f t="shared" si="48"/>
        <v>2nd Quality</v>
      </c>
      <c r="AJ424">
        <f>((T424-X424)*2)/10.8</f>
        <v>139.052458464595</v>
      </c>
      <c r="AK424">
        <f t="shared" si="47"/>
        <v>588858.921324503</v>
      </c>
    </row>
    <row r="425" spans="1:37">
      <c r="A425" t="s">
        <v>488</v>
      </c>
      <c r="B425">
        <v>33</v>
      </c>
      <c r="C425" t="s">
        <v>50</v>
      </c>
      <c r="D425" t="s">
        <v>60</v>
      </c>
      <c r="E425">
        <v>392</v>
      </c>
      <c r="F425">
        <v>7</v>
      </c>
      <c r="G425">
        <v>29</v>
      </c>
      <c r="H425">
        <v>3625.4</v>
      </c>
      <c r="I425">
        <v>93372.18</v>
      </c>
      <c r="J425">
        <v>152</v>
      </c>
      <c r="K425">
        <v>0</v>
      </c>
      <c r="L425">
        <v>18.4</v>
      </c>
      <c r="M425">
        <v>40.6</v>
      </c>
      <c r="N425" t="s">
        <v>63</v>
      </c>
      <c r="O425" t="s">
        <v>47</v>
      </c>
      <c r="P425" t="s">
        <v>66</v>
      </c>
      <c r="R425">
        <f>SUMIF(A425:A5424,"C00424",I425:I5424)</f>
        <v>93372.18</v>
      </c>
      <c r="S425" s="1">
        <v>93372.18</v>
      </c>
      <c r="T425">
        <f t="shared" si="43"/>
        <v>614.290657894737</v>
      </c>
      <c r="U425">
        <f t="shared" si="44"/>
        <v>6171.2</v>
      </c>
      <c r="V425">
        <f t="shared" si="45"/>
        <v>514.266666666667</v>
      </c>
      <c r="W425">
        <f t="shared" si="46"/>
        <v>32332.86</v>
      </c>
      <c r="X425">
        <f t="shared" si="42"/>
        <v>0.108125999889667</v>
      </c>
      <c r="AH425" t="str">
        <f t="shared" si="48"/>
        <v>3rd Quality</v>
      </c>
      <c r="AJ425">
        <f>((T425-X425)*2)/18.4</f>
        <v>66.7589708581356</v>
      </c>
      <c r="AK425">
        <f t="shared" si="47"/>
        <v>240801.937894737</v>
      </c>
    </row>
    <row r="426" spans="1:37">
      <c r="A426" t="s">
        <v>489</v>
      </c>
      <c r="B426">
        <v>24</v>
      </c>
      <c r="C426" t="s">
        <v>44</v>
      </c>
      <c r="D426" t="s">
        <v>60</v>
      </c>
      <c r="E426">
        <v>431</v>
      </c>
      <c r="F426">
        <v>3</v>
      </c>
      <c r="G426">
        <v>9</v>
      </c>
      <c r="H426">
        <v>13440.09</v>
      </c>
      <c r="I426">
        <v>124386.24</v>
      </c>
      <c r="J426">
        <v>36</v>
      </c>
      <c r="K426">
        <v>0</v>
      </c>
      <c r="L426">
        <v>7.6</v>
      </c>
      <c r="M426">
        <v>11</v>
      </c>
      <c r="N426" t="s">
        <v>78</v>
      </c>
      <c r="O426" t="s">
        <v>75</v>
      </c>
      <c r="P426" t="s">
        <v>66</v>
      </c>
      <c r="R426">
        <f>SUMIF(A426:A5425,"C00425",I426:I5425)</f>
        <v>124386.24</v>
      </c>
      <c r="S426" s="1">
        <v>124386.24</v>
      </c>
      <c r="T426">
        <f t="shared" si="43"/>
        <v>3455.17333333333</v>
      </c>
      <c r="U426">
        <f t="shared" si="44"/>
        <v>396</v>
      </c>
      <c r="V426">
        <f t="shared" si="45"/>
        <v>33</v>
      </c>
      <c r="W426">
        <f t="shared" si="46"/>
        <v>45942.4433333333</v>
      </c>
      <c r="X426">
        <f t="shared" si="42"/>
        <v>0.0320682376382896</v>
      </c>
      <c r="AH426" t="str">
        <f t="shared" si="48"/>
        <v>3rd Quality</v>
      </c>
      <c r="AJ426">
        <f>((T426-X426)*2)/7.6</f>
        <v>909.247701340972</v>
      </c>
      <c r="AK426">
        <f t="shared" si="47"/>
        <v>1489179.70666667</v>
      </c>
    </row>
    <row r="427" spans="1:37">
      <c r="A427" t="s">
        <v>490</v>
      </c>
      <c r="B427">
        <v>27</v>
      </c>
      <c r="C427" t="s">
        <v>101</v>
      </c>
      <c r="D427" t="s">
        <v>45</v>
      </c>
      <c r="E427">
        <v>584</v>
      </c>
      <c r="F427">
        <v>130</v>
      </c>
      <c r="G427">
        <v>2</v>
      </c>
      <c r="H427">
        <v>1665.64</v>
      </c>
      <c r="I427">
        <v>3233.68</v>
      </c>
      <c r="J427">
        <v>18</v>
      </c>
      <c r="K427">
        <v>0</v>
      </c>
      <c r="L427">
        <v>36.1</v>
      </c>
      <c r="M427">
        <v>12.8</v>
      </c>
      <c r="N427" t="s">
        <v>81</v>
      </c>
      <c r="O427" t="s">
        <v>53</v>
      </c>
      <c r="P427" t="s">
        <v>58</v>
      </c>
      <c r="R427">
        <f>SUMIF(A427:A5426,"C00426",I427:I5426)</f>
        <v>3233.68</v>
      </c>
      <c r="S427" s="1">
        <v>3233.68</v>
      </c>
      <c r="T427">
        <f t="shared" si="43"/>
        <v>179.648888888889</v>
      </c>
      <c r="U427">
        <f t="shared" si="44"/>
        <v>230.4</v>
      </c>
      <c r="V427">
        <f t="shared" si="45"/>
        <v>19.2</v>
      </c>
      <c r="W427">
        <f t="shared" si="46"/>
        <v>1633.44</v>
      </c>
      <c r="X427">
        <f t="shared" si="42"/>
        <v>0.350615979443337</v>
      </c>
      <c r="AH427" t="str">
        <f t="shared" si="48"/>
        <v>3rd Quality</v>
      </c>
      <c r="AJ427">
        <f>((T427-X427)*2)/36.1</f>
        <v>9.93342232185294</v>
      </c>
      <c r="AK427">
        <f t="shared" si="47"/>
        <v>104914.951111111</v>
      </c>
    </row>
    <row r="428" spans="1:37">
      <c r="A428" t="s">
        <v>491</v>
      </c>
      <c r="B428">
        <v>36</v>
      </c>
      <c r="C428" t="s">
        <v>50</v>
      </c>
      <c r="D428" t="s">
        <v>60</v>
      </c>
      <c r="E428">
        <v>1062</v>
      </c>
      <c r="F428">
        <v>8</v>
      </c>
      <c r="G428">
        <v>9</v>
      </c>
      <c r="H428">
        <v>1296.07</v>
      </c>
      <c r="I428">
        <v>11394.84</v>
      </c>
      <c r="J428">
        <v>47</v>
      </c>
      <c r="K428">
        <v>0</v>
      </c>
      <c r="L428">
        <v>14.8</v>
      </c>
      <c r="M428">
        <v>17.7</v>
      </c>
      <c r="N428" t="s">
        <v>52</v>
      </c>
      <c r="O428" t="s">
        <v>53</v>
      </c>
      <c r="P428" t="s">
        <v>66</v>
      </c>
      <c r="R428">
        <f>SUMIF(A428:A5427,"C00427",I428:I5427)</f>
        <v>11394.84</v>
      </c>
      <c r="S428" s="1">
        <v>11394.84</v>
      </c>
      <c r="T428">
        <f t="shared" si="43"/>
        <v>242.443404255319</v>
      </c>
      <c r="U428">
        <f t="shared" si="44"/>
        <v>831.9</v>
      </c>
      <c r="V428">
        <f t="shared" si="45"/>
        <v>69.325</v>
      </c>
      <c r="W428">
        <f t="shared" si="46"/>
        <v>4230.63666666667</v>
      </c>
      <c r="X428">
        <f t="shared" si="42"/>
        <v>0.81940018671831</v>
      </c>
      <c r="AH428" t="str">
        <f t="shared" si="48"/>
        <v>3rd Quality</v>
      </c>
      <c r="AJ428">
        <f>((T428-X428)*2)/14.8</f>
        <v>32.6518924417028</v>
      </c>
      <c r="AK428">
        <f t="shared" si="47"/>
        <v>257474.895319149</v>
      </c>
    </row>
    <row r="429" spans="1:37">
      <c r="A429" t="s">
        <v>492</v>
      </c>
      <c r="B429">
        <v>52</v>
      </c>
      <c r="C429" t="s">
        <v>44</v>
      </c>
      <c r="D429" t="s">
        <v>60</v>
      </c>
      <c r="E429">
        <v>1239</v>
      </c>
      <c r="F429">
        <v>128</v>
      </c>
      <c r="G429">
        <v>3</v>
      </c>
      <c r="H429">
        <v>1036.11</v>
      </c>
      <c r="I429">
        <v>3158.74</v>
      </c>
      <c r="J429">
        <v>26</v>
      </c>
      <c r="K429">
        <v>0</v>
      </c>
      <c r="L429">
        <v>33</v>
      </c>
      <c r="M429">
        <v>18.4</v>
      </c>
      <c r="N429" t="s">
        <v>46</v>
      </c>
      <c r="O429" t="s">
        <v>47</v>
      </c>
      <c r="P429" t="s">
        <v>58</v>
      </c>
      <c r="R429">
        <f>SUMIF(A429:A5428,"C00428",I429:I5428)</f>
        <v>3158.74</v>
      </c>
      <c r="S429" s="1">
        <v>3158.74</v>
      </c>
      <c r="T429">
        <f t="shared" si="43"/>
        <v>121.49</v>
      </c>
      <c r="U429">
        <f t="shared" si="44"/>
        <v>478.4</v>
      </c>
      <c r="V429">
        <f t="shared" si="45"/>
        <v>39.8666666666667</v>
      </c>
      <c r="W429">
        <f t="shared" si="46"/>
        <v>1398.61666666667</v>
      </c>
      <c r="X429">
        <f t="shared" si="42"/>
        <v>1.19581897674957</v>
      </c>
      <c r="AH429" t="str">
        <f t="shared" si="48"/>
        <v>3rd Quality</v>
      </c>
      <c r="AJ429">
        <f>((T429-X429)*2)/33</f>
        <v>7.29055642565154</v>
      </c>
      <c r="AK429">
        <f t="shared" si="47"/>
        <v>150526.11</v>
      </c>
    </row>
    <row r="430" spans="1:37">
      <c r="A430" t="s">
        <v>493</v>
      </c>
      <c r="B430">
        <v>28</v>
      </c>
      <c r="C430" t="s">
        <v>44</v>
      </c>
      <c r="D430" t="s">
        <v>45</v>
      </c>
      <c r="E430">
        <v>455</v>
      </c>
      <c r="F430">
        <v>15</v>
      </c>
      <c r="G430">
        <v>34</v>
      </c>
      <c r="H430">
        <v>5682.66</v>
      </c>
      <c r="I430">
        <v>189110.17</v>
      </c>
      <c r="J430">
        <v>243</v>
      </c>
      <c r="K430">
        <v>4</v>
      </c>
      <c r="L430">
        <v>0</v>
      </c>
      <c r="M430">
        <v>54.4</v>
      </c>
      <c r="N430" t="s">
        <v>61</v>
      </c>
      <c r="O430" t="s">
        <v>75</v>
      </c>
      <c r="P430" t="s">
        <v>58</v>
      </c>
      <c r="R430">
        <f>SUMIF(A430:A5429,"C00429",I430:I5429)</f>
        <v>189110.17</v>
      </c>
      <c r="S430" s="1">
        <v>189110.17</v>
      </c>
      <c r="T430">
        <f t="shared" si="43"/>
        <v>778.231152263374</v>
      </c>
      <c r="U430">
        <f t="shared" si="44"/>
        <v>13219.2</v>
      </c>
      <c r="V430">
        <f>U430*4</f>
        <v>52876.8</v>
      </c>
      <c r="W430">
        <f t="shared" si="46"/>
        <v>64931.2766666667</v>
      </c>
      <c r="X430">
        <f t="shared" si="42"/>
        <v>0.0800681371048065</v>
      </c>
      <c r="AH430" t="str">
        <f t="shared" si="48"/>
        <v>3rd Quality</v>
      </c>
      <c r="AJ430">
        <f>((T430-X430)*2)</f>
        <v>1556.30216825254</v>
      </c>
      <c r="AK430">
        <f t="shared" si="47"/>
        <v>354095.174279835</v>
      </c>
    </row>
    <row r="431" spans="1:37">
      <c r="A431" t="s">
        <v>494</v>
      </c>
      <c r="B431">
        <v>41</v>
      </c>
      <c r="C431" t="s">
        <v>44</v>
      </c>
      <c r="D431" t="s">
        <v>51</v>
      </c>
      <c r="E431">
        <v>509</v>
      </c>
      <c r="F431">
        <v>242</v>
      </c>
      <c r="G431">
        <v>3</v>
      </c>
      <c r="H431">
        <v>1096.16</v>
      </c>
      <c r="I431">
        <v>3620.07</v>
      </c>
      <c r="J431">
        <v>28</v>
      </c>
      <c r="K431">
        <v>1</v>
      </c>
      <c r="L431">
        <v>37.5</v>
      </c>
      <c r="M431">
        <v>4.3</v>
      </c>
      <c r="N431" t="s">
        <v>52</v>
      </c>
      <c r="O431" t="s">
        <v>47</v>
      </c>
      <c r="P431" t="s">
        <v>58</v>
      </c>
      <c r="R431">
        <f>SUMIF(A431:A5430,"C00430",I431:I5430)</f>
        <v>3620.07</v>
      </c>
      <c r="S431" s="1">
        <v>3620.07</v>
      </c>
      <c r="T431">
        <f t="shared" si="43"/>
        <v>129.288214285714</v>
      </c>
      <c r="U431">
        <f t="shared" si="44"/>
        <v>120.4</v>
      </c>
      <c r="V431">
        <f>U431*1</f>
        <v>120.4</v>
      </c>
      <c r="W431">
        <f t="shared" si="46"/>
        <v>1572.41</v>
      </c>
      <c r="X431">
        <f t="shared" ref="X431:X494" si="49">E431/H431</f>
        <v>0.4643482703255</v>
      </c>
      <c r="AH431" t="str">
        <f t="shared" si="48"/>
        <v>3rd Quality</v>
      </c>
      <c r="AJ431">
        <f>((T431-X431)*2)/37.5</f>
        <v>6.87060618748739</v>
      </c>
      <c r="AK431">
        <f t="shared" si="47"/>
        <v>65807.7010714286</v>
      </c>
    </row>
    <row r="432" spans="1:37">
      <c r="A432" t="s">
        <v>495</v>
      </c>
      <c r="B432">
        <v>23</v>
      </c>
      <c r="C432" t="s">
        <v>50</v>
      </c>
      <c r="D432" t="s">
        <v>45</v>
      </c>
      <c r="E432">
        <v>1308</v>
      </c>
      <c r="F432">
        <v>31</v>
      </c>
      <c r="G432">
        <v>1</v>
      </c>
      <c r="H432">
        <v>794.32</v>
      </c>
      <c r="I432">
        <v>756.9</v>
      </c>
      <c r="J432">
        <v>21</v>
      </c>
      <c r="K432">
        <v>0</v>
      </c>
      <c r="L432">
        <v>16.3</v>
      </c>
      <c r="M432">
        <v>8.8</v>
      </c>
      <c r="N432" t="s">
        <v>57</v>
      </c>
      <c r="O432" t="s">
        <v>53</v>
      </c>
      <c r="P432" t="s">
        <v>58</v>
      </c>
      <c r="R432">
        <f>SUMIF(A432:A5431,"C00431",I432:I5431)</f>
        <v>756.9</v>
      </c>
      <c r="S432" s="1">
        <v>756.9</v>
      </c>
      <c r="T432">
        <f t="shared" si="43"/>
        <v>36.0428571428571</v>
      </c>
      <c r="U432">
        <f t="shared" si="44"/>
        <v>184.8</v>
      </c>
      <c r="V432">
        <f t="shared" si="45"/>
        <v>15.4</v>
      </c>
      <c r="W432">
        <f t="shared" si="46"/>
        <v>517.406666666667</v>
      </c>
      <c r="X432">
        <f t="shared" si="49"/>
        <v>1.646691509719</v>
      </c>
      <c r="AH432" t="str">
        <f t="shared" si="48"/>
        <v>3rd Quality</v>
      </c>
      <c r="AJ432">
        <f>((T432-X432)*2)/16.3</f>
        <v>4.22038842124394</v>
      </c>
      <c r="AK432">
        <f t="shared" si="47"/>
        <v>47144.0571428571</v>
      </c>
    </row>
    <row r="433" spans="1:37">
      <c r="A433" t="s">
        <v>496</v>
      </c>
      <c r="B433">
        <v>40</v>
      </c>
      <c r="C433" t="s">
        <v>50</v>
      </c>
      <c r="D433" t="s">
        <v>60</v>
      </c>
      <c r="E433">
        <v>1298</v>
      </c>
      <c r="F433">
        <v>178</v>
      </c>
      <c r="G433">
        <v>2</v>
      </c>
      <c r="H433">
        <v>647.62</v>
      </c>
      <c r="I433">
        <v>1375.84</v>
      </c>
      <c r="J433">
        <v>14</v>
      </c>
      <c r="K433">
        <v>0</v>
      </c>
      <c r="L433">
        <v>20</v>
      </c>
      <c r="M433">
        <v>39.1</v>
      </c>
      <c r="N433" t="s">
        <v>57</v>
      </c>
      <c r="O433" t="s">
        <v>47</v>
      </c>
      <c r="P433" t="s">
        <v>58</v>
      </c>
      <c r="R433">
        <f>SUMIF(A433:A5432,"C00432",I433:I5432)</f>
        <v>1375.84</v>
      </c>
      <c r="S433" s="1">
        <v>1375.84</v>
      </c>
      <c r="T433">
        <f t="shared" si="43"/>
        <v>98.2742857142857</v>
      </c>
      <c r="U433">
        <f t="shared" si="44"/>
        <v>547.4</v>
      </c>
      <c r="V433">
        <f t="shared" si="45"/>
        <v>45.6166666666667</v>
      </c>
      <c r="W433">
        <f t="shared" si="46"/>
        <v>674.82</v>
      </c>
      <c r="X433">
        <f t="shared" si="49"/>
        <v>2.00426175843859</v>
      </c>
      <c r="AH433" t="str">
        <f t="shared" si="48"/>
        <v>3rd Quality</v>
      </c>
      <c r="AJ433">
        <f>((T433-X433)*2)/20</f>
        <v>9.62700239558471</v>
      </c>
      <c r="AK433">
        <f t="shared" si="47"/>
        <v>127560.022857143</v>
      </c>
    </row>
    <row r="434" spans="1:37">
      <c r="A434" t="s">
        <v>497</v>
      </c>
      <c r="B434">
        <v>39</v>
      </c>
      <c r="C434" t="s">
        <v>50</v>
      </c>
      <c r="D434" t="s">
        <v>51</v>
      </c>
      <c r="E434">
        <v>950</v>
      </c>
      <c r="F434">
        <v>86</v>
      </c>
      <c r="G434">
        <v>3</v>
      </c>
      <c r="H434">
        <v>1130.75</v>
      </c>
      <c r="I434">
        <v>3060.15</v>
      </c>
      <c r="J434">
        <v>10</v>
      </c>
      <c r="K434">
        <v>0</v>
      </c>
      <c r="L434">
        <v>27.7</v>
      </c>
      <c r="M434">
        <v>60.8</v>
      </c>
      <c r="N434" t="s">
        <v>52</v>
      </c>
      <c r="O434" t="s">
        <v>53</v>
      </c>
      <c r="P434" t="s">
        <v>68</v>
      </c>
      <c r="R434">
        <f>SUMIF(A434:A5433,"C00433",I434:I5433)</f>
        <v>3060.15</v>
      </c>
      <c r="S434" s="1">
        <v>3060.15</v>
      </c>
      <c r="T434">
        <f t="shared" si="43"/>
        <v>306.015</v>
      </c>
      <c r="U434">
        <f t="shared" si="44"/>
        <v>608</v>
      </c>
      <c r="V434">
        <f t="shared" si="45"/>
        <v>50.6666666666667</v>
      </c>
      <c r="W434">
        <f t="shared" si="46"/>
        <v>1397.3</v>
      </c>
      <c r="X434">
        <f t="shared" si="49"/>
        <v>0.840150342692903</v>
      </c>
      <c r="AH434" t="str">
        <f t="shared" si="48"/>
        <v>3rd Quality</v>
      </c>
      <c r="AJ434">
        <f>((T434-X434)*2)/27.7</f>
        <v>22.0342851738128</v>
      </c>
      <c r="AK434">
        <f t="shared" si="47"/>
        <v>290714.25</v>
      </c>
    </row>
    <row r="435" spans="1:37">
      <c r="A435" t="s">
        <v>498</v>
      </c>
      <c r="B435">
        <v>25</v>
      </c>
      <c r="C435" t="s">
        <v>50</v>
      </c>
      <c r="D435" t="s">
        <v>51</v>
      </c>
      <c r="E435">
        <v>1227</v>
      </c>
      <c r="F435">
        <v>286</v>
      </c>
      <c r="G435">
        <v>4</v>
      </c>
      <c r="H435">
        <v>730.09</v>
      </c>
      <c r="I435">
        <v>2803.2</v>
      </c>
      <c r="J435">
        <v>29</v>
      </c>
      <c r="K435">
        <v>0</v>
      </c>
      <c r="L435">
        <v>33</v>
      </c>
      <c r="M435">
        <v>58.9</v>
      </c>
      <c r="N435" t="s">
        <v>63</v>
      </c>
      <c r="O435" t="s">
        <v>47</v>
      </c>
      <c r="P435" t="s">
        <v>68</v>
      </c>
      <c r="R435">
        <f>SUMIF(A435:A5434,"C00434",I435:I5434)</f>
        <v>2803.2</v>
      </c>
      <c r="S435" s="1">
        <v>2803.2</v>
      </c>
      <c r="T435">
        <f t="shared" si="43"/>
        <v>96.6620689655172</v>
      </c>
      <c r="U435">
        <f t="shared" si="44"/>
        <v>1708.1</v>
      </c>
      <c r="V435">
        <f t="shared" si="45"/>
        <v>142.341666666667</v>
      </c>
      <c r="W435">
        <f t="shared" si="46"/>
        <v>1178.09666666667</v>
      </c>
      <c r="X435">
        <f t="shared" si="49"/>
        <v>1.68061471873331</v>
      </c>
      <c r="AH435" t="str">
        <f t="shared" si="48"/>
        <v>3rd Quality</v>
      </c>
      <c r="AJ435">
        <f>((T435-X435)*2)/33</f>
        <v>5.75645177253236</v>
      </c>
      <c r="AK435">
        <f t="shared" si="47"/>
        <v>118604.35862069</v>
      </c>
    </row>
    <row r="436" spans="1:37">
      <c r="A436" t="s">
        <v>499</v>
      </c>
      <c r="B436">
        <v>40</v>
      </c>
      <c r="C436" t="s">
        <v>44</v>
      </c>
      <c r="D436" t="s">
        <v>51</v>
      </c>
      <c r="E436">
        <v>602</v>
      </c>
      <c r="F436">
        <v>18</v>
      </c>
      <c r="G436">
        <v>32</v>
      </c>
      <c r="H436">
        <v>5531.65</v>
      </c>
      <c r="I436">
        <v>162478.19</v>
      </c>
      <c r="J436">
        <v>105</v>
      </c>
      <c r="K436">
        <v>1</v>
      </c>
      <c r="L436">
        <v>1</v>
      </c>
      <c r="M436">
        <v>35.5</v>
      </c>
      <c r="N436" t="s">
        <v>57</v>
      </c>
      <c r="O436" t="s">
        <v>75</v>
      </c>
      <c r="P436" t="s">
        <v>58</v>
      </c>
      <c r="R436">
        <f>SUMIF(A436:A5435,"C00435",I436:I5435)</f>
        <v>162478.19</v>
      </c>
      <c r="S436" s="1">
        <v>162478.19</v>
      </c>
      <c r="T436">
        <f t="shared" si="43"/>
        <v>1547.41133333333</v>
      </c>
      <c r="U436">
        <f t="shared" si="44"/>
        <v>3727.5</v>
      </c>
      <c r="V436">
        <f>U436*1</f>
        <v>3727.5</v>
      </c>
      <c r="W436">
        <f t="shared" si="46"/>
        <v>56003.6133333333</v>
      </c>
      <c r="X436">
        <f t="shared" si="49"/>
        <v>0.108828288123797</v>
      </c>
      <c r="AH436" t="str">
        <f t="shared" si="48"/>
        <v>2nd Quality</v>
      </c>
      <c r="AJ436">
        <f>((T436-X436)*2)/1</f>
        <v>3094.60501009041</v>
      </c>
      <c r="AK436">
        <f t="shared" si="47"/>
        <v>931541.622666667</v>
      </c>
    </row>
    <row r="437" spans="1:37">
      <c r="A437" t="s">
        <v>500</v>
      </c>
      <c r="B437">
        <v>19</v>
      </c>
      <c r="C437" t="s">
        <v>50</v>
      </c>
      <c r="D437" t="s">
        <v>60</v>
      </c>
      <c r="E437">
        <v>408</v>
      </c>
      <c r="F437">
        <v>11</v>
      </c>
      <c r="G437">
        <v>28</v>
      </c>
      <c r="H437">
        <v>6482.86</v>
      </c>
      <c r="I437">
        <v>169314.29</v>
      </c>
      <c r="J437">
        <v>94</v>
      </c>
      <c r="K437">
        <v>4</v>
      </c>
      <c r="L437">
        <v>3.5</v>
      </c>
      <c r="M437">
        <v>28.9</v>
      </c>
      <c r="N437" t="s">
        <v>46</v>
      </c>
      <c r="O437" t="s">
        <v>47</v>
      </c>
      <c r="P437" t="s">
        <v>68</v>
      </c>
      <c r="R437">
        <f>SUMIF(A437:A5436,"C00436",I437:I5436)</f>
        <v>169314.29</v>
      </c>
      <c r="S437" s="1">
        <v>169314.29</v>
      </c>
      <c r="T437">
        <f t="shared" si="43"/>
        <v>1801.21585106383</v>
      </c>
      <c r="U437">
        <f t="shared" si="44"/>
        <v>2716.6</v>
      </c>
      <c r="V437">
        <f>U437*4</f>
        <v>10866.4</v>
      </c>
      <c r="W437">
        <f t="shared" si="46"/>
        <v>58599.3833333333</v>
      </c>
      <c r="X437">
        <f t="shared" si="49"/>
        <v>0.0629351860135804</v>
      </c>
      <c r="AH437" t="str">
        <f t="shared" si="48"/>
        <v>3rd Quality</v>
      </c>
      <c r="AJ437">
        <f>((T437-X437)*2)/3.5</f>
        <v>1029.23023764447</v>
      </c>
      <c r="AK437">
        <f t="shared" si="47"/>
        <v>734896.067234043</v>
      </c>
    </row>
    <row r="438" spans="1:37">
      <c r="A438" t="s">
        <v>501</v>
      </c>
      <c r="B438">
        <v>33</v>
      </c>
      <c r="C438" t="s">
        <v>50</v>
      </c>
      <c r="D438" t="s">
        <v>60</v>
      </c>
      <c r="E438">
        <v>1360</v>
      </c>
      <c r="F438">
        <v>4</v>
      </c>
      <c r="G438">
        <v>23</v>
      </c>
      <c r="H438">
        <v>2557.06</v>
      </c>
      <c r="I438">
        <v>59722.73</v>
      </c>
      <c r="J438">
        <v>141</v>
      </c>
      <c r="K438">
        <v>2</v>
      </c>
      <c r="L438">
        <v>6.9</v>
      </c>
      <c r="M438">
        <v>16.6</v>
      </c>
      <c r="N438" t="s">
        <v>52</v>
      </c>
      <c r="O438" t="s">
        <v>47</v>
      </c>
      <c r="P438" t="s">
        <v>58</v>
      </c>
      <c r="R438">
        <f>SUMIF(A438:A5437,"C00437",I438:I5437)</f>
        <v>59722.73</v>
      </c>
      <c r="S438" s="1">
        <v>59722.73</v>
      </c>
      <c r="T438">
        <f t="shared" si="43"/>
        <v>423.565460992908</v>
      </c>
      <c r="U438">
        <f t="shared" si="44"/>
        <v>2340.6</v>
      </c>
      <c r="V438">
        <f>U438*2</f>
        <v>4681.2</v>
      </c>
      <c r="W438">
        <f t="shared" si="46"/>
        <v>20760.2633333333</v>
      </c>
      <c r="X438">
        <f t="shared" si="49"/>
        <v>0.531860808897718</v>
      </c>
      <c r="AH438" t="str">
        <f t="shared" si="48"/>
        <v>1st Quality</v>
      </c>
      <c r="AJ438">
        <f>((T438-X438)*2)/6.9</f>
        <v>122.618434835945</v>
      </c>
      <c r="AK438">
        <f t="shared" si="47"/>
        <v>576049.026950355</v>
      </c>
    </row>
    <row r="439" spans="1:37">
      <c r="A439" t="s">
        <v>502</v>
      </c>
      <c r="B439">
        <v>30</v>
      </c>
      <c r="C439" t="s">
        <v>44</v>
      </c>
      <c r="D439" t="s">
        <v>51</v>
      </c>
      <c r="E439">
        <v>731</v>
      </c>
      <c r="F439">
        <v>29</v>
      </c>
      <c r="G439">
        <v>4</v>
      </c>
      <c r="H439">
        <v>6416.94</v>
      </c>
      <c r="I439">
        <v>24694.67</v>
      </c>
      <c r="J439">
        <v>30</v>
      </c>
      <c r="K439">
        <v>1</v>
      </c>
      <c r="L439">
        <v>12.5</v>
      </c>
      <c r="M439">
        <v>46.5</v>
      </c>
      <c r="N439" t="s">
        <v>57</v>
      </c>
      <c r="O439" t="s">
        <v>75</v>
      </c>
      <c r="P439" t="s">
        <v>48</v>
      </c>
      <c r="R439">
        <f>SUMIF(A439:A5438,"C00438",I439:I5438)</f>
        <v>24694.67</v>
      </c>
      <c r="S439" s="1">
        <v>24694.67</v>
      </c>
      <c r="T439">
        <f t="shared" si="43"/>
        <v>823.155666666667</v>
      </c>
      <c r="U439">
        <f t="shared" si="44"/>
        <v>1395</v>
      </c>
      <c r="V439">
        <f>U439*1</f>
        <v>1395</v>
      </c>
      <c r="W439">
        <f t="shared" si="46"/>
        <v>10370.87</v>
      </c>
      <c r="X439">
        <f t="shared" si="49"/>
        <v>0.113917225344167</v>
      </c>
      <c r="AH439" t="str">
        <f t="shared" si="48"/>
        <v>2nd Quality</v>
      </c>
      <c r="AJ439">
        <f>((T439-X439)*2)/12.5</f>
        <v>131.686679910612</v>
      </c>
      <c r="AK439">
        <f t="shared" si="47"/>
        <v>601726.792333333</v>
      </c>
    </row>
    <row r="440" spans="1:37">
      <c r="A440" t="s">
        <v>503</v>
      </c>
      <c r="B440">
        <v>48</v>
      </c>
      <c r="C440" t="s">
        <v>44</v>
      </c>
      <c r="D440" t="s">
        <v>60</v>
      </c>
      <c r="E440">
        <v>759</v>
      </c>
      <c r="F440">
        <v>209</v>
      </c>
      <c r="G440">
        <v>3</v>
      </c>
      <c r="H440">
        <v>740.99</v>
      </c>
      <c r="I440">
        <v>1982.22</v>
      </c>
      <c r="J440">
        <v>18</v>
      </c>
      <c r="K440">
        <v>0</v>
      </c>
      <c r="L440">
        <v>15.5</v>
      </c>
      <c r="M440">
        <v>20.9</v>
      </c>
      <c r="N440" t="s">
        <v>78</v>
      </c>
      <c r="O440" t="s">
        <v>75</v>
      </c>
      <c r="P440" t="s">
        <v>48</v>
      </c>
      <c r="R440">
        <f>SUMIF(A440:A5439,"C00439",I440:I5439)</f>
        <v>1982.22</v>
      </c>
      <c r="S440" s="1">
        <v>1982.22</v>
      </c>
      <c r="T440">
        <f t="shared" si="43"/>
        <v>110.123333333333</v>
      </c>
      <c r="U440">
        <f t="shared" si="44"/>
        <v>376.2</v>
      </c>
      <c r="V440">
        <f t="shared" si="45"/>
        <v>31.35</v>
      </c>
      <c r="W440">
        <f t="shared" si="46"/>
        <v>908.07</v>
      </c>
      <c r="X440">
        <f t="shared" si="49"/>
        <v>1.0243053212594</v>
      </c>
      <c r="AH440" t="str">
        <f t="shared" si="48"/>
        <v>3rd Quality</v>
      </c>
      <c r="AJ440">
        <f>((T440-X440)*2)/15.5</f>
        <v>14.0772939370418</v>
      </c>
      <c r="AK440">
        <f t="shared" si="47"/>
        <v>83583.61</v>
      </c>
    </row>
    <row r="441" spans="1:37">
      <c r="A441" t="s">
        <v>504</v>
      </c>
      <c r="B441">
        <v>30</v>
      </c>
      <c r="C441" t="s">
        <v>50</v>
      </c>
      <c r="D441" t="s">
        <v>45</v>
      </c>
      <c r="E441">
        <v>923</v>
      </c>
      <c r="F441">
        <v>29</v>
      </c>
      <c r="G441">
        <v>4</v>
      </c>
      <c r="H441">
        <v>8101.94</v>
      </c>
      <c r="I441">
        <v>35234.26</v>
      </c>
      <c r="J441">
        <v>38</v>
      </c>
      <c r="K441">
        <v>0</v>
      </c>
      <c r="L441">
        <v>9.8</v>
      </c>
      <c r="M441">
        <v>27.6</v>
      </c>
      <c r="N441" t="s">
        <v>57</v>
      </c>
      <c r="O441" t="s">
        <v>53</v>
      </c>
      <c r="P441" t="s">
        <v>68</v>
      </c>
      <c r="R441">
        <f>SUMIF(A441:A5440,"C00440",I441:I5440)</f>
        <v>35234.26</v>
      </c>
      <c r="S441" s="1">
        <v>35234.26</v>
      </c>
      <c r="T441">
        <f t="shared" si="43"/>
        <v>927.217368421053</v>
      </c>
      <c r="U441">
        <f t="shared" si="44"/>
        <v>1048.8</v>
      </c>
      <c r="V441">
        <f t="shared" si="45"/>
        <v>87.4</v>
      </c>
      <c r="W441">
        <f t="shared" si="46"/>
        <v>14445.7333333333</v>
      </c>
      <c r="X441">
        <f t="shared" si="49"/>
        <v>0.11392333194272</v>
      </c>
      <c r="AH441" t="str">
        <f t="shared" si="48"/>
        <v>1st Quality</v>
      </c>
      <c r="AJ441">
        <f>((T441-X441)*2)/9.8</f>
        <v>189.204784712063</v>
      </c>
      <c r="AK441">
        <f t="shared" si="47"/>
        <v>855821.631052632</v>
      </c>
    </row>
    <row r="442" spans="1:37">
      <c r="A442" t="s">
        <v>505</v>
      </c>
      <c r="B442">
        <v>47</v>
      </c>
      <c r="C442" t="s">
        <v>44</v>
      </c>
      <c r="D442" t="s">
        <v>60</v>
      </c>
      <c r="E442">
        <v>1032</v>
      </c>
      <c r="F442">
        <v>91</v>
      </c>
      <c r="G442">
        <v>2</v>
      </c>
      <c r="H442">
        <v>1523.78</v>
      </c>
      <c r="I442">
        <v>3175.85</v>
      </c>
      <c r="J442">
        <v>10</v>
      </c>
      <c r="K442">
        <v>1</v>
      </c>
      <c r="L442">
        <v>27.8</v>
      </c>
      <c r="M442">
        <v>15.1</v>
      </c>
      <c r="N442" t="s">
        <v>52</v>
      </c>
      <c r="O442" t="s">
        <v>75</v>
      </c>
      <c r="P442" t="s">
        <v>58</v>
      </c>
      <c r="R442">
        <f>SUMIF(A442:A5441,"C00441",I442:I5441)</f>
        <v>3175.85</v>
      </c>
      <c r="S442" s="1">
        <v>3175.85</v>
      </c>
      <c r="T442">
        <f t="shared" si="43"/>
        <v>317.585</v>
      </c>
      <c r="U442">
        <f t="shared" si="44"/>
        <v>151</v>
      </c>
      <c r="V442">
        <f>U442*1</f>
        <v>151</v>
      </c>
      <c r="W442">
        <f t="shared" si="46"/>
        <v>1566.87666666667</v>
      </c>
      <c r="X442">
        <f t="shared" si="49"/>
        <v>0.677263121972988</v>
      </c>
      <c r="AH442" t="str">
        <f t="shared" si="48"/>
        <v>3rd Quality</v>
      </c>
      <c r="AJ442">
        <f>((T442-X442)*2)/27.8</f>
        <v>22.7991177610091</v>
      </c>
      <c r="AK442">
        <f t="shared" si="47"/>
        <v>327747.72</v>
      </c>
    </row>
    <row r="443" spans="1:37">
      <c r="A443" t="s">
        <v>506</v>
      </c>
      <c r="B443">
        <v>47</v>
      </c>
      <c r="C443" t="s">
        <v>50</v>
      </c>
      <c r="D443" t="s">
        <v>60</v>
      </c>
      <c r="E443">
        <v>452</v>
      </c>
      <c r="F443">
        <v>10</v>
      </c>
      <c r="G443">
        <v>20</v>
      </c>
      <c r="H443">
        <v>2159.17</v>
      </c>
      <c r="I443">
        <v>47901.26</v>
      </c>
      <c r="J443">
        <v>171</v>
      </c>
      <c r="K443">
        <v>0</v>
      </c>
      <c r="L443">
        <v>17.1</v>
      </c>
      <c r="M443">
        <v>33.6</v>
      </c>
      <c r="N443" t="s">
        <v>63</v>
      </c>
      <c r="O443" t="s">
        <v>53</v>
      </c>
      <c r="P443" t="s">
        <v>58</v>
      </c>
      <c r="R443">
        <f>SUMIF(A443:A5442,"C00442",I443:I5442)</f>
        <v>47901.26</v>
      </c>
      <c r="S443" s="1">
        <v>47901.26</v>
      </c>
      <c r="T443">
        <f t="shared" si="43"/>
        <v>280.12432748538</v>
      </c>
      <c r="U443">
        <f t="shared" si="44"/>
        <v>5745.6</v>
      </c>
      <c r="V443">
        <f t="shared" si="45"/>
        <v>478.8</v>
      </c>
      <c r="W443">
        <f t="shared" si="46"/>
        <v>16687.1433333333</v>
      </c>
      <c r="X443">
        <f t="shared" si="49"/>
        <v>0.209339699977306</v>
      </c>
      <c r="AH443" t="str">
        <f t="shared" si="48"/>
        <v>3rd Quality</v>
      </c>
      <c r="AJ443">
        <f>((T443-X443)*2)/17.1</f>
        <v>32.7385950626202</v>
      </c>
      <c r="AK443">
        <f t="shared" si="47"/>
        <v>126616.196023392</v>
      </c>
    </row>
    <row r="444" spans="1:37">
      <c r="A444" t="s">
        <v>507</v>
      </c>
      <c r="B444">
        <v>56</v>
      </c>
      <c r="C444" t="s">
        <v>44</v>
      </c>
      <c r="D444" t="s">
        <v>60</v>
      </c>
      <c r="E444">
        <v>1009</v>
      </c>
      <c r="F444">
        <v>59</v>
      </c>
      <c r="G444">
        <v>2</v>
      </c>
      <c r="H444">
        <v>1127.05</v>
      </c>
      <c r="I444">
        <v>2416.64</v>
      </c>
      <c r="J444">
        <v>21</v>
      </c>
      <c r="K444">
        <v>1</v>
      </c>
      <c r="L444">
        <v>32.4</v>
      </c>
      <c r="M444">
        <v>37.4</v>
      </c>
      <c r="N444" t="s">
        <v>63</v>
      </c>
      <c r="O444" t="s">
        <v>47</v>
      </c>
      <c r="P444" t="s">
        <v>68</v>
      </c>
      <c r="R444">
        <f>SUMIF(A444:A5443,"C00443",I444:I5443)</f>
        <v>2416.64</v>
      </c>
      <c r="S444" s="1">
        <v>2416.64</v>
      </c>
      <c r="T444">
        <f t="shared" si="43"/>
        <v>115.078095238095</v>
      </c>
      <c r="U444">
        <f t="shared" si="44"/>
        <v>785.4</v>
      </c>
      <c r="V444">
        <f>U444*1</f>
        <v>785.4</v>
      </c>
      <c r="W444">
        <f t="shared" si="46"/>
        <v>1181.56333333333</v>
      </c>
      <c r="X444">
        <f t="shared" si="49"/>
        <v>0.895257530721796</v>
      </c>
      <c r="AH444" t="str">
        <f t="shared" si="48"/>
        <v>3rd Quality</v>
      </c>
      <c r="AJ444">
        <f>((T444-X444)*2)/32.4</f>
        <v>7.04832331526995</v>
      </c>
      <c r="AK444">
        <f t="shared" si="47"/>
        <v>116113.798095238</v>
      </c>
    </row>
    <row r="445" spans="1:37">
      <c r="A445" t="s">
        <v>508</v>
      </c>
      <c r="B445">
        <v>18</v>
      </c>
      <c r="C445" t="s">
        <v>44</v>
      </c>
      <c r="D445" t="s">
        <v>60</v>
      </c>
      <c r="E445">
        <v>1002</v>
      </c>
      <c r="F445">
        <v>4</v>
      </c>
      <c r="G445">
        <v>17</v>
      </c>
      <c r="H445">
        <v>5422.35</v>
      </c>
      <c r="I445">
        <v>93493.47</v>
      </c>
      <c r="J445">
        <v>116</v>
      </c>
      <c r="K445">
        <v>1</v>
      </c>
      <c r="L445">
        <v>19.1</v>
      </c>
      <c r="M445">
        <v>47.2</v>
      </c>
      <c r="N445" t="s">
        <v>57</v>
      </c>
      <c r="O445" t="s">
        <v>75</v>
      </c>
      <c r="P445" t="s">
        <v>58</v>
      </c>
      <c r="R445">
        <f>SUMIF(A445:A5444,"C00444",I445:I5444)</f>
        <v>93493.47</v>
      </c>
      <c r="S445" s="1">
        <v>93493.47</v>
      </c>
      <c r="T445">
        <f t="shared" si="43"/>
        <v>805.978189655172</v>
      </c>
      <c r="U445">
        <f t="shared" si="44"/>
        <v>5475.2</v>
      </c>
      <c r="V445">
        <f>U445*1</f>
        <v>5475.2</v>
      </c>
      <c r="W445">
        <f t="shared" si="46"/>
        <v>32972.2733333333</v>
      </c>
      <c r="X445">
        <f t="shared" si="49"/>
        <v>0.184790727267698</v>
      </c>
      <c r="AH445" t="str">
        <f t="shared" si="48"/>
        <v>1st Quality</v>
      </c>
      <c r="AJ445">
        <f>((T445-X445)*2)/19.1</f>
        <v>84.3762721390476</v>
      </c>
      <c r="AK445">
        <f t="shared" si="47"/>
        <v>807590.146034483</v>
      </c>
    </row>
    <row r="446" spans="1:37">
      <c r="A446" t="s">
        <v>509</v>
      </c>
      <c r="B446">
        <v>37</v>
      </c>
      <c r="C446" t="s">
        <v>44</v>
      </c>
      <c r="D446" t="s">
        <v>45</v>
      </c>
      <c r="E446">
        <v>1181</v>
      </c>
      <c r="F446">
        <v>17</v>
      </c>
      <c r="G446">
        <v>9</v>
      </c>
      <c r="H446">
        <v>1843.03</v>
      </c>
      <c r="I446">
        <v>16429.52</v>
      </c>
      <c r="J446">
        <v>46</v>
      </c>
      <c r="K446">
        <v>0</v>
      </c>
      <c r="L446">
        <v>25.5</v>
      </c>
      <c r="M446">
        <v>24.3</v>
      </c>
      <c r="N446" t="s">
        <v>57</v>
      </c>
      <c r="O446" t="s">
        <v>75</v>
      </c>
      <c r="P446" t="s">
        <v>66</v>
      </c>
      <c r="R446">
        <f>SUMIF(A446:A5445,"C00445",I446:I5445)</f>
        <v>16429.52</v>
      </c>
      <c r="S446" s="1">
        <v>16429.52</v>
      </c>
      <c r="T446">
        <f t="shared" si="43"/>
        <v>357.16347826087</v>
      </c>
      <c r="U446">
        <f t="shared" si="44"/>
        <v>1117.8</v>
      </c>
      <c r="V446">
        <f t="shared" si="45"/>
        <v>93.15</v>
      </c>
      <c r="W446">
        <f t="shared" si="46"/>
        <v>6091.18333333333</v>
      </c>
      <c r="X446">
        <f t="shared" si="49"/>
        <v>0.640792607825157</v>
      </c>
      <c r="AH446" t="str">
        <f t="shared" si="48"/>
        <v>3rd Quality</v>
      </c>
      <c r="AJ446">
        <f>((T446-X446)*2)/25.5</f>
        <v>27.962563580631</v>
      </c>
      <c r="AK446">
        <f t="shared" si="47"/>
        <v>421810.067826087</v>
      </c>
    </row>
    <row r="447" spans="1:37">
      <c r="A447" t="s">
        <v>510</v>
      </c>
      <c r="B447">
        <v>49</v>
      </c>
      <c r="C447" t="s">
        <v>44</v>
      </c>
      <c r="D447" t="s">
        <v>51</v>
      </c>
      <c r="E447">
        <v>1439</v>
      </c>
      <c r="F447">
        <v>102</v>
      </c>
      <c r="G447">
        <v>4</v>
      </c>
      <c r="H447">
        <v>1003.34</v>
      </c>
      <c r="I447">
        <v>4443.54</v>
      </c>
      <c r="J447">
        <v>19</v>
      </c>
      <c r="K447">
        <v>0</v>
      </c>
      <c r="L447">
        <v>21.1</v>
      </c>
      <c r="M447">
        <v>15</v>
      </c>
      <c r="N447" t="s">
        <v>81</v>
      </c>
      <c r="O447" t="s">
        <v>47</v>
      </c>
      <c r="P447" t="s">
        <v>58</v>
      </c>
      <c r="R447">
        <f>SUMIF(A447:A5446,"C00446",I447:I5446)</f>
        <v>4443.54</v>
      </c>
      <c r="S447" s="1">
        <v>4443.54</v>
      </c>
      <c r="T447">
        <f t="shared" si="43"/>
        <v>233.870526315789</v>
      </c>
      <c r="U447">
        <f t="shared" si="44"/>
        <v>285</v>
      </c>
      <c r="V447">
        <f t="shared" si="45"/>
        <v>23.75</v>
      </c>
      <c r="W447">
        <f t="shared" si="46"/>
        <v>1815.96</v>
      </c>
      <c r="X447">
        <f t="shared" si="49"/>
        <v>1.43420973947017</v>
      </c>
      <c r="AH447" t="str">
        <f t="shared" si="48"/>
        <v>3rd Quality</v>
      </c>
      <c r="AJ447">
        <f>((T447-X447)*2)/21.1</f>
        <v>22.0318783484662</v>
      </c>
      <c r="AK447">
        <f t="shared" si="47"/>
        <v>336539.687368421</v>
      </c>
    </row>
    <row r="448" spans="1:37">
      <c r="A448" t="s">
        <v>511</v>
      </c>
      <c r="B448">
        <v>38</v>
      </c>
      <c r="C448" t="s">
        <v>44</v>
      </c>
      <c r="D448" t="s">
        <v>45</v>
      </c>
      <c r="E448">
        <v>1151</v>
      </c>
      <c r="F448">
        <v>365</v>
      </c>
      <c r="G448">
        <v>2</v>
      </c>
      <c r="H448">
        <v>1598.38</v>
      </c>
      <c r="I448">
        <v>3138.44</v>
      </c>
      <c r="J448">
        <v>24</v>
      </c>
      <c r="K448">
        <v>0</v>
      </c>
      <c r="L448">
        <v>20.6</v>
      </c>
      <c r="M448">
        <v>19.7</v>
      </c>
      <c r="N448" t="s">
        <v>46</v>
      </c>
      <c r="O448" t="s">
        <v>47</v>
      </c>
      <c r="P448" t="s">
        <v>58</v>
      </c>
      <c r="R448">
        <f>SUMIF(A448:A5447,"C00447",I448:I5447)</f>
        <v>3138.44</v>
      </c>
      <c r="S448" s="1">
        <v>3138.44</v>
      </c>
      <c r="T448">
        <f t="shared" si="43"/>
        <v>130.768333333333</v>
      </c>
      <c r="U448">
        <f t="shared" si="44"/>
        <v>472.8</v>
      </c>
      <c r="V448">
        <f t="shared" si="45"/>
        <v>39.4</v>
      </c>
      <c r="W448">
        <f t="shared" si="46"/>
        <v>1579.27333333333</v>
      </c>
      <c r="X448">
        <f t="shared" si="49"/>
        <v>0.720104105406724</v>
      </c>
      <c r="AH448" t="str">
        <f t="shared" si="48"/>
        <v>3rd Quality</v>
      </c>
      <c r="AJ448">
        <f>((T448-X448)*2)/20.6</f>
        <v>12.6260416726142</v>
      </c>
      <c r="AK448">
        <f t="shared" si="47"/>
        <v>150514.351666667</v>
      </c>
    </row>
    <row r="449" spans="1:37">
      <c r="A449" t="s">
        <v>512</v>
      </c>
      <c r="B449">
        <v>34</v>
      </c>
      <c r="C449" t="s">
        <v>44</v>
      </c>
      <c r="D449" t="s">
        <v>45</v>
      </c>
      <c r="E449">
        <v>1024</v>
      </c>
      <c r="F449">
        <v>36</v>
      </c>
      <c r="G449">
        <v>8</v>
      </c>
      <c r="H449">
        <v>19180.67</v>
      </c>
      <c r="I449">
        <v>155098.84</v>
      </c>
      <c r="J449">
        <v>20</v>
      </c>
      <c r="K449">
        <v>1</v>
      </c>
      <c r="L449">
        <v>10.1</v>
      </c>
      <c r="M449">
        <v>16.6</v>
      </c>
      <c r="N449" t="s">
        <v>81</v>
      </c>
      <c r="O449" t="s">
        <v>47</v>
      </c>
      <c r="P449" t="s">
        <v>68</v>
      </c>
      <c r="R449">
        <f>SUMIF(A449:A5448,"C00448",I449:I5448)</f>
        <v>155098.84</v>
      </c>
      <c r="S449" s="1">
        <v>155098.84</v>
      </c>
      <c r="T449">
        <f t="shared" si="43"/>
        <v>7754.942</v>
      </c>
      <c r="U449">
        <f t="shared" si="44"/>
        <v>332</v>
      </c>
      <c r="V449">
        <f>U449*1</f>
        <v>332</v>
      </c>
      <c r="W449">
        <f t="shared" si="46"/>
        <v>58093.5033333333</v>
      </c>
      <c r="X449">
        <f t="shared" si="49"/>
        <v>0.0533870818902572</v>
      </c>
      <c r="AH449" t="str">
        <f t="shared" si="48"/>
        <v>2nd Quality</v>
      </c>
      <c r="AJ449">
        <f>((T449-X449)*2)/10.1</f>
        <v>1535.62150750854</v>
      </c>
      <c r="AK449">
        <f t="shared" si="47"/>
        <v>7941060.608</v>
      </c>
    </row>
    <row r="450" spans="1:37">
      <c r="A450" t="s">
        <v>513</v>
      </c>
      <c r="B450">
        <v>39</v>
      </c>
      <c r="C450" t="s">
        <v>44</v>
      </c>
      <c r="D450" t="s">
        <v>60</v>
      </c>
      <c r="E450">
        <v>1338</v>
      </c>
      <c r="F450">
        <v>23</v>
      </c>
      <c r="G450">
        <v>25</v>
      </c>
      <c r="H450">
        <v>2915.24</v>
      </c>
      <c r="I450">
        <v>69972.81</v>
      </c>
      <c r="J450">
        <v>180</v>
      </c>
      <c r="K450">
        <v>1</v>
      </c>
      <c r="L450">
        <v>4.7</v>
      </c>
      <c r="M450">
        <v>35.6</v>
      </c>
      <c r="N450" t="s">
        <v>63</v>
      </c>
      <c r="O450" t="s">
        <v>53</v>
      </c>
      <c r="P450" t="s">
        <v>66</v>
      </c>
      <c r="R450">
        <f>SUMIF(A450:A5449,"C00449",I450:I5449)</f>
        <v>69972.81</v>
      </c>
      <c r="S450" s="1">
        <v>69972.81</v>
      </c>
      <c r="T450">
        <f t="shared" si="43"/>
        <v>388.737833333333</v>
      </c>
      <c r="U450">
        <f t="shared" si="44"/>
        <v>6408</v>
      </c>
      <c r="V450">
        <f>U450*1</f>
        <v>6408</v>
      </c>
      <c r="W450">
        <f t="shared" si="46"/>
        <v>24296.35</v>
      </c>
      <c r="X450">
        <f t="shared" si="49"/>
        <v>0.458967357747561</v>
      </c>
      <c r="AH450" t="str">
        <f t="shared" si="48"/>
        <v>2nd Quality</v>
      </c>
      <c r="AJ450">
        <f>((T450-X450)*2)/4.7</f>
        <v>165.225049351313</v>
      </c>
      <c r="AK450">
        <f t="shared" si="47"/>
        <v>520131.221</v>
      </c>
    </row>
    <row r="451" spans="1:37">
      <c r="A451" t="s">
        <v>514</v>
      </c>
      <c r="B451">
        <v>26</v>
      </c>
      <c r="C451" t="s">
        <v>56</v>
      </c>
      <c r="D451" t="s">
        <v>51</v>
      </c>
      <c r="E451">
        <v>908</v>
      </c>
      <c r="F451">
        <v>80</v>
      </c>
      <c r="G451">
        <v>3</v>
      </c>
      <c r="H451">
        <v>13621.37</v>
      </c>
      <c r="I451">
        <v>38712.7</v>
      </c>
      <c r="J451">
        <v>25</v>
      </c>
      <c r="K451">
        <v>0</v>
      </c>
      <c r="L451">
        <v>2.8</v>
      </c>
      <c r="M451">
        <v>23.8</v>
      </c>
      <c r="N451" t="s">
        <v>52</v>
      </c>
      <c r="O451" t="s">
        <v>53</v>
      </c>
      <c r="P451" t="s">
        <v>58</v>
      </c>
      <c r="R451">
        <f>SUMIF(A451:A5450,"C00450",I451:I5450)</f>
        <v>38712.7</v>
      </c>
      <c r="S451" s="1">
        <v>38712.7</v>
      </c>
      <c r="T451">
        <f t="shared" ref="T451:T514" si="50">I451/J451</f>
        <v>1548.508</v>
      </c>
      <c r="U451">
        <f t="shared" ref="U451:U514" si="51">J451*M451</f>
        <v>595</v>
      </c>
      <c r="V451">
        <f t="shared" ref="V451:V514" si="52">U451/12</f>
        <v>49.5833333333333</v>
      </c>
      <c r="W451">
        <f t="shared" ref="W451:W514" si="53">(H451+I451+1)/3</f>
        <v>17445.0233333333</v>
      </c>
      <c r="X451">
        <f t="shared" si="49"/>
        <v>0.0666599615163526</v>
      </c>
      <c r="AH451" t="str">
        <f t="shared" si="48"/>
        <v>2nd Quality</v>
      </c>
      <c r="AJ451">
        <f>((T451-X451)*2)/2.8</f>
        <v>1106.02952859892</v>
      </c>
      <c r="AK451">
        <f t="shared" ref="AK451:AK514" si="54">I451/J451*E451</f>
        <v>1406045.264</v>
      </c>
    </row>
    <row r="452" spans="1:37">
      <c r="A452" t="s">
        <v>515</v>
      </c>
      <c r="B452">
        <v>51</v>
      </c>
      <c r="C452" t="s">
        <v>44</v>
      </c>
      <c r="D452" t="s">
        <v>60</v>
      </c>
      <c r="E452">
        <v>429</v>
      </c>
      <c r="F452">
        <v>37</v>
      </c>
      <c r="G452">
        <v>26</v>
      </c>
      <c r="H452">
        <v>3012.68</v>
      </c>
      <c r="I452">
        <v>84825.82</v>
      </c>
      <c r="J452">
        <v>136</v>
      </c>
      <c r="K452">
        <v>2</v>
      </c>
      <c r="L452">
        <v>0</v>
      </c>
      <c r="M452">
        <v>48.5</v>
      </c>
      <c r="N452" t="s">
        <v>81</v>
      </c>
      <c r="O452" t="s">
        <v>47</v>
      </c>
      <c r="P452" t="s">
        <v>66</v>
      </c>
      <c r="R452">
        <f>SUMIF(A452:A5451,"C00451",I452:I5451)</f>
        <v>84825.82</v>
      </c>
      <c r="S452" s="1">
        <v>84825.82</v>
      </c>
      <c r="T452">
        <f t="shared" si="50"/>
        <v>623.719264705882</v>
      </c>
      <c r="U452">
        <f t="shared" si="51"/>
        <v>6596</v>
      </c>
      <c r="V452">
        <f>U452*2</f>
        <v>13192</v>
      </c>
      <c r="W452">
        <f t="shared" si="53"/>
        <v>29279.8333333333</v>
      </c>
      <c r="X452">
        <f t="shared" si="49"/>
        <v>0.142398130568132</v>
      </c>
      <c r="AH452" t="str">
        <f t="shared" si="48"/>
        <v>3rd Quality</v>
      </c>
      <c r="AJ452">
        <f>((T452-X452)*2)</f>
        <v>1247.15373315063</v>
      </c>
      <c r="AK452">
        <f t="shared" si="54"/>
        <v>267575.564558824</v>
      </c>
    </row>
    <row r="453" spans="1:37">
      <c r="A453" t="s">
        <v>516</v>
      </c>
      <c r="B453">
        <v>33</v>
      </c>
      <c r="C453" t="s">
        <v>50</v>
      </c>
      <c r="D453" t="s">
        <v>60</v>
      </c>
      <c r="E453">
        <v>1315</v>
      </c>
      <c r="F453">
        <v>365</v>
      </c>
      <c r="G453">
        <v>1</v>
      </c>
      <c r="H453">
        <v>844.32</v>
      </c>
      <c r="I453">
        <v>793.06</v>
      </c>
      <c r="J453">
        <v>16</v>
      </c>
      <c r="K453">
        <v>0</v>
      </c>
      <c r="L453">
        <v>22.7</v>
      </c>
      <c r="M453">
        <v>25.2</v>
      </c>
      <c r="N453" t="s">
        <v>81</v>
      </c>
      <c r="O453" t="s">
        <v>47</v>
      </c>
      <c r="P453" t="s">
        <v>58</v>
      </c>
      <c r="R453">
        <f>SUMIF(A453:A5452,"C00452",I453:I5452)</f>
        <v>793.06</v>
      </c>
      <c r="S453" s="1">
        <v>793.06</v>
      </c>
      <c r="T453">
        <f t="shared" si="50"/>
        <v>49.56625</v>
      </c>
      <c r="U453">
        <f t="shared" si="51"/>
        <v>403.2</v>
      </c>
      <c r="V453">
        <f t="shared" si="52"/>
        <v>33.6</v>
      </c>
      <c r="W453">
        <f t="shared" si="53"/>
        <v>546.126666666667</v>
      </c>
      <c r="X453">
        <f t="shared" si="49"/>
        <v>1.55746636346409</v>
      </c>
      <c r="AH453" t="str">
        <f t="shared" si="48"/>
        <v>3rd Quality</v>
      </c>
      <c r="AJ453">
        <f>((T453-X453)*2)/22.7</f>
        <v>4.22984877854942</v>
      </c>
      <c r="AK453">
        <f t="shared" si="54"/>
        <v>65179.61875</v>
      </c>
    </row>
    <row r="454" spans="1:37">
      <c r="A454" t="s">
        <v>517</v>
      </c>
      <c r="B454">
        <v>30</v>
      </c>
      <c r="C454" t="s">
        <v>50</v>
      </c>
      <c r="D454" t="s">
        <v>45</v>
      </c>
      <c r="E454">
        <v>1426</v>
      </c>
      <c r="F454">
        <v>26</v>
      </c>
      <c r="G454">
        <v>6</v>
      </c>
      <c r="H454">
        <v>767.22</v>
      </c>
      <c r="I454">
        <v>4210.07</v>
      </c>
      <c r="J454">
        <v>19</v>
      </c>
      <c r="K454">
        <v>1</v>
      </c>
      <c r="L454">
        <v>28.5</v>
      </c>
      <c r="M454">
        <v>15.3</v>
      </c>
      <c r="N454" t="s">
        <v>52</v>
      </c>
      <c r="O454" t="s">
        <v>75</v>
      </c>
      <c r="P454" t="s">
        <v>68</v>
      </c>
      <c r="R454">
        <f>SUMIF(A454:A5453,"C00453",I454:I5453)</f>
        <v>4210.07</v>
      </c>
      <c r="S454" s="1">
        <v>4210.07</v>
      </c>
      <c r="T454">
        <f t="shared" si="50"/>
        <v>221.582631578947</v>
      </c>
      <c r="U454">
        <f t="shared" si="51"/>
        <v>290.7</v>
      </c>
      <c r="V454">
        <f>U454*1</f>
        <v>290.7</v>
      </c>
      <c r="W454">
        <f t="shared" si="53"/>
        <v>1659.43</v>
      </c>
      <c r="X454">
        <f t="shared" si="49"/>
        <v>1.85865853340632</v>
      </c>
      <c r="AH454" t="str">
        <f t="shared" si="48"/>
        <v>3rd Quality</v>
      </c>
      <c r="AJ454">
        <f>((T454-X454)*2)/28.5</f>
        <v>15.4192261786344</v>
      </c>
      <c r="AK454">
        <f t="shared" si="54"/>
        <v>315976.832631579</v>
      </c>
    </row>
    <row r="455" spans="1:37">
      <c r="A455" t="s">
        <v>518</v>
      </c>
      <c r="B455">
        <v>18</v>
      </c>
      <c r="C455" t="s">
        <v>50</v>
      </c>
      <c r="D455" t="s">
        <v>60</v>
      </c>
      <c r="E455">
        <v>1421</v>
      </c>
      <c r="F455">
        <v>16</v>
      </c>
      <c r="G455">
        <v>21</v>
      </c>
      <c r="H455">
        <v>3015.49</v>
      </c>
      <c r="I455">
        <v>66791.04</v>
      </c>
      <c r="J455">
        <v>130</v>
      </c>
      <c r="K455">
        <v>1</v>
      </c>
      <c r="L455">
        <v>5.5</v>
      </c>
      <c r="M455">
        <v>26.1</v>
      </c>
      <c r="N455" t="s">
        <v>61</v>
      </c>
      <c r="O455" t="s">
        <v>47</v>
      </c>
      <c r="P455" t="s">
        <v>58</v>
      </c>
      <c r="R455">
        <f>SUMIF(A455:A5454,"C00454",I455:I5454)</f>
        <v>66791.04</v>
      </c>
      <c r="S455" s="1">
        <v>66791.04</v>
      </c>
      <c r="T455">
        <f t="shared" si="50"/>
        <v>513.777230769231</v>
      </c>
      <c r="U455">
        <f t="shared" si="51"/>
        <v>3393</v>
      </c>
      <c r="V455">
        <f>U455*1</f>
        <v>3393</v>
      </c>
      <c r="W455">
        <f t="shared" si="53"/>
        <v>23269.1766666667</v>
      </c>
      <c r="X455">
        <f t="shared" si="49"/>
        <v>0.471233530868947</v>
      </c>
      <c r="AH455" t="str">
        <f t="shared" si="48"/>
        <v>1st Quality</v>
      </c>
      <c r="AJ455">
        <f>((T455-X455)*2)/5.5</f>
        <v>186.656726268495</v>
      </c>
      <c r="AK455">
        <f t="shared" si="54"/>
        <v>730077.444923077</v>
      </c>
    </row>
    <row r="456" spans="1:37">
      <c r="A456" t="s">
        <v>519</v>
      </c>
      <c r="B456">
        <v>42</v>
      </c>
      <c r="C456" t="s">
        <v>44</v>
      </c>
      <c r="D456" t="s">
        <v>60</v>
      </c>
      <c r="E456">
        <v>1367</v>
      </c>
      <c r="F456">
        <v>7</v>
      </c>
      <c r="G456">
        <v>29</v>
      </c>
      <c r="H456">
        <v>3030.3</v>
      </c>
      <c r="I456">
        <v>95074.04</v>
      </c>
      <c r="J456">
        <v>185</v>
      </c>
      <c r="K456">
        <v>4</v>
      </c>
      <c r="L456">
        <v>2.4</v>
      </c>
      <c r="M456">
        <v>27.7</v>
      </c>
      <c r="N456" t="s">
        <v>63</v>
      </c>
      <c r="O456" t="s">
        <v>47</v>
      </c>
      <c r="P456" t="s">
        <v>68</v>
      </c>
      <c r="R456">
        <f>SUMIF(A456:A5455,"C00455",I456:I5455)</f>
        <v>95074.04</v>
      </c>
      <c r="S456" s="1">
        <v>95074.04</v>
      </c>
      <c r="T456">
        <f t="shared" si="50"/>
        <v>513.91372972973</v>
      </c>
      <c r="U456">
        <f t="shared" si="51"/>
        <v>5124.5</v>
      </c>
      <c r="V456">
        <f>U456*4</f>
        <v>20498</v>
      </c>
      <c r="W456">
        <f t="shared" si="53"/>
        <v>32701.78</v>
      </c>
      <c r="X456">
        <f t="shared" si="49"/>
        <v>0.451110451110451</v>
      </c>
      <c r="AH456" t="str">
        <f t="shared" si="48"/>
        <v>2nd Quality</v>
      </c>
      <c r="AJ456">
        <f>((T456-X456)*2)/2.4</f>
        <v>427.885516065516</v>
      </c>
      <c r="AK456">
        <f t="shared" si="54"/>
        <v>702520.06854054</v>
      </c>
    </row>
    <row r="457" spans="1:37">
      <c r="A457" t="s">
        <v>520</v>
      </c>
      <c r="B457">
        <v>19</v>
      </c>
      <c r="C457" t="s">
        <v>50</v>
      </c>
      <c r="D457" t="s">
        <v>60</v>
      </c>
      <c r="E457">
        <v>1353</v>
      </c>
      <c r="F457">
        <v>5</v>
      </c>
      <c r="G457">
        <v>27</v>
      </c>
      <c r="H457">
        <v>2489.88</v>
      </c>
      <c r="I457">
        <v>74127.82</v>
      </c>
      <c r="J457">
        <v>62</v>
      </c>
      <c r="K457">
        <v>1</v>
      </c>
      <c r="L457">
        <v>6</v>
      </c>
      <c r="M457">
        <v>44</v>
      </c>
      <c r="N457" t="s">
        <v>63</v>
      </c>
      <c r="O457" t="s">
        <v>47</v>
      </c>
      <c r="P457" t="s">
        <v>58</v>
      </c>
      <c r="R457">
        <f>SUMIF(A457:A5456,"C00456",I457:I5456)</f>
        <v>74127.82</v>
      </c>
      <c r="S457" s="1">
        <v>74127.82</v>
      </c>
      <c r="T457">
        <f t="shared" si="50"/>
        <v>1195.61</v>
      </c>
      <c r="U457">
        <f t="shared" si="51"/>
        <v>2728</v>
      </c>
      <c r="V457">
        <f>U457*1</f>
        <v>2728</v>
      </c>
      <c r="W457">
        <f t="shared" si="53"/>
        <v>25539.5666666667</v>
      </c>
      <c r="X457">
        <f t="shared" si="49"/>
        <v>0.543399681912381</v>
      </c>
      <c r="AH457" t="str">
        <f t="shared" si="48"/>
        <v>1st Quality</v>
      </c>
      <c r="AJ457">
        <f>((T457-X457)*2)/6</f>
        <v>398.355533439362</v>
      </c>
      <c r="AK457">
        <f t="shared" si="54"/>
        <v>1617660.33</v>
      </c>
    </row>
    <row r="458" spans="1:37">
      <c r="A458" t="s">
        <v>521</v>
      </c>
      <c r="B458">
        <v>49</v>
      </c>
      <c r="C458" t="s">
        <v>44</v>
      </c>
      <c r="D458" t="s">
        <v>51</v>
      </c>
      <c r="E458">
        <v>1121</v>
      </c>
      <c r="F458">
        <v>181</v>
      </c>
      <c r="G458">
        <v>2</v>
      </c>
      <c r="H458">
        <v>2156.36</v>
      </c>
      <c r="I458">
        <v>4485.59</v>
      </c>
      <c r="J458">
        <v>15</v>
      </c>
      <c r="K458">
        <v>1</v>
      </c>
      <c r="L458">
        <v>20.5</v>
      </c>
      <c r="M458">
        <v>42.1</v>
      </c>
      <c r="N458" t="s">
        <v>52</v>
      </c>
      <c r="O458" t="s">
        <v>47</v>
      </c>
      <c r="P458" t="s">
        <v>68</v>
      </c>
      <c r="R458">
        <f>SUMIF(A458:A5457,"C00457",I458:I5457)</f>
        <v>4485.59</v>
      </c>
      <c r="S458" s="1">
        <v>4485.59</v>
      </c>
      <c r="T458">
        <f t="shared" si="50"/>
        <v>299.039333333333</v>
      </c>
      <c r="U458">
        <f t="shared" si="51"/>
        <v>631.5</v>
      </c>
      <c r="V458">
        <f>U458*1</f>
        <v>631.5</v>
      </c>
      <c r="W458">
        <f t="shared" si="53"/>
        <v>2214.31666666667</v>
      </c>
      <c r="X458">
        <f t="shared" si="49"/>
        <v>0.519857537702424</v>
      </c>
      <c r="AH458" t="str">
        <f t="shared" si="48"/>
        <v>3rd Quality</v>
      </c>
      <c r="AJ458">
        <f>((T458-X458)*2)/20.5</f>
        <v>29.1238512971347</v>
      </c>
      <c r="AK458">
        <f t="shared" si="54"/>
        <v>335223.092666667</v>
      </c>
    </row>
    <row r="459" spans="1:37">
      <c r="A459" t="s">
        <v>522</v>
      </c>
      <c r="B459">
        <v>45</v>
      </c>
      <c r="C459" t="s">
        <v>50</v>
      </c>
      <c r="D459" t="s">
        <v>45</v>
      </c>
      <c r="E459">
        <v>410</v>
      </c>
      <c r="F459">
        <v>103</v>
      </c>
      <c r="G459">
        <v>8</v>
      </c>
      <c r="H459">
        <v>1786.39</v>
      </c>
      <c r="I459">
        <v>13771.08</v>
      </c>
      <c r="J459">
        <v>24</v>
      </c>
      <c r="K459">
        <v>1</v>
      </c>
      <c r="L459">
        <v>23.7</v>
      </c>
      <c r="M459">
        <v>38.7</v>
      </c>
      <c r="N459" t="s">
        <v>57</v>
      </c>
      <c r="O459" t="s">
        <v>75</v>
      </c>
      <c r="P459" t="s">
        <v>58</v>
      </c>
      <c r="R459">
        <f>SUMIF(A459:A5458,"C00458",I459:I5458)</f>
        <v>13771.08</v>
      </c>
      <c r="S459" s="1">
        <v>13771.08</v>
      </c>
      <c r="T459">
        <f t="shared" si="50"/>
        <v>573.795</v>
      </c>
      <c r="U459">
        <f t="shared" si="51"/>
        <v>928.8</v>
      </c>
      <c r="V459">
        <f>U459*1</f>
        <v>928.8</v>
      </c>
      <c r="W459">
        <f t="shared" si="53"/>
        <v>5186.15666666667</v>
      </c>
      <c r="X459">
        <f t="shared" si="49"/>
        <v>0.229513152223199</v>
      </c>
      <c r="AH459" t="str">
        <f t="shared" si="48"/>
        <v>3rd Quality</v>
      </c>
      <c r="AJ459">
        <f>((T459-X459)*2)/23.7</f>
        <v>48.4021507888419</v>
      </c>
      <c r="AK459">
        <f t="shared" si="54"/>
        <v>235255.95</v>
      </c>
    </row>
    <row r="460" spans="1:37">
      <c r="A460" t="s">
        <v>523</v>
      </c>
      <c r="B460">
        <v>31</v>
      </c>
      <c r="C460" t="s">
        <v>44</v>
      </c>
      <c r="D460" t="s">
        <v>60</v>
      </c>
      <c r="E460">
        <v>1185</v>
      </c>
      <c r="F460">
        <v>210</v>
      </c>
      <c r="G460">
        <v>2</v>
      </c>
      <c r="H460">
        <v>756.74</v>
      </c>
      <c r="I460">
        <v>1517.36</v>
      </c>
      <c r="J460">
        <v>15</v>
      </c>
      <c r="K460">
        <v>0</v>
      </c>
      <c r="L460">
        <v>27.1</v>
      </c>
      <c r="M460">
        <v>48.9</v>
      </c>
      <c r="N460" t="s">
        <v>46</v>
      </c>
      <c r="O460" t="s">
        <v>53</v>
      </c>
      <c r="P460" t="s">
        <v>58</v>
      </c>
      <c r="R460">
        <f>SUMIF(A460:A5459,"C00459",I460:I5459)</f>
        <v>1517.36</v>
      </c>
      <c r="S460" s="1">
        <v>1517.36</v>
      </c>
      <c r="T460">
        <f t="shared" si="50"/>
        <v>101.157333333333</v>
      </c>
      <c r="U460">
        <f t="shared" si="51"/>
        <v>733.5</v>
      </c>
      <c r="V460">
        <f t="shared" si="52"/>
        <v>61.125</v>
      </c>
      <c r="W460">
        <f t="shared" si="53"/>
        <v>758.366666666667</v>
      </c>
      <c r="X460">
        <f t="shared" si="49"/>
        <v>1.56592753125248</v>
      </c>
      <c r="AH460" t="str">
        <f t="shared" si="48"/>
        <v>3rd Quality</v>
      </c>
      <c r="AJ460">
        <f>((T460-X460)*2)/27.1</f>
        <v>7.34991924738602</v>
      </c>
      <c r="AK460">
        <f t="shared" si="54"/>
        <v>119871.44</v>
      </c>
    </row>
    <row r="461" spans="1:37">
      <c r="A461" t="s">
        <v>524</v>
      </c>
      <c r="B461">
        <v>18</v>
      </c>
      <c r="C461" t="s">
        <v>44</v>
      </c>
      <c r="D461" t="s">
        <v>45</v>
      </c>
      <c r="E461">
        <v>478</v>
      </c>
      <c r="F461">
        <v>32</v>
      </c>
      <c r="G461">
        <v>6</v>
      </c>
      <c r="H461">
        <v>8430.79</v>
      </c>
      <c r="I461">
        <v>46775.95</v>
      </c>
      <c r="J461">
        <v>48</v>
      </c>
      <c r="K461">
        <v>0</v>
      </c>
      <c r="L461">
        <v>0</v>
      </c>
      <c r="M461">
        <v>9</v>
      </c>
      <c r="N461" t="s">
        <v>61</v>
      </c>
      <c r="O461" t="s">
        <v>53</v>
      </c>
      <c r="P461" t="s">
        <v>48</v>
      </c>
      <c r="R461">
        <f>SUMIF(A461:A5460,"C00460",I461:I5460)</f>
        <v>46775.95</v>
      </c>
      <c r="S461" s="1">
        <v>46775.95</v>
      </c>
      <c r="T461">
        <f t="shared" si="50"/>
        <v>974.498958333333</v>
      </c>
      <c r="U461">
        <f t="shared" si="51"/>
        <v>432</v>
      </c>
      <c r="V461">
        <f t="shared" si="52"/>
        <v>36</v>
      </c>
      <c r="W461">
        <f t="shared" si="53"/>
        <v>18402.58</v>
      </c>
      <c r="X461">
        <f t="shared" si="49"/>
        <v>0.0566969406188507</v>
      </c>
      <c r="AH461" t="str">
        <f t="shared" si="48"/>
        <v>2nd Quality</v>
      </c>
      <c r="AJ461">
        <f>((T461-X461)*2)</f>
        <v>1948.88452278543</v>
      </c>
      <c r="AK461">
        <f t="shared" si="54"/>
        <v>465810.502083333</v>
      </c>
    </row>
    <row r="462" spans="1:37">
      <c r="A462" t="s">
        <v>525</v>
      </c>
      <c r="B462">
        <v>25</v>
      </c>
      <c r="C462" t="s">
        <v>44</v>
      </c>
      <c r="D462" t="s">
        <v>51</v>
      </c>
      <c r="E462">
        <v>531</v>
      </c>
      <c r="F462">
        <v>52</v>
      </c>
      <c r="G462">
        <v>5</v>
      </c>
      <c r="H462">
        <v>6372.74</v>
      </c>
      <c r="I462">
        <v>29662.07</v>
      </c>
      <c r="J462">
        <v>33</v>
      </c>
      <c r="K462">
        <v>0</v>
      </c>
      <c r="L462">
        <v>4</v>
      </c>
      <c r="M462">
        <v>9.8</v>
      </c>
      <c r="N462" t="s">
        <v>57</v>
      </c>
      <c r="O462" t="s">
        <v>47</v>
      </c>
      <c r="P462" t="s">
        <v>66</v>
      </c>
      <c r="R462">
        <f>SUMIF(A462:A5461,"C00461",I462:I5461)</f>
        <v>29662.07</v>
      </c>
      <c r="S462" s="1">
        <v>29662.07</v>
      </c>
      <c r="T462">
        <f t="shared" si="50"/>
        <v>898.850606060606</v>
      </c>
      <c r="U462">
        <f t="shared" si="51"/>
        <v>323.4</v>
      </c>
      <c r="V462">
        <f t="shared" si="52"/>
        <v>26.95</v>
      </c>
      <c r="W462">
        <f t="shared" si="53"/>
        <v>12011.9366666667</v>
      </c>
      <c r="X462">
        <f t="shared" si="49"/>
        <v>0.0833236567002577</v>
      </c>
      <c r="AH462" t="str">
        <f t="shared" ref="AH462:AH525" si="55">IF(AND(W462&gt;=12550,B462&lt;=33,E462&gt;=915),"1st Quality",IF(AND(W462&gt;=6275,B462&lt;=43,E462&gt;=457),"2nd Quality","3rd Quality"))</f>
        <v>2nd Quality</v>
      </c>
      <c r="AJ462">
        <f>((T462-X462)*2)/4</f>
        <v>449.383641201953</v>
      </c>
      <c r="AK462">
        <f t="shared" si="54"/>
        <v>477289.671818182</v>
      </c>
    </row>
    <row r="463" spans="1:37">
      <c r="A463" t="s">
        <v>526</v>
      </c>
      <c r="B463">
        <v>35</v>
      </c>
      <c r="C463" t="s">
        <v>50</v>
      </c>
      <c r="D463" t="s">
        <v>60</v>
      </c>
      <c r="E463">
        <v>1041</v>
      </c>
      <c r="F463">
        <v>14</v>
      </c>
      <c r="G463">
        <v>30</v>
      </c>
      <c r="H463">
        <v>3524.75</v>
      </c>
      <c r="I463">
        <v>115798.9</v>
      </c>
      <c r="J463">
        <v>190</v>
      </c>
      <c r="K463">
        <v>1</v>
      </c>
      <c r="L463">
        <v>3.6</v>
      </c>
      <c r="M463">
        <v>21.1</v>
      </c>
      <c r="N463" t="s">
        <v>61</v>
      </c>
      <c r="O463" t="s">
        <v>47</v>
      </c>
      <c r="P463" t="s">
        <v>68</v>
      </c>
      <c r="R463">
        <f>SUMIF(A463:A5462,"C00462",I463:I5462)</f>
        <v>115798.9</v>
      </c>
      <c r="S463" s="1">
        <v>115798.9</v>
      </c>
      <c r="T463">
        <f t="shared" si="50"/>
        <v>609.467894736842</v>
      </c>
      <c r="U463">
        <f t="shared" si="51"/>
        <v>4009</v>
      </c>
      <c r="V463">
        <f>U463*1</f>
        <v>4009</v>
      </c>
      <c r="W463">
        <f t="shared" si="53"/>
        <v>39774.8833333333</v>
      </c>
      <c r="X463">
        <f t="shared" si="49"/>
        <v>0.295340095042202</v>
      </c>
      <c r="AH463" t="str">
        <f t="shared" si="55"/>
        <v>2nd Quality</v>
      </c>
      <c r="AJ463">
        <f>((T463-X463)*2)/3.6</f>
        <v>338.429197023222</v>
      </c>
      <c r="AK463">
        <f t="shared" si="54"/>
        <v>634456.078421053</v>
      </c>
    </row>
    <row r="464" spans="1:37">
      <c r="A464" t="s">
        <v>527</v>
      </c>
      <c r="B464">
        <v>34</v>
      </c>
      <c r="C464" t="s">
        <v>44</v>
      </c>
      <c r="D464" t="s">
        <v>60</v>
      </c>
      <c r="E464">
        <v>1377</v>
      </c>
      <c r="F464">
        <v>181</v>
      </c>
      <c r="G464">
        <v>1</v>
      </c>
      <c r="H464">
        <v>2869.79</v>
      </c>
      <c r="I464">
        <v>3110.05</v>
      </c>
      <c r="J464">
        <v>12</v>
      </c>
      <c r="K464">
        <v>0</v>
      </c>
      <c r="L464">
        <v>15.9</v>
      </c>
      <c r="M464">
        <v>19</v>
      </c>
      <c r="N464" t="s">
        <v>52</v>
      </c>
      <c r="O464" t="s">
        <v>53</v>
      </c>
      <c r="P464" t="s">
        <v>66</v>
      </c>
      <c r="R464">
        <f>SUMIF(A464:A5463,"C00463",I464:I5463)</f>
        <v>3110.05</v>
      </c>
      <c r="S464" s="1">
        <v>3110.05</v>
      </c>
      <c r="T464">
        <f t="shared" si="50"/>
        <v>259.170833333333</v>
      </c>
      <c r="U464">
        <f t="shared" si="51"/>
        <v>228</v>
      </c>
      <c r="V464">
        <f t="shared" si="52"/>
        <v>19</v>
      </c>
      <c r="W464">
        <f t="shared" si="53"/>
        <v>1993.61333333333</v>
      </c>
      <c r="X464">
        <f t="shared" si="49"/>
        <v>0.479826049989721</v>
      </c>
      <c r="AH464" t="str">
        <f t="shared" si="55"/>
        <v>3rd Quality</v>
      </c>
      <c r="AJ464">
        <f>((T464-X464)*2)/15.9</f>
        <v>32.5397493438168</v>
      </c>
      <c r="AK464">
        <f t="shared" si="54"/>
        <v>356878.2375</v>
      </c>
    </row>
    <row r="465" spans="1:37">
      <c r="A465" t="s">
        <v>528</v>
      </c>
      <c r="B465">
        <v>26</v>
      </c>
      <c r="C465" t="s">
        <v>44</v>
      </c>
      <c r="D465" t="s">
        <v>45</v>
      </c>
      <c r="E465">
        <v>617</v>
      </c>
      <c r="F465">
        <v>20</v>
      </c>
      <c r="G465">
        <v>9</v>
      </c>
      <c r="H465">
        <v>2279.55</v>
      </c>
      <c r="I465">
        <v>19427.67</v>
      </c>
      <c r="J465">
        <v>48</v>
      </c>
      <c r="K465">
        <v>0</v>
      </c>
      <c r="L465">
        <v>26.7</v>
      </c>
      <c r="M465">
        <v>56.9</v>
      </c>
      <c r="N465" t="s">
        <v>52</v>
      </c>
      <c r="O465" t="s">
        <v>47</v>
      </c>
      <c r="P465" t="s">
        <v>66</v>
      </c>
      <c r="R465">
        <f>SUMIF(A465:A5464,"C00464",I465:I5464)</f>
        <v>19427.67</v>
      </c>
      <c r="S465" s="1">
        <v>19427.67</v>
      </c>
      <c r="T465">
        <f t="shared" si="50"/>
        <v>404.743125</v>
      </c>
      <c r="U465">
        <f t="shared" si="51"/>
        <v>2731.2</v>
      </c>
      <c r="V465">
        <f t="shared" si="52"/>
        <v>227.6</v>
      </c>
      <c r="W465">
        <f t="shared" si="53"/>
        <v>7236.07333333333</v>
      </c>
      <c r="X465">
        <f t="shared" si="49"/>
        <v>0.270667456296199</v>
      </c>
      <c r="AH465" t="str">
        <f t="shared" si="55"/>
        <v>2nd Quality</v>
      </c>
      <c r="AJ465">
        <f>((T465-X465)*2)/26.7</f>
        <v>30.2975623628243</v>
      </c>
      <c r="AK465">
        <f t="shared" si="54"/>
        <v>249726.508125</v>
      </c>
    </row>
    <row r="466" spans="1:37">
      <c r="A466" t="s">
        <v>529</v>
      </c>
      <c r="B466">
        <v>51</v>
      </c>
      <c r="C466" t="s">
        <v>44</v>
      </c>
      <c r="D466" t="s">
        <v>45</v>
      </c>
      <c r="E466">
        <v>551</v>
      </c>
      <c r="F466">
        <v>29</v>
      </c>
      <c r="G466">
        <v>1</v>
      </c>
      <c r="H466">
        <v>7565.63</v>
      </c>
      <c r="I466">
        <v>7348.5</v>
      </c>
      <c r="J466">
        <v>10</v>
      </c>
      <c r="K466">
        <v>0</v>
      </c>
      <c r="L466">
        <v>2.6</v>
      </c>
      <c r="M466">
        <v>8.4</v>
      </c>
      <c r="N466" t="s">
        <v>63</v>
      </c>
      <c r="O466" t="s">
        <v>47</v>
      </c>
      <c r="P466" t="s">
        <v>58</v>
      </c>
      <c r="R466">
        <f>SUMIF(A466:A5465,"C00465",I466:I5465)</f>
        <v>7348.5</v>
      </c>
      <c r="S466" s="1">
        <v>7348.5</v>
      </c>
      <c r="T466">
        <f t="shared" si="50"/>
        <v>734.85</v>
      </c>
      <c r="U466">
        <f t="shared" si="51"/>
        <v>84</v>
      </c>
      <c r="V466">
        <f t="shared" si="52"/>
        <v>7</v>
      </c>
      <c r="W466">
        <f t="shared" si="53"/>
        <v>4971.71</v>
      </c>
      <c r="X466">
        <f t="shared" si="49"/>
        <v>0.0728293612032309</v>
      </c>
      <c r="AH466" t="str">
        <f t="shared" si="55"/>
        <v>3rd Quality</v>
      </c>
      <c r="AJ466">
        <f>((T466-X466)*2)/2.6</f>
        <v>565.21320818369</v>
      </c>
      <c r="AK466">
        <f t="shared" si="54"/>
        <v>404902.35</v>
      </c>
    </row>
    <row r="467" spans="1:37">
      <c r="A467" t="s">
        <v>530</v>
      </c>
      <c r="B467">
        <v>23</v>
      </c>
      <c r="C467" t="s">
        <v>44</v>
      </c>
      <c r="D467" t="s">
        <v>45</v>
      </c>
      <c r="E467">
        <v>938</v>
      </c>
      <c r="F467">
        <v>172</v>
      </c>
      <c r="G467">
        <v>5</v>
      </c>
      <c r="H467">
        <v>1811.46</v>
      </c>
      <c r="I467">
        <v>10054.6</v>
      </c>
      <c r="J467">
        <v>41</v>
      </c>
      <c r="K467">
        <v>0</v>
      </c>
      <c r="L467">
        <v>41.1</v>
      </c>
      <c r="M467">
        <v>13.9</v>
      </c>
      <c r="N467" t="s">
        <v>81</v>
      </c>
      <c r="O467" t="s">
        <v>47</v>
      </c>
      <c r="P467" t="s">
        <v>58</v>
      </c>
      <c r="R467">
        <f>SUMIF(A467:A5466,"C00466",I467:I5466)</f>
        <v>10054.6</v>
      </c>
      <c r="S467" s="1">
        <v>10054.6</v>
      </c>
      <c r="T467">
        <f t="shared" si="50"/>
        <v>245.234146341463</v>
      </c>
      <c r="U467">
        <f t="shared" si="51"/>
        <v>569.9</v>
      </c>
      <c r="V467">
        <f t="shared" si="52"/>
        <v>47.4916666666667</v>
      </c>
      <c r="W467">
        <f t="shared" si="53"/>
        <v>3955.68666666667</v>
      </c>
      <c r="X467">
        <f t="shared" si="49"/>
        <v>0.517814359687766</v>
      </c>
      <c r="AH467" t="str">
        <f t="shared" si="55"/>
        <v>3rd Quality</v>
      </c>
      <c r="AJ467">
        <f>((T467-X467)*2)/41.1</f>
        <v>11.9083373227141</v>
      </c>
      <c r="AK467">
        <f t="shared" si="54"/>
        <v>230029.629268293</v>
      </c>
    </row>
    <row r="468" spans="1:37">
      <c r="A468" t="s">
        <v>531</v>
      </c>
      <c r="B468">
        <v>18</v>
      </c>
      <c r="C468" t="s">
        <v>101</v>
      </c>
      <c r="D468" t="s">
        <v>45</v>
      </c>
      <c r="E468">
        <v>756</v>
      </c>
      <c r="F468">
        <v>93</v>
      </c>
      <c r="G468">
        <v>5</v>
      </c>
      <c r="H468">
        <v>8278.54</v>
      </c>
      <c r="I468">
        <v>40319.65</v>
      </c>
      <c r="J468">
        <v>42</v>
      </c>
      <c r="K468">
        <v>0</v>
      </c>
      <c r="L468">
        <v>2.3</v>
      </c>
      <c r="M468">
        <v>19.8</v>
      </c>
      <c r="N468" t="s">
        <v>63</v>
      </c>
      <c r="O468" t="s">
        <v>47</v>
      </c>
      <c r="P468" t="s">
        <v>58</v>
      </c>
      <c r="R468">
        <f>SUMIF(A468:A5467,"C00467",I468:I5467)</f>
        <v>40319.65</v>
      </c>
      <c r="S468" s="1">
        <v>40319.65</v>
      </c>
      <c r="T468">
        <f t="shared" si="50"/>
        <v>959.991666666667</v>
      </c>
      <c r="U468">
        <f t="shared" si="51"/>
        <v>831.6</v>
      </c>
      <c r="V468">
        <f t="shared" si="52"/>
        <v>69.3</v>
      </c>
      <c r="W468">
        <f t="shared" si="53"/>
        <v>16199.73</v>
      </c>
      <c r="X468">
        <f t="shared" si="49"/>
        <v>0.0913204502243149</v>
      </c>
      <c r="AH468" t="str">
        <f t="shared" si="55"/>
        <v>2nd Quality</v>
      </c>
      <c r="AJ468">
        <f>((T468-X468)*2)/2.3</f>
        <v>834.695953231689</v>
      </c>
      <c r="AK468">
        <f t="shared" si="54"/>
        <v>725753.7</v>
      </c>
    </row>
    <row r="469" spans="1:37">
      <c r="A469" t="s">
        <v>532</v>
      </c>
      <c r="B469">
        <v>42</v>
      </c>
      <c r="C469" t="s">
        <v>50</v>
      </c>
      <c r="D469" t="s">
        <v>51</v>
      </c>
      <c r="E469">
        <v>1284</v>
      </c>
      <c r="F469">
        <v>330</v>
      </c>
      <c r="G469">
        <v>2</v>
      </c>
      <c r="H469">
        <v>1155.54</v>
      </c>
      <c r="I469">
        <v>2215.37</v>
      </c>
      <c r="J469">
        <v>20</v>
      </c>
      <c r="K469">
        <v>0</v>
      </c>
      <c r="L469">
        <v>5.3</v>
      </c>
      <c r="M469">
        <v>38.4</v>
      </c>
      <c r="N469" t="s">
        <v>78</v>
      </c>
      <c r="O469" t="s">
        <v>47</v>
      </c>
      <c r="P469" t="s">
        <v>48</v>
      </c>
      <c r="R469">
        <f>SUMIF(A469:A5468,"C00468",I469:I5468)</f>
        <v>2215.37</v>
      </c>
      <c r="S469" s="1">
        <v>2215.37</v>
      </c>
      <c r="T469">
        <f t="shared" si="50"/>
        <v>110.7685</v>
      </c>
      <c r="U469">
        <f t="shared" si="51"/>
        <v>768</v>
      </c>
      <c r="V469">
        <f t="shared" si="52"/>
        <v>64</v>
      </c>
      <c r="W469">
        <f t="shared" si="53"/>
        <v>1123.97</v>
      </c>
      <c r="X469">
        <f t="shared" si="49"/>
        <v>1.11116880419544</v>
      </c>
      <c r="AH469" t="str">
        <f t="shared" si="55"/>
        <v>3rd Quality</v>
      </c>
      <c r="AJ469">
        <f>((T469-X469)*2)/5.3</f>
        <v>41.3801249795489</v>
      </c>
      <c r="AK469">
        <f t="shared" si="54"/>
        <v>142226.754</v>
      </c>
    </row>
    <row r="470" spans="1:37">
      <c r="A470" t="s">
        <v>533</v>
      </c>
      <c r="B470">
        <v>41</v>
      </c>
      <c r="C470" t="s">
        <v>50</v>
      </c>
      <c r="D470" t="s">
        <v>60</v>
      </c>
      <c r="E470">
        <v>579</v>
      </c>
      <c r="F470">
        <v>6</v>
      </c>
      <c r="G470">
        <v>26</v>
      </c>
      <c r="H470">
        <v>1907.22</v>
      </c>
      <c r="I470">
        <v>46024.74</v>
      </c>
      <c r="J470">
        <v>196</v>
      </c>
      <c r="K470">
        <v>0</v>
      </c>
      <c r="L470">
        <v>7.8</v>
      </c>
      <c r="M470">
        <v>27.7</v>
      </c>
      <c r="N470" t="s">
        <v>52</v>
      </c>
      <c r="O470" t="s">
        <v>47</v>
      </c>
      <c r="P470" t="s">
        <v>68</v>
      </c>
      <c r="R470">
        <f>SUMIF(A470:A5469,"C00469",I470:I5469)</f>
        <v>46024.74</v>
      </c>
      <c r="S470" s="1">
        <v>46024.74</v>
      </c>
      <c r="T470">
        <f t="shared" si="50"/>
        <v>234.820102040816</v>
      </c>
      <c r="U470">
        <f t="shared" si="51"/>
        <v>5429.2</v>
      </c>
      <c r="V470">
        <f t="shared" si="52"/>
        <v>452.433333333333</v>
      </c>
      <c r="W470">
        <f t="shared" si="53"/>
        <v>15977.6533333333</v>
      </c>
      <c r="X470">
        <f t="shared" si="49"/>
        <v>0.303583225847044</v>
      </c>
      <c r="AH470" t="str">
        <f t="shared" si="55"/>
        <v>2nd Quality</v>
      </c>
      <c r="AJ470">
        <f>((T470-X470)*2)/7.8</f>
        <v>60.1324407217869</v>
      </c>
      <c r="AK470">
        <f t="shared" si="54"/>
        <v>135960.839081633</v>
      </c>
    </row>
    <row r="471" spans="1:37">
      <c r="A471" t="s">
        <v>534</v>
      </c>
      <c r="B471">
        <v>31</v>
      </c>
      <c r="C471" t="s">
        <v>44</v>
      </c>
      <c r="D471" t="s">
        <v>60</v>
      </c>
      <c r="E471">
        <v>1393</v>
      </c>
      <c r="F471">
        <v>13</v>
      </c>
      <c r="G471">
        <v>2</v>
      </c>
      <c r="H471">
        <v>6311.1</v>
      </c>
      <c r="I471">
        <v>12342.46</v>
      </c>
      <c r="J471">
        <v>19</v>
      </c>
      <c r="K471">
        <v>0</v>
      </c>
      <c r="L471">
        <v>2.1</v>
      </c>
      <c r="M471">
        <v>32.7</v>
      </c>
      <c r="N471" t="s">
        <v>46</v>
      </c>
      <c r="O471" t="s">
        <v>47</v>
      </c>
      <c r="P471" t="s">
        <v>68</v>
      </c>
      <c r="R471">
        <f>SUMIF(A471:A5470,"C00470",I471:I5470)</f>
        <v>12342.46</v>
      </c>
      <c r="S471" s="1">
        <v>12342.46</v>
      </c>
      <c r="T471">
        <f t="shared" si="50"/>
        <v>649.603157894737</v>
      </c>
      <c r="U471">
        <f t="shared" si="51"/>
        <v>621.3</v>
      </c>
      <c r="V471">
        <f t="shared" si="52"/>
        <v>51.775</v>
      </c>
      <c r="W471">
        <f t="shared" si="53"/>
        <v>6218.18666666667</v>
      </c>
      <c r="X471">
        <f t="shared" si="49"/>
        <v>0.220722219581373</v>
      </c>
      <c r="AH471" t="str">
        <f t="shared" si="55"/>
        <v>3rd Quality</v>
      </c>
      <c r="AJ471">
        <f>((T471-X471)*2)/2.1</f>
        <v>618.459462547767</v>
      </c>
      <c r="AK471">
        <f t="shared" si="54"/>
        <v>904897.198947368</v>
      </c>
    </row>
    <row r="472" spans="1:37">
      <c r="A472" t="s">
        <v>535</v>
      </c>
      <c r="B472">
        <v>31</v>
      </c>
      <c r="C472" t="s">
        <v>44</v>
      </c>
      <c r="D472" t="s">
        <v>51</v>
      </c>
      <c r="E472">
        <v>655</v>
      </c>
      <c r="F472">
        <v>49</v>
      </c>
      <c r="G472">
        <v>5</v>
      </c>
      <c r="H472">
        <v>1532.54</v>
      </c>
      <c r="I472">
        <v>7411.89</v>
      </c>
      <c r="J472">
        <v>28</v>
      </c>
      <c r="K472">
        <v>0</v>
      </c>
      <c r="L472">
        <v>46.2</v>
      </c>
      <c r="M472">
        <v>43.2</v>
      </c>
      <c r="N472" t="s">
        <v>61</v>
      </c>
      <c r="O472" t="s">
        <v>47</v>
      </c>
      <c r="P472" t="s">
        <v>48</v>
      </c>
      <c r="R472">
        <f>SUMIF(A472:A5471,"C00471",I472:I5471)</f>
        <v>7411.89</v>
      </c>
      <c r="S472" s="1">
        <v>7411.89</v>
      </c>
      <c r="T472">
        <f t="shared" si="50"/>
        <v>264.710357142857</v>
      </c>
      <c r="U472">
        <f t="shared" si="51"/>
        <v>1209.6</v>
      </c>
      <c r="V472">
        <f t="shared" si="52"/>
        <v>100.8</v>
      </c>
      <c r="W472">
        <f t="shared" si="53"/>
        <v>2981.81</v>
      </c>
      <c r="X472">
        <f t="shared" si="49"/>
        <v>0.427395043522518</v>
      </c>
      <c r="AH472" t="str">
        <f t="shared" si="55"/>
        <v>3rd Quality</v>
      </c>
      <c r="AJ472">
        <f>((T472-X472)*2)/46.2</f>
        <v>11.4408208701011</v>
      </c>
      <c r="AK472">
        <f t="shared" si="54"/>
        <v>173385.283928571</v>
      </c>
    </row>
    <row r="473" spans="1:37">
      <c r="A473" t="s">
        <v>536</v>
      </c>
      <c r="B473">
        <v>31</v>
      </c>
      <c r="C473" t="s">
        <v>44</v>
      </c>
      <c r="D473" t="s">
        <v>45</v>
      </c>
      <c r="E473">
        <v>733</v>
      </c>
      <c r="F473">
        <v>5</v>
      </c>
      <c r="G473">
        <v>10</v>
      </c>
      <c r="H473">
        <v>1224.18</v>
      </c>
      <c r="I473">
        <v>12931.67</v>
      </c>
      <c r="J473">
        <v>77</v>
      </c>
      <c r="K473">
        <v>1</v>
      </c>
      <c r="L473">
        <v>19.1</v>
      </c>
      <c r="M473">
        <v>46</v>
      </c>
      <c r="N473" t="s">
        <v>78</v>
      </c>
      <c r="O473" t="s">
        <v>47</v>
      </c>
      <c r="P473" t="s">
        <v>58</v>
      </c>
      <c r="R473">
        <f>SUMIF(A473:A5472,"C00472",I473:I5472)</f>
        <v>12931.67</v>
      </c>
      <c r="S473" s="1">
        <v>12931.67</v>
      </c>
      <c r="T473">
        <f t="shared" si="50"/>
        <v>167.943766233766</v>
      </c>
      <c r="U473">
        <f t="shared" si="51"/>
        <v>3542</v>
      </c>
      <c r="V473">
        <f>U473*1</f>
        <v>3542</v>
      </c>
      <c r="W473">
        <f t="shared" si="53"/>
        <v>4718.95</v>
      </c>
      <c r="X473">
        <f t="shared" si="49"/>
        <v>0.598768155009884</v>
      </c>
      <c r="AH473" t="str">
        <f t="shared" si="55"/>
        <v>3rd Quality</v>
      </c>
      <c r="AJ473">
        <f>((T473-X473)*2)/19.1</f>
        <v>17.5230364480373</v>
      </c>
      <c r="AK473">
        <f t="shared" si="54"/>
        <v>123102.780649351</v>
      </c>
    </row>
    <row r="474" spans="1:37">
      <c r="A474" t="s">
        <v>537</v>
      </c>
      <c r="B474">
        <v>29</v>
      </c>
      <c r="C474" t="s">
        <v>44</v>
      </c>
      <c r="D474" t="s">
        <v>60</v>
      </c>
      <c r="E474">
        <v>1101</v>
      </c>
      <c r="F474">
        <v>52</v>
      </c>
      <c r="G474">
        <v>32</v>
      </c>
      <c r="H474">
        <v>2516.8</v>
      </c>
      <c r="I474">
        <v>77580.06</v>
      </c>
      <c r="J474">
        <v>104</v>
      </c>
      <c r="K474">
        <v>4</v>
      </c>
      <c r="L474">
        <v>0</v>
      </c>
      <c r="M474">
        <v>34.8</v>
      </c>
      <c r="N474" t="s">
        <v>46</v>
      </c>
      <c r="O474" t="s">
        <v>47</v>
      </c>
      <c r="P474" t="s">
        <v>58</v>
      </c>
      <c r="R474">
        <f>SUMIF(A474:A5473,"C00473",I474:I5473)</f>
        <v>77580.06</v>
      </c>
      <c r="S474" s="1">
        <v>77580.06</v>
      </c>
      <c r="T474">
        <f t="shared" si="50"/>
        <v>745.962115384615</v>
      </c>
      <c r="U474">
        <f t="shared" si="51"/>
        <v>3619.2</v>
      </c>
      <c r="V474">
        <f>U474*4</f>
        <v>14476.8</v>
      </c>
      <c r="W474">
        <f t="shared" si="53"/>
        <v>26699.2866666667</v>
      </c>
      <c r="X474">
        <f t="shared" si="49"/>
        <v>0.437460267005721</v>
      </c>
      <c r="AH474" t="str">
        <f t="shared" si="55"/>
        <v>1st Quality</v>
      </c>
      <c r="AJ474">
        <f>((T474-X474)*2)</f>
        <v>1491.04931023522</v>
      </c>
      <c r="AK474">
        <f t="shared" si="54"/>
        <v>821304.289038462</v>
      </c>
    </row>
    <row r="475" spans="1:37">
      <c r="A475" t="s">
        <v>538</v>
      </c>
      <c r="B475">
        <v>42</v>
      </c>
      <c r="C475" t="s">
        <v>44</v>
      </c>
      <c r="D475" t="s">
        <v>45</v>
      </c>
      <c r="E475">
        <v>1295</v>
      </c>
      <c r="F475">
        <v>15</v>
      </c>
      <c r="G475">
        <v>20</v>
      </c>
      <c r="H475">
        <v>2319.01</v>
      </c>
      <c r="I475">
        <v>45916.17</v>
      </c>
      <c r="J475">
        <v>146</v>
      </c>
      <c r="K475">
        <v>3</v>
      </c>
      <c r="L475">
        <v>9.3</v>
      </c>
      <c r="M475">
        <v>14.6</v>
      </c>
      <c r="N475" t="s">
        <v>78</v>
      </c>
      <c r="O475" t="s">
        <v>47</v>
      </c>
      <c r="P475" t="s">
        <v>58</v>
      </c>
      <c r="R475">
        <f>SUMIF(A475:A5474,"C00474",I475:I5474)</f>
        <v>45916.17</v>
      </c>
      <c r="S475" s="1">
        <v>45916.17</v>
      </c>
      <c r="T475">
        <f t="shared" si="50"/>
        <v>314.494315068493</v>
      </c>
      <c r="U475">
        <f t="shared" si="51"/>
        <v>2131.6</v>
      </c>
      <c r="V475">
        <f>U475*3</f>
        <v>6394.8</v>
      </c>
      <c r="W475">
        <f t="shared" si="53"/>
        <v>16078.7266666667</v>
      </c>
      <c r="X475">
        <f t="shared" si="49"/>
        <v>0.558427949857913</v>
      </c>
      <c r="AH475" t="str">
        <f t="shared" si="55"/>
        <v>2nd Quality</v>
      </c>
      <c r="AJ475">
        <f>((T475-X475)*2)/9.3</f>
        <v>67.5130940040075</v>
      </c>
      <c r="AK475">
        <f t="shared" si="54"/>
        <v>407270.138013699</v>
      </c>
    </row>
    <row r="476" spans="1:37">
      <c r="A476" t="s">
        <v>539</v>
      </c>
      <c r="B476">
        <v>35</v>
      </c>
      <c r="C476" t="s">
        <v>44</v>
      </c>
      <c r="D476" t="s">
        <v>45</v>
      </c>
      <c r="E476">
        <v>894</v>
      </c>
      <c r="F476">
        <v>91</v>
      </c>
      <c r="G476">
        <v>10</v>
      </c>
      <c r="H476">
        <v>893.49</v>
      </c>
      <c r="I476">
        <v>8551.83</v>
      </c>
      <c r="J476">
        <v>54</v>
      </c>
      <c r="K476">
        <v>0</v>
      </c>
      <c r="L476">
        <v>20.9</v>
      </c>
      <c r="M476">
        <v>34.6</v>
      </c>
      <c r="N476" t="s">
        <v>78</v>
      </c>
      <c r="O476" t="s">
        <v>53</v>
      </c>
      <c r="P476" t="s">
        <v>58</v>
      </c>
      <c r="R476">
        <f>SUMIF(A476:A5475,"C00475",I476:I5475)</f>
        <v>8551.83</v>
      </c>
      <c r="S476" s="1">
        <v>8551.83</v>
      </c>
      <c r="T476">
        <f t="shared" si="50"/>
        <v>158.367222222222</v>
      </c>
      <c r="U476">
        <f t="shared" si="51"/>
        <v>1868.4</v>
      </c>
      <c r="V476">
        <f t="shared" si="52"/>
        <v>155.7</v>
      </c>
      <c r="W476">
        <f t="shared" si="53"/>
        <v>3148.77333333333</v>
      </c>
      <c r="X476">
        <f t="shared" si="49"/>
        <v>1.00057079542021</v>
      </c>
      <c r="AH476" t="str">
        <f t="shared" si="55"/>
        <v>3rd Quality</v>
      </c>
      <c r="AJ476">
        <f>((T476-X476)*2)/20.9</f>
        <v>15.0590097059141</v>
      </c>
      <c r="AK476">
        <f t="shared" si="54"/>
        <v>141580.296666667</v>
      </c>
    </row>
    <row r="477" spans="1:37">
      <c r="A477" t="s">
        <v>540</v>
      </c>
      <c r="B477">
        <v>25</v>
      </c>
      <c r="C477" t="s">
        <v>44</v>
      </c>
      <c r="D477" t="s">
        <v>60</v>
      </c>
      <c r="E477">
        <v>919</v>
      </c>
      <c r="F477">
        <v>76</v>
      </c>
      <c r="G477">
        <v>8</v>
      </c>
      <c r="H477">
        <v>962.67</v>
      </c>
      <c r="I477">
        <v>7367.51</v>
      </c>
      <c r="J477">
        <v>71</v>
      </c>
      <c r="K477">
        <v>0</v>
      </c>
      <c r="L477">
        <v>13.8</v>
      </c>
      <c r="M477">
        <v>11</v>
      </c>
      <c r="N477" t="s">
        <v>46</v>
      </c>
      <c r="O477" t="s">
        <v>47</v>
      </c>
      <c r="P477" t="s">
        <v>58</v>
      </c>
      <c r="R477">
        <f>SUMIF(A477:A5476,"C00476",I477:I5476)</f>
        <v>7367.51</v>
      </c>
      <c r="S477" s="1">
        <v>7367.51</v>
      </c>
      <c r="T477">
        <f t="shared" si="50"/>
        <v>103.767746478873</v>
      </c>
      <c r="U477">
        <f t="shared" si="51"/>
        <v>781</v>
      </c>
      <c r="V477">
        <f t="shared" si="52"/>
        <v>65.0833333333333</v>
      </c>
      <c r="W477">
        <f t="shared" si="53"/>
        <v>2777.06</v>
      </c>
      <c r="X477">
        <f t="shared" si="49"/>
        <v>0.954636583668339</v>
      </c>
      <c r="AH477" t="str">
        <f t="shared" si="55"/>
        <v>3rd Quality</v>
      </c>
      <c r="AJ477">
        <f>((T477-X477)*2)/13.8</f>
        <v>14.90045070945</v>
      </c>
      <c r="AK477">
        <f t="shared" si="54"/>
        <v>95362.5590140845</v>
      </c>
    </row>
    <row r="478" spans="1:37">
      <c r="A478" t="s">
        <v>541</v>
      </c>
      <c r="B478">
        <v>44</v>
      </c>
      <c r="C478" t="s">
        <v>50</v>
      </c>
      <c r="D478" t="s">
        <v>60</v>
      </c>
      <c r="E478">
        <v>1070</v>
      </c>
      <c r="F478">
        <v>55</v>
      </c>
      <c r="G478">
        <v>5</v>
      </c>
      <c r="H478">
        <v>1985.67</v>
      </c>
      <c r="I478">
        <v>9335.57</v>
      </c>
      <c r="J478">
        <v>21</v>
      </c>
      <c r="K478">
        <v>1</v>
      </c>
      <c r="L478">
        <v>24.5</v>
      </c>
      <c r="M478">
        <v>31.1</v>
      </c>
      <c r="N478" t="s">
        <v>78</v>
      </c>
      <c r="O478" t="s">
        <v>47</v>
      </c>
      <c r="P478" t="s">
        <v>58</v>
      </c>
      <c r="R478">
        <f>SUMIF(A478:A5477,"C00477",I478:I5477)</f>
        <v>9335.57</v>
      </c>
      <c r="S478" s="1">
        <v>9335.57</v>
      </c>
      <c r="T478">
        <f t="shared" si="50"/>
        <v>444.550952380952</v>
      </c>
      <c r="U478">
        <f t="shared" si="51"/>
        <v>653.1</v>
      </c>
      <c r="V478">
        <f>U478*1</f>
        <v>653.1</v>
      </c>
      <c r="W478">
        <f t="shared" si="53"/>
        <v>3774.08</v>
      </c>
      <c r="X478">
        <f t="shared" si="49"/>
        <v>0.53886093862525</v>
      </c>
      <c r="AH478" t="str">
        <f t="shared" si="55"/>
        <v>3rd Quality</v>
      </c>
      <c r="AJ478">
        <f>((T478-X478)*2)/24.5</f>
        <v>36.2458850157001</v>
      </c>
      <c r="AK478">
        <f t="shared" si="54"/>
        <v>475669.519047619</v>
      </c>
    </row>
    <row r="479" spans="1:37">
      <c r="A479" t="s">
        <v>542</v>
      </c>
      <c r="B479">
        <v>47</v>
      </c>
      <c r="C479" t="s">
        <v>50</v>
      </c>
      <c r="D479" t="s">
        <v>60</v>
      </c>
      <c r="E479">
        <v>1088</v>
      </c>
      <c r="F479">
        <v>43</v>
      </c>
      <c r="G479">
        <v>5</v>
      </c>
      <c r="H479">
        <v>18850.88</v>
      </c>
      <c r="I479">
        <v>94211.71</v>
      </c>
      <c r="J479">
        <v>20</v>
      </c>
      <c r="K479">
        <v>0</v>
      </c>
      <c r="L479">
        <v>10</v>
      </c>
      <c r="M479">
        <v>49.4</v>
      </c>
      <c r="N479" t="s">
        <v>63</v>
      </c>
      <c r="O479" t="s">
        <v>47</v>
      </c>
      <c r="P479" t="s">
        <v>68</v>
      </c>
      <c r="R479">
        <f>SUMIF(A479:A5478,"C00478",I479:I5478)</f>
        <v>94211.71</v>
      </c>
      <c r="S479" s="1">
        <v>94211.71</v>
      </c>
      <c r="T479">
        <f t="shared" si="50"/>
        <v>4710.5855</v>
      </c>
      <c r="U479">
        <f t="shared" si="51"/>
        <v>988</v>
      </c>
      <c r="V479">
        <f t="shared" si="52"/>
        <v>82.3333333333333</v>
      </c>
      <c r="W479">
        <f t="shared" si="53"/>
        <v>37687.8633333333</v>
      </c>
      <c r="X479">
        <f t="shared" si="49"/>
        <v>0.0577161384508309</v>
      </c>
      <c r="AH479" t="str">
        <f t="shared" si="55"/>
        <v>3rd Quality</v>
      </c>
      <c r="AJ479">
        <f>((T479-X479)*2)/10</f>
        <v>942.10555677231</v>
      </c>
      <c r="AK479">
        <f t="shared" si="54"/>
        <v>5125117.024</v>
      </c>
    </row>
    <row r="480" spans="1:37">
      <c r="A480" t="s">
        <v>543</v>
      </c>
      <c r="B480">
        <v>35</v>
      </c>
      <c r="C480" t="s">
        <v>50</v>
      </c>
      <c r="D480" t="s">
        <v>60</v>
      </c>
      <c r="E480">
        <v>1225</v>
      </c>
      <c r="F480">
        <v>57</v>
      </c>
      <c r="G480">
        <v>5</v>
      </c>
      <c r="H480">
        <v>19298.99</v>
      </c>
      <c r="I480">
        <v>94851.2</v>
      </c>
      <c r="J480">
        <v>22</v>
      </c>
      <c r="K480">
        <v>0</v>
      </c>
      <c r="L480">
        <v>6.6</v>
      </c>
      <c r="M480">
        <v>12.4</v>
      </c>
      <c r="N480" t="s">
        <v>81</v>
      </c>
      <c r="O480" t="s">
        <v>75</v>
      </c>
      <c r="P480" t="s">
        <v>68</v>
      </c>
      <c r="R480">
        <f>SUMIF(A480:A5479,"C00479",I480:I5479)</f>
        <v>94851.2</v>
      </c>
      <c r="S480" s="1">
        <v>94851.2</v>
      </c>
      <c r="T480">
        <f t="shared" si="50"/>
        <v>4311.41818181818</v>
      </c>
      <c r="U480">
        <f t="shared" si="51"/>
        <v>272.8</v>
      </c>
      <c r="V480">
        <f t="shared" si="52"/>
        <v>22.7333333333333</v>
      </c>
      <c r="W480">
        <f t="shared" si="53"/>
        <v>38050.3966666667</v>
      </c>
      <c r="X480">
        <f t="shared" si="49"/>
        <v>0.0634748243301852</v>
      </c>
      <c r="AH480" t="str">
        <f t="shared" si="55"/>
        <v>2nd Quality</v>
      </c>
      <c r="AJ480">
        <f>((T480-X480)*2)/6.6</f>
        <v>1306.47112333147</v>
      </c>
      <c r="AK480">
        <f t="shared" si="54"/>
        <v>5281487.27272727</v>
      </c>
    </row>
    <row r="481" spans="1:37">
      <c r="A481" t="s">
        <v>544</v>
      </c>
      <c r="B481">
        <v>33</v>
      </c>
      <c r="C481" t="s">
        <v>44</v>
      </c>
      <c r="D481" t="s">
        <v>45</v>
      </c>
      <c r="E481">
        <v>506</v>
      </c>
      <c r="F481">
        <v>28</v>
      </c>
      <c r="G481">
        <v>8</v>
      </c>
      <c r="H481">
        <v>1752.77</v>
      </c>
      <c r="I481">
        <v>12533.25</v>
      </c>
      <c r="J481">
        <v>23</v>
      </c>
      <c r="K481">
        <v>1</v>
      </c>
      <c r="L481">
        <v>20.1</v>
      </c>
      <c r="M481">
        <v>40.6</v>
      </c>
      <c r="N481" t="s">
        <v>52</v>
      </c>
      <c r="O481" t="s">
        <v>47</v>
      </c>
      <c r="P481" t="s">
        <v>68</v>
      </c>
      <c r="R481">
        <f>SUMIF(A481:A5480,"C00480",I481:I5480)</f>
        <v>12533.25</v>
      </c>
      <c r="S481" s="1">
        <v>12533.25</v>
      </c>
      <c r="T481">
        <f t="shared" si="50"/>
        <v>544.923913043478</v>
      </c>
      <c r="U481">
        <f t="shared" si="51"/>
        <v>933.8</v>
      </c>
      <c r="V481">
        <f>U481*1</f>
        <v>933.8</v>
      </c>
      <c r="W481">
        <f t="shared" si="53"/>
        <v>4762.34</v>
      </c>
      <c r="X481">
        <f t="shared" si="49"/>
        <v>0.288685908590403</v>
      </c>
      <c r="AH481" t="str">
        <f t="shared" si="55"/>
        <v>3rd Quality</v>
      </c>
      <c r="AJ481">
        <f>((T481-X481)*2)/20.1</f>
        <v>54.1925599139192</v>
      </c>
      <c r="AK481">
        <f t="shared" si="54"/>
        <v>275731.5</v>
      </c>
    </row>
    <row r="482" spans="1:37">
      <c r="A482" t="s">
        <v>545</v>
      </c>
      <c r="B482">
        <v>45</v>
      </c>
      <c r="C482" t="s">
        <v>44</v>
      </c>
      <c r="D482" t="s">
        <v>60</v>
      </c>
      <c r="E482">
        <v>1411</v>
      </c>
      <c r="F482">
        <v>39</v>
      </c>
      <c r="G482">
        <v>8</v>
      </c>
      <c r="H482">
        <v>1119.68</v>
      </c>
      <c r="I482">
        <v>9883.03</v>
      </c>
      <c r="J482">
        <v>51</v>
      </c>
      <c r="K482">
        <v>2</v>
      </c>
      <c r="L482">
        <v>19.4</v>
      </c>
      <c r="M482">
        <v>24</v>
      </c>
      <c r="N482" t="s">
        <v>81</v>
      </c>
      <c r="O482" t="s">
        <v>47</v>
      </c>
      <c r="P482" t="s">
        <v>58</v>
      </c>
      <c r="R482">
        <f>SUMIF(A482:A5481,"C00481",I482:I5481)</f>
        <v>9883.03</v>
      </c>
      <c r="S482" s="1">
        <v>9883.03</v>
      </c>
      <c r="T482">
        <f t="shared" si="50"/>
        <v>193.784901960784</v>
      </c>
      <c r="U482">
        <f t="shared" si="51"/>
        <v>1224</v>
      </c>
      <c r="V482">
        <f>U482*2</f>
        <v>2448</v>
      </c>
      <c r="W482">
        <f t="shared" si="53"/>
        <v>3667.90333333333</v>
      </c>
      <c r="X482">
        <f t="shared" si="49"/>
        <v>1.26018148042298</v>
      </c>
      <c r="AH482" t="str">
        <f t="shared" si="55"/>
        <v>3rd Quality</v>
      </c>
      <c r="AJ482">
        <f>((T482-X482)*2)/19.4</f>
        <v>19.8479093278723</v>
      </c>
      <c r="AK482">
        <f t="shared" si="54"/>
        <v>273430.496666667</v>
      </c>
    </row>
    <row r="483" spans="1:37">
      <c r="A483" t="s">
        <v>546</v>
      </c>
      <c r="B483">
        <v>53</v>
      </c>
      <c r="C483" t="s">
        <v>50</v>
      </c>
      <c r="D483" t="s">
        <v>60</v>
      </c>
      <c r="E483">
        <v>439</v>
      </c>
      <c r="F483">
        <v>20</v>
      </c>
      <c r="G483">
        <v>22</v>
      </c>
      <c r="H483">
        <v>2482.79</v>
      </c>
      <c r="I483">
        <v>52639.24</v>
      </c>
      <c r="J483">
        <v>170</v>
      </c>
      <c r="K483">
        <v>0</v>
      </c>
      <c r="L483">
        <v>4.6</v>
      </c>
      <c r="M483">
        <v>39.1</v>
      </c>
      <c r="N483" t="s">
        <v>61</v>
      </c>
      <c r="O483" t="s">
        <v>75</v>
      </c>
      <c r="P483" t="s">
        <v>66</v>
      </c>
      <c r="R483">
        <f>SUMIF(A483:A5482,"C00482",I483:I5482)</f>
        <v>52639.24</v>
      </c>
      <c r="S483" s="1">
        <v>52639.24</v>
      </c>
      <c r="T483">
        <f t="shared" si="50"/>
        <v>309.642588235294</v>
      </c>
      <c r="U483">
        <f t="shared" si="51"/>
        <v>6647</v>
      </c>
      <c r="V483">
        <f t="shared" si="52"/>
        <v>553.916666666667</v>
      </c>
      <c r="W483">
        <f t="shared" si="53"/>
        <v>18374.3433333333</v>
      </c>
      <c r="X483">
        <f t="shared" si="49"/>
        <v>0.176817209671378</v>
      </c>
      <c r="AH483" t="str">
        <f t="shared" si="55"/>
        <v>3rd Quality</v>
      </c>
      <c r="AJ483">
        <f>((T483-X483)*2)/4.6</f>
        <v>134.550335228532</v>
      </c>
      <c r="AK483">
        <f t="shared" si="54"/>
        <v>135933.096235294</v>
      </c>
    </row>
    <row r="484" spans="1:37">
      <c r="A484" t="s">
        <v>547</v>
      </c>
      <c r="B484">
        <v>29</v>
      </c>
      <c r="C484" t="s">
        <v>50</v>
      </c>
      <c r="D484" t="s">
        <v>51</v>
      </c>
      <c r="E484">
        <v>627</v>
      </c>
      <c r="F484">
        <v>8</v>
      </c>
      <c r="G484">
        <v>4</v>
      </c>
      <c r="H484">
        <v>12662.25</v>
      </c>
      <c r="I484">
        <v>53779.68</v>
      </c>
      <c r="J484">
        <v>35</v>
      </c>
      <c r="K484">
        <v>1</v>
      </c>
      <c r="L484">
        <v>0</v>
      </c>
      <c r="M484">
        <v>70.6</v>
      </c>
      <c r="N484" t="s">
        <v>57</v>
      </c>
      <c r="O484" t="s">
        <v>47</v>
      </c>
      <c r="P484" t="s">
        <v>66</v>
      </c>
      <c r="R484">
        <f>SUMIF(A484:A5483,"C00483",I484:I5483)</f>
        <v>53779.68</v>
      </c>
      <c r="S484" s="1">
        <v>53779.68</v>
      </c>
      <c r="T484">
        <f t="shared" si="50"/>
        <v>1536.56228571429</v>
      </c>
      <c r="U484">
        <f t="shared" si="51"/>
        <v>2471</v>
      </c>
      <c r="V484">
        <f>U484*1</f>
        <v>2471</v>
      </c>
      <c r="W484">
        <f t="shared" si="53"/>
        <v>22147.6433333333</v>
      </c>
      <c r="X484">
        <f t="shared" si="49"/>
        <v>0.0495172658887638</v>
      </c>
      <c r="AH484" t="str">
        <f t="shared" si="55"/>
        <v>2nd Quality</v>
      </c>
      <c r="AJ484">
        <f>((T484-X484)*2)</f>
        <v>3073.0255368968</v>
      </c>
      <c r="AK484">
        <f t="shared" si="54"/>
        <v>963424.553142857</v>
      </c>
    </row>
    <row r="485" spans="1:37">
      <c r="A485" t="s">
        <v>548</v>
      </c>
      <c r="B485">
        <v>34</v>
      </c>
      <c r="C485" t="s">
        <v>50</v>
      </c>
      <c r="D485" t="s">
        <v>60</v>
      </c>
      <c r="E485">
        <v>1221</v>
      </c>
      <c r="F485">
        <v>38</v>
      </c>
      <c r="G485">
        <v>7</v>
      </c>
      <c r="H485">
        <v>1229.35</v>
      </c>
      <c r="I485">
        <v>9445.88</v>
      </c>
      <c r="J485">
        <v>55</v>
      </c>
      <c r="K485">
        <v>1</v>
      </c>
      <c r="L485">
        <v>32.4</v>
      </c>
      <c r="M485">
        <v>24.5</v>
      </c>
      <c r="N485" t="s">
        <v>81</v>
      </c>
      <c r="O485" t="s">
        <v>47</v>
      </c>
      <c r="P485" t="s">
        <v>58</v>
      </c>
      <c r="R485">
        <f>SUMIF(A485:A5484,"C00484",I485:I5484)</f>
        <v>9445.88</v>
      </c>
      <c r="S485" s="1">
        <v>9445.88</v>
      </c>
      <c r="T485">
        <f t="shared" si="50"/>
        <v>171.743272727273</v>
      </c>
      <c r="U485">
        <f t="shared" si="51"/>
        <v>1347.5</v>
      </c>
      <c r="V485">
        <f>U485*1</f>
        <v>1347.5</v>
      </c>
      <c r="W485">
        <f t="shared" si="53"/>
        <v>3558.74333333333</v>
      </c>
      <c r="X485">
        <f t="shared" si="49"/>
        <v>0.993207792735999</v>
      </c>
      <c r="AH485" t="str">
        <f t="shared" si="55"/>
        <v>3rd Quality</v>
      </c>
      <c r="AJ485">
        <f>((T485-X485)*2)/32.4</f>
        <v>10.5401274650949</v>
      </c>
      <c r="AK485">
        <f t="shared" si="54"/>
        <v>209698.536</v>
      </c>
    </row>
    <row r="486" spans="1:37">
      <c r="A486" t="s">
        <v>549</v>
      </c>
      <c r="B486">
        <v>35</v>
      </c>
      <c r="C486" t="s">
        <v>44</v>
      </c>
      <c r="D486" t="s">
        <v>45</v>
      </c>
      <c r="E486">
        <v>676</v>
      </c>
      <c r="F486">
        <v>10</v>
      </c>
      <c r="G486">
        <v>23</v>
      </c>
      <c r="H486">
        <v>3742.22</v>
      </c>
      <c r="I486">
        <v>75977.94</v>
      </c>
      <c r="J486">
        <v>100</v>
      </c>
      <c r="K486">
        <v>1</v>
      </c>
      <c r="L486">
        <v>26.1</v>
      </c>
      <c r="M486">
        <v>36.3</v>
      </c>
      <c r="N486" t="s">
        <v>52</v>
      </c>
      <c r="O486" t="s">
        <v>53</v>
      </c>
      <c r="P486" t="s">
        <v>58</v>
      </c>
      <c r="R486">
        <f>SUMIF(A486:A5485,"C00485",I486:I5485)</f>
        <v>75977.94</v>
      </c>
      <c r="S486" s="1">
        <v>75977.94</v>
      </c>
      <c r="T486">
        <f t="shared" si="50"/>
        <v>759.7794</v>
      </c>
      <c r="U486">
        <f t="shared" si="51"/>
        <v>3630</v>
      </c>
      <c r="V486">
        <f>U486*1</f>
        <v>3630</v>
      </c>
      <c r="W486">
        <f t="shared" si="53"/>
        <v>26573.72</v>
      </c>
      <c r="X486">
        <f t="shared" si="49"/>
        <v>0.180641437435533</v>
      </c>
      <c r="AH486" t="str">
        <f t="shared" si="55"/>
        <v>2nd Quality</v>
      </c>
      <c r="AJ486">
        <f>((T486-X486)*2)/26.1</f>
        <v>58.2068014224187</v>
      </c>
      <c r="AK486">
        <f t="shared" si="54"/>
        <v>513610.8744</v>
      </c>
    </row>
    <row r="487" spans="1:37">
      <c r="A487" t="s">
        <v>550</v>
      </c>
      <c r="B487">
        <v>32</v>
      </c>
      <c r="C487" t="s">
        <v>50</v>
      </c>
      <c r="D487" t="s">
        <v>51</v>
      </c>
      <c r="E487">
        <v>1022</v>
      </c>
      <c r="F487">
        <v>5</v>
      </c>
      <c r="G487">
        <v>11</v>
      </c>
      <c r="H487">
        <v>2811.37</v>
      </c>
      <c r="I487">
        <v>28129.31</v>
      </c>
      <c r="J487">
        <v>56</v>
      </c>
      <c r="K487">
        <v>0</v>
      </c>
      <c r="L487">
        <v>14.8</v>
      </c>
      <c r="M487">
        <v>56.4</v>
      </c>
      <c r="N487" t="s">
        <v>81</v>
      </c>
      <c r="O487" t="s">
        <v>47</v>
      </c>
      <c r="P487" t="s">
        <v>58</v>
      </c>
      <c r="R487">
        <f>SUMIF(A487:A5486,"C00486",I487:I5486)</f>
        <v>28129.31</v>
      </c>
      <c r="S487" s="1">
        <v>28129.31</v>
      </c>
      <c r="T487">
        <f t="shared" si="50"/>
        <v>502.309107142857</v>
      </c>
      <c r="U487">
        <f t="shared" si="51"/>
        <v>3158.4</v>
      </c>
      <c r="V487">
        <f t="shared" si="52"/>
        <v>263.2</v>
      </c>
      <c r="W487">
        <f t="shared" si="53"/>
        <v>10313.8933333333</v>
      </c>
      <c r="X487">
        <f t="shared" si="49"/>
        <v>0.363523833575801</v>
      </c>
      <c r="AH487" t="str">
        <f t="shared" si="55"/>
        <v>2nd Quality</v>
      </c>
      <c r="AJ487">
        <f>((T487-X487)*2)/14.8</f>
        <v>67.8304842309839</v>
      </c>
      <c r="AK487">
        <f t="shared" si="54"/>
        <v>513359.9075</v>
      </c>
    </row>
    <row r="488" spans="1:37">
      <c r="A488" t="s">
        <v>551</v>
      </c>
      <c r="B488">
        <v>35</v>
      </c>
      <c r="C488" t="s">
        <v>44</v>
      </c>
      <c r="D488" t="s">
        <v>45</v>
      </c>
      <c r="E488">
        <v>541</v>
      </c>
      <c r="F488">
        <v>59</v>
      </c>
      <c r="G488">
        <v>11</v>
      </c>
      <c r="H488">
        <v>1465.94</v>
      </c>
      <c r="I488">
        <v>14927.74</v>
      </c>
      <c r="J488">
        <v>26</v>
      </c>
      <c r="K488">
        <v>1</v>
      </c>
      <c r="L488">
        <v>17.8</v>
      </c>
      <c r="M488">
        <v>22.9</v>
      </c>
      <c r="N488" t="s">
        <v>78</v>
      </c>
      <c r="O488" t="s">
        <v>53</v>
      </c>
      <c r="P488" t="s">
        <v>68</v>
      </c>
      <c r="R488">
        <f>SUMIF(A488:A5487,"C00487",I488:I5487)</f>
        <v>14927.74</v>
      </c>
      <c r="S488" s="1">
        <v>14927.74</v>
      </c>
      <c r="T488">
        <f t="shared" si="50"/>
        <v>574.143846153846</v>
      </c>
      <c r="U488">
        <f t="shared" si="51"/>
        <v>595.4</v>
      </c>
      <c r="V488">
        <f>U488*1</f>
        <v>595.4</v>
      </c>
      <c r="W488">
        <f t="shared" si="53"/>
        <v>5464.89333333333</v>
      </c>
      <c r="X488">
        <f t="shared" si="49"/>
        <v>0.369046482120687</v>
      </c>
      <c r="AH488" t="str">
        <f t="shared" si="55"/>
        <v>3rd Quality</v>
      </c>
      <c r="AJ488">
        <f>((T488-X488)*2)/17.8</f>
        <v>64.4690786148006</v>
      </c>
      <c r="AK488">
        <f t="shared" si="54"/>
        <v>310611.820769231</v>
      </c>
    </row>
    <row r="489" spans="1:37">
      <c r="A489" t="s">
        <v>552</v>
      </c>
      <c r="B489">
        <v>68</v>
      </c>
      <c r="C489" t="s">
        <v>50</v>
      </c>
      <c r="D489" t="s">
        <v>51</v>
      </c>
      <c r="E489">
        <v>1268</v>
      </c>
      <c r="F489">
        <v>45</v>
      </c>
      <c r="G489">
        <v>4</v>
      </c>
      <c r="H489">
        <v>3208.13</v>
      </c>
      <c r="I489">
        <v>14020.74</v>
      </c>
      <c r="J489">
        <v>29</v>
      </c>
      <c r="K489">
        <v>0</v>
      </c>
      <c r="L489">
        <v>14.4</v>
      </c>
      <c r="M489">
        <v>50.4</v>
      </c>
      <c r="N489" t="s">
        <v>61</v>
      </c>
      <c r="O489" t="s">
        <v>47</v>
      </c>
      <c r="P489" t="s">
        <v>58</v>
      </c>
      <c r="R489">
        <f>SUMIF(A489:A5488,"C00488",I489:I5488)</f>
        <v>14020.74</v>
      </c>
      <c r="S489" s="1">
        <v>14020.74</v>
      </c>
      <c r="T489">
        <f t="shared" si="50"/>
        <v>483.473793103448</v>
      </c>
      <c r="U489">
        <f t="shared" si="51"/>
        <v>1461.6</v>
      </c>
      <c r="V489">
        <f t="shared" si="52"/>
        <v>121.8</v>
      </c>
      <c r="W489">
        <f t="shared" si="53"/>
        <v>5743.29</v>
      </c>
      <c r="X489">
        <f t="shared" si="49"/>
        <v>0.395245828566797</v>
      </c>
      <c r="AH489" t="str">
        <f t="shared" si="55"/>
        <v>3rd Quality</v>
      </c>
      <c r="AJ489">
        <f>((T489-X489)*2)/14.4</f>
        <v>67.0942426770668</v>
      </c>
      <c r="AK489">
        <f t="shared" si="54"/>
        <v>613044.769655172</v>
      </c>
    </row>
    <row r="490" spans="1:37">
      <c r="A490" t="s">
        <v>553</v>
      </c>
      <c r="B490">
        <v>30</v>
      </c>
      <c r="C490" t="s">
        <v>44</v>
      </c>
      <c r="D490" t="s">
        <v>51</v>
      </c>
      <c r="E490">
        <v>697</v>
      </c>
      <c r="F490">
        <v>32</v>
      </c>
      <c r="G490">
        <v>5</v>
      </c>
      <c r="H490">
        <v>6190.89</v>
      </c>
      <c r="I490">
        <v>31293.72</v>
      </c>
      <c r="J490">
        <v>43</v>
      </c>
      <c r="K490">
        <v>0</v>
      </c>
      <c r="L490">
        <v>12.2</v>
      </c>
      <c r="M490">
        <v>48.7</v>
      </c>
      <c r="N490" t="s">
        <v>61</v>
      </c>
      <c r="O490" t="s">
        <v>47</v>
      </c>
      <c r="P490" t="s">
        <v>58</v>
      </c>
      <c r="R490">
        <f>SUMIF(A490:A5489,"C00489",I490:I5489)</f>
        <v>31293.72</v>
      </c>
      <c r="S490" s="1">
        <v>31293.72</v>
      </c>
      <c r="T490">
        <f t="shared" si="50"/>
        <v>727.760930232558</v>
      </c>
      <c r="U490">
        <f t="shared" si="51"/>
        <v>2094.1</v>
      </c>
      <c r="V490">
        <f t="shared" si="52"/>
        <v>174.508333333333</v>
      </c>
      <c r="W490">
        <f t="shared" si="53"/>
        <v>12495.2033333333</v>
      </c>
      <c r="X490">
        <f t="shared" si="49"/>
        <v>0.112584781832661</v>
      </c>
      <c r="AH490" t="str">
        <f t="shared" si="55"/>
        <v>2nd Quality</v>
      </c>
      <c r="AJ490">
        <f>((T490-X490)*2)/12.2</f>
        <v>119.286614008316</v>
      </c>
      <c r="AK490">
        <f t="shared" si="54"/>
        <v>507249.368372093</v>
      </c>
    </row>
    <row r="491" spans="1:37">
      <c r="A491" t="s">
        <v>554</v>
      </c>
      <c r="B491">
        <v>46</v>
      </c>
      <c r="C491" t="s">
        <v>44</v>
      </c>
      <c r="D491" t="s">
        <v>60</v>
      </c>
      <c r="E491">
        <v>496</v>
      </c>
      <c r="F491">
        <v>67</v>
      </c>
      <c r="G491">
        <v>4</v>
      </c>
      <c r="H491">
        <v>11260.63</v>
      </c>
      <c r="I491">
        <v>42998.77</v>
      </c>
      <c r="J491">
        <v>20</v>
      </c>
      <c r="K491">
        <v>0</v>
      </c>
      <c r="L491">
        <v>0</v>
      </c>
      <c r="M491">
        <v>19.9</v>
      </c>
      <c r="N491" t="s">
        <v>63</v>
      </c>
      <c r="O491" t="s">
        <v>75</v>
      </c>
      <c r="P491" t="s">
        <v>66</v>
      </c>
      <c r="R491">
        <f>SUMIF(A491:A5490,"C00490",I491:I5490)</f>
        <v>42998.77</v>
      </c>
      <c r="S491" s="1">
        <v>42998.77</v>
      </c>
      <c r="T491">
        <f t="shared" si="50"/>
        <v>2149.9385</v>
      </c>
      <c r="U491">
        <f t="shared" si="51"/>
        <v>398</v>
      </c>
      <c r="V491">
        <f t="shared" si="52"/>
        <v>33.1666666666667</v>
      </c>
      <c r="W491">
        <f t="shared" si="53"/>
        <v>18086.8</v>
      </c>
      <c r="X491">
        <f t="shared" si="49"/>
        <v>0.0440472691137174</v>
      </c>
      <c r="AH491" t="str">
        <f t="shared" si="55"/>
        <v>3rd Quality</v>
      </c>
      <c r="AJ491">
        <f>((T491-X491)*2)</f>
        <v>4299.78890546177</v>
      </c>
      <c r="AK491">
        <f t="shared" si="54"/>
        <v>1066369.496</v>
      </c>
    </row>
    <row r="492" spans="1:37">
      <c r="A492" t="s">
        <v>555</v>
      </c>
      <c r="B492">
        <v>25</v>
      </c>
      <c r="C492" t="s">
        <v>56</v>
      </c>
      <c r="D492" t="s">
        <v>60</v>
      </c>
      <c r="E492">
        <v>490</v>
      </c>
      <c r="F492">
        <v>188</v>
      </c>
      <c r="G492">
        <v>6</v>
      </c>
      <c r="H492">
        <v>957.62</v>
      </c>
      <c r="I492">
        <v>5117.07</v>
      </c>
      <c r="J492">
        <v>37</v>
      </c>
      <c r="K492">
        <v>0</v>
      </c>
      <c r="L492">
        <v>33.9</v>
      </c>
      <c r="M492">
        <v>64.1</v>
      </c>
      <c r="N492" t="s">
        <v>63</v>
      </c>
      <c r="O492" t="s">
        <v>75</v>
      </c>
      <c r="P492" t="s">
        <v>68</v>
      </c>
      <c r="R492">
        <f>SUMIF(A492:A5491,"C00491",I492:I5491)</f>
        <v>5117.07</v>
      </c>
      <c r="S492" s="1">
        <v>5117.07</v>
      </c>
      <c r="T492">
        <f t="shared" si="50"/>
        <v>138.299189189189</v>
      </c>
      <c r="U492">
        <f t="shared" si="51"/>
        <v>2371.7</v>
      </c>
      <c r="V492">
        <f t="shared" si="52"/>
        <v>197.641666666667</v>
      </c>
      <c r="W492">
        <f t="shared" si="53"/>
        <v>2025.23</v>
      </c>
      <c r="X492">
        <f t="shared" si="49"/>
        <v>0.511685219606942</v>
      </c>
      <c r="AH492" t="str">
        <f t="shared" si="55"/>
        <v>3rd Quality</v>
      </c>
      <c r="AJ492">
        <f>((T492-X492)*2)/33.9</f>
        <v>8.12905628139127</v>
      </c>
      <c r="AK492">
        <f t="shared" si="54"/>
        <v>67766.6027027027</v>
      </c>
    </row>
    <row r="493" spans="1:37">
      <c r="A493" t="s">
        <v>556</v>
      </c>
      <c r="B493">
        <v>29</v>
      </c>
      <c r="C493" t="s">
        <v>44</v>
      </c>
      <c r="D493" t="s">
        <v>45</v>
      </c>
      <c r="E493">
        <v>557</v>
      </c>
      <c r="F493">
        <v>63</v>
      </c>
      <c r="G493">
        <v>1</v>
      </c>
      <c r="H493">
        <v>6536.1</v>
      </c>
      <c r="I493">
        <v>5807.45</v>
      </c>
      <c r="J493">
        <v>7</v>
      </c>
      <c r="K493">
        <v>0</v>
      </c>
      <c r="L493">
        <v>9</v>
      </c>
      <c r="M493">
        <v>33.5</v>
      </c>
      <c r="N493" t="s">
        <v>52</v>
      </c>
      <c r="O493" t="s">
        <v>47</v>
      </c>
      <c r="P493" t="s">
        <v>48</v>
      </c>
      <c r="R493">
        <f>SUMIF(A493:A5492,"C00492",I493:I5492)</f>
        <v>5807.45</v>
      </c>
      <c r="S493" s="1">
        <v>5807.45</v>
      </c>
      <c r="T493">
        <f t="shared" si="50"/>
        <v>829.635714285714</v>
      </c>
      <c r="U493">
        <f t="shared" si="51"/>
        <v>234.5</v>
      </c>
      <c r="V493">
        <f t="shared" si="52"/>
        <v>19.5416666666667</v>
      </c>
      <c r="W493">
        <f t="shared" si="53"/>
        <v>4114.85</v>
      </c>
      <c r="X493">
        <f t="shared" si="49"/>
        <v>0.0852190143969645</v>
      </c>
      <c r="AH493" t="str">
        <f t="shared" si="55"/>
        <v>3rd Quality</v>
      </c>
      <c r="AJ493">
        <f>((T493-X493)*2)/9</f>
        <v>184.344554504737</v>
      </c>
      <c r="AK493">
        <f t="shared" si="54"/>
        <v>462107.092857143</v>
      </c>
    </row>
    <row r="494" spans="1:37">
      <c r="A494" t="s">
        <v>557</v>
      </c>
      <c r="B494">
        <v>18</v>
      </c>
      <c r="C494" t="s">
        <v>50</v>
      </c>
      <c r="D494" t="s">
        <v>45</v>
      </c>
      <c r="E494">
        <v>1168</v>
      </c>
      <c r="F494">
        <v>29</v>
      </c>
      <c r="G494">
        <v>1</v>
      </c>
      <c r="H494">
        <v>12883.16</v>
      </c>
      <c r="I494">
        <v>13122.83</v>
      </c>
      <c r="J494">
        <v>19</v>
      </c>
      <c r="K494">
        <v>0</v>
      </c>
      <c r="L494">
        <v>4.9</v>
      </c>
      <c r="M494">
        <v>37.1</v>
      </c>
      <c r="N494" t="s">
        <v>57</v>
      </c>
      <c r="O494" t="s">
        <v>75</v>
      </c>
      <c r="P494" t="s">
        <v>58</v>
      </c>
      <c r="R494">
        <f>SUMIF(A494:A5493,"C00493",I494:I5493)</f>
        <v>13122.83</v>
      </c>
      <c r="S494" s="1">
        <v>13122.83</v>
      </c>
      <c r="T494">
        <f t="shared" si="50"/>
        <v>690.675263157895</v>
      </c>
      <c r="U494">
        <f t="shared" si="51"/>
        <v>704.9</v>
      </c>
      <c r="V494">
        <f t="shared" si="52"/>
        <v>58.7416666666667</v>
      </c>
      <c r="W494">
        <f t="shared" si="53"/>
        <v>8668.99666666667</v>
      </c>
      <c r="X494">
        <f t="shared" si="49"/>
        <v>0.0906609869007293</v>
      </c>
      <c r="AH494" t="str">
        <f t="shared" si="55"/>
        <v>2nd Quality</v>
      </c>
      <c r="AJ494">
        <f>((T494-X494)*2)/4.9</f>
        <v>281.871266192243</v>
      </c>
      <c r="AK494">
        <f t="shared" si="54"/>
        <v>806708.707368421</v>
      </c>
    </row>
    <row r="495" spans="1:37">
      <c r="A495" t="s">
        <v>558</v>
      </c>
      <c r="B495">
        <v>33</v>
      </c>
      <c r="C495" t="s">
        <v>56</v>
      </c>
      <c r="D495" t="s">
        <v>45</v>
      </c>
      <c r="E495">
        <v>438</v>
      </c>
      <c r="F495">
        <v>28</v>
      </c>
      <c r="G495">
        <v>10</v>
      </c>
      <c r="H495">
        <v>2415.27</v>
      </c>
      <c r="I495">
        <v>25330.13</v>
      </c>
      <c r="J495">
        <v>29</v>
      </c>
      <c r="K495">
        <v>0</v>
      </c>
      <c r="L495">
        <v>31.5</v>
      </c>
      <c r="M495">
        <v>41.8</v>
      </c>
      <c r="N495" t="s">
        <v>61</v>
      </c>
      <c r="O495" t="s">
        <v>47</v>
      </c>
      <c r="P495" t="s">
        <v>68</v>
      </c>
      <c r="R495">
        <f>SUMIF(A495:A5494,"C00494",I495:I5494)</f>
        <v>25330.13</v>
      </c>
      <c r="S495" s="1">
        <v>25330.13</v>
      </c>
      <c r="T495">
        <f t="shared" si="50"/>
        <v>873.45275862069</v>
      </c>
      <c r="U495">
        <f t="shared" si="51"/>
        <v>1212.2</v>
      </c>
      <c r="V495">
        <f t="shared" si="52"/>
        <v>101.016666666667</v>
      </c>
      <c r="W495">
        <f t="shared" si="53"/>
        <v>9248.8</v>
      </c>
      <c r="X495">
        <f t="shared" ref="X495:X558" si="56">E495/H495</f>
        <v>0.181346184898583</v>
      </c>
      <c r="AH495" t="str">
        <f t="shared" si="55"/>
        <v>3rd Quality</v>
      </c>
      <c r="AJ495">
        <f>((T495-X495)*2)/31.5</f>
        <v>55.4458039641772</v>
      </c>
      <c r="AK495">
        <f t="shared" si="54"/>
        <v>382572.308275862</v>
      </c>
    </row>
    <row r="496" spans="1:37">
      <c r="A496" t="s">
        <v>559</v>
      </c>
      <c r="B496">
        <v>19</v>
      </c>
      <c r="C496" t="s">
        <v>44</v>
      </c>
      <c r="D496" t="s">
        <v>51</v>
      </c>
      <c r="E496">
        <v>1021</v>
      </c>
      <c r="F496">
        <v>118</v>
      </c>
      <c r="G496">
        <v>3</v>
      </c>
      <c r="H496">
        <v>1963.04</v>
      </c>
      <c r="I496">
        <v>5727.38</v>
      </c>
      <c r="J496">
        <v>22</v>
      </c>
      <c r="K496">
        <v>1</v>
      </c>
      <c r="L496">
        <v>26.6</v>
      </c>
      <c r="M496">
        <v>72</v>
      </c>
      <c r="N496" t="s">
        <v>63</v>
      </c>
      <c r="O496" t="s">
        <v>53</v>
      </c>
      <c r="P496" t="s">
        <v>66</v>
      </c>
      <c r="R496">
        <f>SUMIF(A496:A5495,"C00495",I496:I5495)</f>
        <v>5727.38</v>
      </c>
      <c r="S496" s="1">
        <v>5727.38</v>
      </c>
      <c r="T496">
        <f t="shared" si="50"/>
        <v>260.335454545455</v>
      </c>
      <c r="U496">
        <f t="shared" si="51"/>
        <v>1584</v>
      </c>
      <c r="V496">
        <f>U496*1</f>
        <v>1584</v>
      </c>
      <c r="W496">
        <f t="shared" si="53"/>
        <v>2563.80666666667</v>
      </c>
      <c r="X496">
        <f t="shared" si="56"/>
        <v>0.520111663542261</v>
      </c>
      <c r="AH496" t="str">
        <f t="shared" si="55"/>
        <v>3rd Quality</v>
      </c>
      <c r="AJ496">
        <f>((T496-X496)*2)/26.6</f>
        <v>19.53498818661</v>
      </c>
      <c r="AK496">
        <f t="shared" si="54"/>
        <v>265802.499090909</v>
      </c>
    </row>
    <row r="497" spans="1:37">
      <c r="A497" t="s">
        <v>560</v>
      </c>
      <c r="B497">
        <v>36</v>
      </c>
      <c r="C497" t="s">
        <v>44</v>
      </c>
      <c r="D497" t="s">
        <v>45</v>
      </c>
      <c r="E497">
        <v>1079</v>
      </c>
      <c r="F497">
        <v>45</v>
      </c>
      <c r="G497">
        <v>7</v>
      </c>
      <c r="H497">
        <v>11107.07</v>
      </c>
      <c r="I497">
        <v>73785.94</v>
      </c>
      <c r="J497">
        <v>26</v>
      </c>
      <c r="K497">
        <v>0</v>
      </c>
      <c r="L497">
        <v>6</v>
      </c>
      <c r="M497">
        <v>17.4</v>
      </c>
      <c r="N497" t="s">
        <v>81</v>
      </c>
      <c r="O497" t="s">
        <v>47</v>
      </c>
      <c r="P497" t="s">
        <v>58</v>
      </c>
      <c r="R497">
        <f>SUMIF(A497:A5496,"C00496",I497:I5496)</f>
        <v>73785.94</v>
      </c>
      <c r="S497" s="1">
        <v>73785.94</v>
      </c>
      <c r="T497">
        <f t="shared" si="50"/>
        <v>2837.92076923077</v>
      </c>
      <c r="U497">
        <f t="shared" si="51"/>
        <v>452.4</v>
      </c>
      <c r="V497">
        <f t="shared" si="52"/>
        <v>37.7</v>
      </c>
      <c r="W497">
        <f t="shared" si="53"/>
        <v>28298.0033333333</v>
      </c>
      <c r="X497">
        <f t="shared" si="56"/>
        <v>0.0971453317571601</v>
      </c>
      <c r="AH497" t="str">
        <f t="shared" si="55"/>
        <v>2nd Quality</v>
      </c>
      <c r="AJ497">
        <f>((T497-X497)*2)/6</f>
        <v>945.941207966338</v>
      </c>
      <c r="AK497">
        <f t="shared" si="54"/>
        <v>3062116.51</v>
      </c>
    </row>
    <row r="498" spans="1:37">
      <c r="A498" t="s">
        <v>561</v>
      </c>
      <c r="B498">
        <v>30</v>
      </c>
      <c r="C498" t="s">
        <v>44</v>
      </c>
      <c r="D498" t="s">
        <v>51</v>
      </c>
      <c r="E498">
        <v>727</v>
      </c>
      <c r="F498">
        <v>64</v>
      </c>
      <c r="G498">
        <v>7</v>
      </c>
      <c r="H498">
        <v>655.78</v>
      </c>
      <c r="I498">
        <v>4928.2</v>
      </c>
      <c r="J498">
        <v>50</v>
      </c>
      <c r="K498">
        <v>0</v>
      </c>
      <c r="L498">
        <v>13.5</v>
      </c>
      <c r="M498">
        <v>57.4</v>
      </c>
      <c r="N498" t="s">
        <v>63</v>
      </c>
      <c r="O498" t="s">
        <v>53</v>
      </c>
      <c r="P498" t="s">
        <v>58</v>
      </c>
      <c r="R498">
        <f>SUMIF(A498:A5497,"C00497",I498:I5497)</f>
        <v>4928.2</v>
      </c>
      <c r="S498" s="1">
        <v>4928.2</v>
      </c>
      <c r="T498">
        <f t="shared" si="50"/>
        <v>98.564</v>
      </c>
      <c r="U498">
        <f t="shared" si="51"/>
        <v>2870</v>
      </c>
      <c r="V498">
        <f t="shared" si="52"/>
        <v>239.166666666667</v>
      </c>
      <c r="W498">
        <f t="shared" si="53"/>
        <v>1861.66</v>
      </c>
      <c r="X498">
        <f t="shared" si="56"/>
        <v>1.10860349507457</v>
      </c>
      <c r="AH498" t="str">
        <f t="shared" si="55"/>
        <v>3rd Quality</v>
      </c>
      <c r="AJ498">
        <f>((T498-X498)*2)/13.5</f>
        <v>14.4378365192482</v>
      </c>
      <c r="AK498">
        <f t="shared" si="54"/>
        <v>71656.028</v>
      </c>
    </row>
    <row r="499" spans="1:37">
      <c r="A499" t="s">
        <v>562</v>
      </c>
      <c r="B499">
        <v>18</v>
      </c>
      <c r="C499" t="s">
        <v>44</v>
      </c>
      <c r="D499" t="s">
        <v>60</v>
      </c>
      <c r="E499">
        <v>1041</v>
      </c>
      <c r="F499">
        <v>15</v>
      </c>
      <c r="G499">
        <v>3</v>
      </c>
      <c r="H499">
        <v>11387.86</v>
      </c>
      <c r="I499">
        <v>37160.76</v>
      </c>
      <c r="J499">
        <v>26</v>
      </c>
      <c r="K499">
        <v>1</v>
      </c>
      <c r="L499">
        <v>0</v>
      </c>
      <c r="M499">
        <v>58</v>
      </c>
      <c r="N499" t="s">
        <v>63</v>
      </c>
      <c r="O499" t="s">
        <v>53</v>
      </c>
      <c r="P499" t="s">
        <v>68</v>
      </c>
      <c r="R499">
        <f>SUMIF(A499:A5498,"C00498",I499:I5498)</f>
        <v>37160.76</v>
      </c>
      <c r="S499" s="1">
        <v>37160.76</v>
      </c>
      <c r="T499">
        <f t="shared" si="50"/>
        <v>1429.26</v>
      </c>
      <c r="U499">
        <f t="shared" si="51"/>
        <v>1508</v>
      </c>
      <c r="V499">
        <f>U499*1</f>
        <v>1508</v>
      </c>
      <c r="W499">
        <f t="shared" si="53"/>
        <v>16183.2066666667</v>
      </c>
      <c r="X499">
        <f t="shared" si="56"/>
        <v>0.0914131364453023</v>
      </c>
      <c r="AH499" t="str">
        <f t="shared" si="55"/>
        <v>1st Quality</v>
      </c>
      <c r="AJ499">
        <f>((T499-X499)*2)</f>
        <v>2858.33717372711</v>
      </c>
      <c r="AK499">
        <f t="shared" si="54"/>
        <v>1487859.66</v>
      </c>
    </row>
    <row r="500" spans="1:37">
      <c r="A500" t="s">
        <v>563</v>
      </c>
      <c r="B500">
        <v>32</v>
      </c>
      <c r="C500" t="s">
        <v>101</v>
      </c>
      <c r="D500" t="s">
        <v>51</v>
      </c>
      <c r="E500">
        <v>690</v>
      </c>
      <c r="F500">
        <v>52</v>
      </c>
      <c r="G500">
        <v>6</v>
      </c>
      <c r="H500">
        <v>1789.7</v>
      </c>
      <c r="I500">
        <v>10437.92</v>
      </c>
      <c r="J500">
        <v>43</v>
      </c>
      <c r="K500">
        <v>0</v>
      </c>
      <c r="L500">
        <v>29.4</v>
      </c>
      <c r="M500">
        <v>22.6</v>
      </c>
      <c r="N500" t="s">
        <v>61</v>
      </c>
      <c r="O500" t="s">
        <v>53</v>
      </c>
      <c r="P500" t="s">
        <v>58</v>
      </c>
      <c r="R500">
        <f>SUMIF(A500:A5499,"C00499",I500:I5499)</f>
        <v>10437.92</v>
      </c>
      <c r="S500" s="1">
        <v>10437.92</v>
      </c>
      <c r="T500">
        <f t="shared" si="50"/>
        <v>242.742325581395</v>
      </c>
      <c r="U500">
        <f t="shared" si="51"/>
        <v>971.8</v>
      </c>
      <c r="V500">
        <f t="shared" si="52"/>
        <v>80.9833333333333</v>
      </c>
      <c r="W500">
        <f t="shared" si="53"/>
        <v>4076.20666666667</v>
      </c>
      <c r="X500">
        <f t="shared" si="56"/>
        <v>0.385539475889814</v>
      </c>
      <c r="AH500" t="str">
        <f t="shared" si="55"/>
        <v>3rd Quality</v>
      </c>
      <c r="AJ500">
        <f>((T500-X500)*2)/29.4</f>
        <v>16.4868561976534</v>
      </c>
      <c r="AK500">
        <f t="shared" si="54"/>
        <v>167492.204651163</v>
      </c>
    </row>
    <row r="501" spans="1:37">
      <c r="A501" t="s">
        <v>564</v>
      </c>
      <c r="B501">
        <v>30</v>
      </c>
      <c r="C501" t="s">
        <v>44</v>
      </c>
      <c r="D501" t="s">
        <v>60</v>
      </c>
      <c r="E501">
        <v>834</v>
      </c>
      <c r="F501">
        <v>72</v>
      </c>
      <c r="G501">
        <v>1</v>
      </c>
      <c r="H501">
        <v>8687.81</v>
      </c>
      <c r="I501">
        <v>9205.31</v>
      </c>
      <c r="J501">
        <v>15</v>
      </c>
      <c r="K501">
        <v>0</v>
      </c>
      <c r="L501">
        <v>1.7</v>
      </c>
      <c r="M501">
        <v>16.3</v>
      </c>
      <c r="N501" t="s">
        <v>52</v>
      </c>
      <c r="O501" t="s">
        <v>53</v>
      </c>
      <c r="P501" t="s">
        <v>68</v>
      </c>
      <c r="R501">
        <f>SUMIF(A501:A5500,"C00500",I501:I5500)</f>
        <v>9205.31</v>
      </c>
      <c r="S501" s="1">
        <v>9205.31</v>
      </c>
      <c r="T501">
        <f t="shared" si="50"/>
        <v>613.687333333333</v>
      </c>
      <c r="U501">
        <f t="shared" si="51"/>
        <v>244.5</v>
      </c>
      <c r="V501">
        <f t="shared" si="52"/>
        <v>20.375</v>
      </c>
      <c r="W501">
        <f t="shared" si="53"/>
        <v>5964.70666666667</v>
      </c>
      <c r="X501">
        <f t="shared" si="56"/>
        <v>0.0959965745107225</v>
      </c>
      <c r="AH501" t="str">
        <f t="shared" si="55"/>
        <v>3rd Quality</v>
      </c>
      <c r="AJ501">
        <f>((T501-X501)*2)/1.7</f>
        <v>721.872160892732</v>
      </c>
      <c r="AK501">
        <f t="shared" si="54"/>
        <v>511815.236</v>
      </c>
    </row>
    <row r="502" spans="1:37">
      <c r="A502" t="s">
        <v>565</v>
      </c>
      <c r="B502">
        <v>56</v>
      </c>
      <c r="C502" t="s">
        <v>50</v>
      </c>
      <c r="D502" t="s">
        <v>51</v>
      </c>
      <c r="E502">
        <v>401</v>
      </c>
      <c r="F502">
        <v>53</v>
      </c>
      <c r="G502">
        <v>4</v>
      </c>
      <c r="H502">
        <v>922.4</v>
      </c>
      <c r="I502">
        <v>4016.75</v>
      </c>
      <c r="J502">
        <v>32</v>
      </c>
      <c r="K502">
        <v>0</v>
      </c>
      <c r="L502">
        <v>37.1</v>
      </c>
      <c r="M502">
        <v>8.2</v>
      </c>
      <c r="N502" t="s">
        <v>61</v>
      </c>
      <c r="O502" t="s">
        <v>75</v>
      </c>
      <c r="P502" t="s">
        <v>58</v>
      </c>
      <c r="R502">
        <f>SUMIF(A502:A5501,"C00502",I502:I5501)</f>
        <v>1374.16</v>
      </c>
      <c r="S502" s="1">
        <v>4016.75</v>
      </c>
      <c r="T502">
        <f t="shared" si="50"/>
        <v>125.5234375</v>
      </c>
      <c r="U502">
        <f t="shared" si="51"/>
        <v>262.4</v>
      </c>
      <c r="V502">
        <f t="shared" si="52"/>
        <v>21.8666666666667</v>
      </c>
      <c r="W502">
        <f t="shared" si="53"/>
        <v>1646.71666666667</v>
      </c>
      <c r="X502">
        <f t="shared" si="56"/>
        <v>0.434735472679965</v>
      </c>
      <c r="AH502" t="str">
        <f t="shared" si="55"/>
        <v>3rd Quality</v>
      </c>
      <c r="AJ502">
        <f>((T502-X502)*2)/37.1</f>
        <v>6.74332625484205</v>
      </c>
      <c r="AK502">
        <f t="shared" si="54"/>
        <v>50334.8984375</v>
      </c>
    </row>
    <row r="503" spans="1:37">
      <c r="A503" t="s">
        <v>566</v>
      </c>
      <c r="B503">
        <v>36</v>
      </c>
      <c r="C503" t="s">
        <v>50</v>
      </c>
      <c r="D503" t="s">
        <v>51</v>
      </c>
      <c r="E503">
        <v>517</v>
      </c>
      <c r="F503">
        <v>28</v>
      </c>
      <c r="G503">
        <v>1</v>
      </c>
      <c r="H503">
        <v>1414.71</v>
      </c>
      <c r="I503">
        <v>1374.16</v>
      </c>
      <c r="J503">
        <v>15</v>
      </c>
      <c r="K503">
        <v>0</v>
      </c>
      <c r="L503">
        <v>14.5</v>
      </c>
      <c r="M503">
        <v>7.9</v>
      </c>
      <c r="N503" t="s">
        <v>61</v>
      </c>
      <c r="O503" t="s">
        <v>47</v>
      </c>
      <c r="P503" t="s">
        <v>58</v>
      </c>
      <c r="R503">
        <f>SUMIF(A503:A5502,"C00503",I503:I5502)</f>
        <v>1484.23</v>
      </c>
      <c r="S503" s="1">
        <v>1374.16</v>
      </c>
      <c r="T503">
        <f t="shared" si="50"/>
        <v>91.6106666666667</v>
      </c>
      <c r="U503">
        <f t="shared" si="51"/>
        <v>118.5</v>
      </c>
      <c r="V503">
        <f t="shared" si="52"/>
        <v>9.875</v>
      </c>
      <c r="W503">
        <f t="shared" si="53"/>
        <v>929.956666666667</v>
      </c>
      <c r="X503">
        <f t="shared" si="56"/>
        <v>0.365445921779022</v>
      </c>
      <c r="AH503" t="str">
        <f t="shared" si="55"/>
        <v>3rd Quality</v>
      </c>
      <c r="AJ503">
        <f>((T503-X503)*2)/14.5</f>
        <v>12.58554768895</v>
      </c>
      <c r="AK503">
        <f t="shared" si="54"/>
        <v>47362.7146666667</v>
      </c>
    </row>
    <row r="504" spans="1:37">
      <c r="A504" t="s">
        <v>567</v>
      </c>
      <c r="B504">
        <v>19</v>
      </c>
      <c r="C504" t="s">
        <v>50</v>
      </c>
      <c r="D504" t="s">
        <v>60</v>
      </c>
      <c r="E504">
        <v>482</v>
      </c>
      <c r="F504">
        <v>12</v>
      </c>
      <c r="G504">
        <v>1</v>
      </c>
      <c r="H504">
        <v>1615.79</v>
      </c>
      <c r="I504">
        <v>1484.23</v>
      </c>
      <c r="J504">
        <v>12</v>
      </c>
      <c r="K504">
        <v>0</v>
      </c>
      <c r="L504">
        <v>16.2</v>
      </c>
      <c r="M504">
        <v>16.6</v>
      </c>
      <c r="N504" t="s">
        <v>61</v>
      </c>
      <c r="O504" t="s">
        <v>53</v>
      </c>
      <c r="P504" t="s">
        <v>58</v>
      </c>
      <c r="R504">
        <f>SUMIF(A504:A5503,"C00504",I504:I5503)</f>
        <v>67713.51</v>
      </c>
      <c r="S504" s="1">
        <v>1484.23</v>
      </c>
      <c r="T504">
        <f t="shared" si="50"/>
        <v>123.685833333333</v>
      </c>
      <c r="U504">
        <f t="shared" si="51"/>
        <v>199.2</v>
      </c>
      <c r="V504">
        <f t="shared" si="52"/>
        <v>16.6</v>
      </c>
      <c r="W504">
        <f t="shared" si="53"/>
        <v>1033.67333333333</v>
      </c>
      <c r="X504">
        <f t="shared" si="56"/>
        <v>0.298306091756973</v>
      </c>
      <c r="AH504" t="str">
        <f t="shared" si="55"/>
        <v>3rd Quality</v>
      </c>
      <c r="AJ504">
        <f>((T504-X504)*2)/16.2</f>
        <v>15.2330280545156</v>
      </c>
      <c r="AK504">
        <f t="shared" si="54"/>
        <v>59616.5716666667</v>
      </c>
    </row>
    <row r="505" spans="1:37">
      <c r="A505" t="s">
        <v>568</v>
      </c>
      <c r="B505">
        <v>37</v>
      </c>
      <c r="C505" t="s">
        <v>44</v>
      </c>
      <c r="D505" t="s">
        <v>45</v>
      </c>
      <c r="E505">
        <v>396</v>
      </c>
      <c r="F505">
        <v>23</v>
      </c>
      <c r="G505">
        <v>5</v>
      </c>
      <c r="H505">
        <v>13984.32</v>
      </c>
      <c r="I505">
        <v>67713.51</v>
      </c>
      <c r="J505">
        <v>24</v>
      </c>
      <c r="K505">
        <v>0</v>
      </c>
      <c r="L505">
        <v>7.4</v>
      </c>
      <c r="M505">
        <v>7.1</v>
      </c>
      <c r="N505" t="s">
        <v>46</v>
      </c>
      <c r="O505" t="s">
        <v>75</v>
      </c>
      <c r="P505" t="s">
        <v>58</v>
      </c>
      <c r="R505">
        <f>SUMIF(A505:A5504,"C00505",I505:I5504)</f>
        <v>14412.73</v>
      </c>
      <c r="S505" s="1">
        <v>67713.51</v>
      </c>
      <c r="T505">
        <f t="shared" si="50"/>
        <v>2821.39625</v>
      </c>
      <c r="U505">
        <f t="shared" si="51"/>
        <v>170.4</v>
      </c>
      <c r="V505">
        <f t="shared" si="52"/>
        <v>14.2</v>
      </c>
      <c r="W505">
        <f t="shared" si="53"/>
        <v>27232.9433333333</v>
      </c>
      <c r="X505">
        <f t="shared" si="56"/>
        <v>0.0283174298070982</v>
      </c>
      <c r="AH505" t="str">
        <f t="shared" si="55"/>
        <v>3rd Quality</v>
      </c>
      <c r="AJ505">
        <f>((T505-X505)*2)/7.4</f>
        <v>762.53187366762</v>
      </c>
      <c r="AK505">
        <f t="shared" si="54"/>
        <v>1117272.915</v>
      </c>
    </row>
    <row r="506" spans="1:37">
      <c r="A506" t="s">
        <v>569</v>
      </c>
      <c r="B506">
        <v>38</v>
      </c>
      <c r="C506" t="s">
        <v>50</v>
      </c>
      <c r="D506" t="s">
        <v>45</v>
      </c>
      <c r="E506">
        <v>737</v>
      </c>
      <c r="F506">
        <v>12</v>
      </c>
      <c r="G506">
        <v>1</v>
      </c>
      <c r="H506">
        <v>16104.86</v>
      </c>
      <c r="I506">
        <v>14412.73</v>
      </c>
      <c r="J506">
        <v>12</v>
      </c>
      <c r="K506">
        <v>0</v>
      </c>
      <c r="L506">
        <v>2.2</v>
      </c>
      <c r="M506">
        <v>43.9</v>
      </c>
      <c r="N506" t="s">
        <v>61</v>
      </c>
      <c r="O506" t="s">
        <v>53</v>
      </c>
      <c r="P506" t="s">
        <v>66</v>
      </c>
      <c r="R506">
        <f>SUMIF(A506:A5505,"C00506",I506:I5505)</f>
        <v>1398.01</v>
      </c>
      <c r="S506" s="1">
        <v>14412.73</v>
      </c>
      <c r="T506">
        <f t="shared" si="50"/>
        <v>1201.06083333333</v>
      </c>
      <c r="U506">
        <f t="shared" si="51"/>
        <v>526.8</v>
      </c>
      <c r="V506">
        <f t="shared" si="52"/>
        <v>43.9</v>
      </c>
      <c r="W506">
        <f t="shared" si="53"/>
        <v>10172.8633333333</v>
      </c>
      <c r="X506">
        <f t="shared" si="56"/>
        <v>0.0457625834685927</v>
      </c>
      <c r="AH506" t="str">
        <f t="shared" si="55"/>
        <v>2nd Quality</v>
      </c>
      <c r="AJ506">
        <f>((T506-X506)*2)/2.2</f>
        <v>1091.83188249987</v>
      </c>
      <c r="AK506">
        <f t="shared" si="54"/>
        <v>885181.834166667</v>
      </c>
    </row>
    <row r="507" spans="1:37">
      <c r="A507" t="s">
        <v>570</v>
      </c>
      <c r="B507">
        <v>29</v>
      </c>
      <c r="C507" t="s">
        <v>56</v>
      </c>
      <c r="D507" t="s">
        <v>45</v>
      </c>
      <c r="E507">
        <v>652</v>
      </c>
      <c r="F507">
        <v>150</v>
      </c>
      <c r="G507">
        <v>3</v>
      </c>
      <c r="H507">
        <v>524.46</v>
      </c>
      <c r="I507">
        <v>1398.01</v>
      </c>
      <c r="J507">
        <v>23</v>
      </c>
      <c r="K507">
        <v>1</v>
      </c>
      <c r="L507">
        <v>17.7</v>
      </c>
      <c r="M507">
        <v>39.4</v>
      </c>
      <c r="N507" t="s">
        <v>61</v>
      </c>
      <c r="O507" t="s">
        <v>53</v>
      </c>
      <c r="P507" t="s">
        <v>68</v>
      </c>
      <c r="R507">
        <f>SUMIF(A507:A5506,"C00507",I507:I5506)</f>
        <v>14379.32</v>
      </c>
      <c r="S507" s="1">
        <v>1398.01</v>
      </c>
      <c r="T507">
        <f t="shared" si="50"/>
        <v>60.7830434782609</v>
      </c>
      <c r="U507">
        <f t="shared" si="51"/>
        <v>906.2</v>
      </c>
      <c r="V507">
        <f>U507*1</f>
        <v>906.2</v>
      </c>
      <c r="W507">
        <f t="shared" si="53"/>
        <v>641.156666666667</v>
      </c>
      <c r="X507">
        <f t="shared" si="56"/>
        <v>1.24318346489723</v>
      </c>
      <c r="AH507" t="str">
        <f t="shared" si="55"/>
        <v>3rd Quality</v>
      </c>
      <c r="AJ507">
        <f>((T507-X507)*2)/17.7</f>
        <v>6.72766779812019</v>
      </c>
      <c r="AK507">
        <f t="shared" si="54"/>
        <v>39630.5443478261</v>
      </c>
    </row>
    <row r="508" spans="1:37">
      <c r="A508" t="s">
        <v>571</v>
      </c>
      <c r="B508">
        <v>31</v>
      </c>
      <c r="C508" t="s">
        <v>44</v>
      </c>
      <c r="D508" t="s">
        <v>45</v>
      </c>
      <c r="E508">
        <v>649</v>
      </c>
      <c r="F508">
        <v>50</v>
      </c>
      <c r="G508">
        <v>12</v>
      </c>
      <c r="H508">
        <v>1111.6</v>
      </c>
      <c r="I508">
        <v>14379.32</v>
      </c>
      <c r="J508">
        <v>79</v>
      </c>
      <c r="K508">
        <v>1</v>
      </c>
      <c r="L508">
        <v>15.9</v>
      </c>
      <c r="M508">
        <v>24</v>
      </c>
      <c r="N508" t="s">
        <v>46</v>
      </c>
      <c r="O508" t="s">
        <v>75</v>
      </c>
      <c r="P508" t="s">
        <v>66</v>
      </c>
      <c r="R508">
        <f>SUMIF(A508:A5507,"C00508",I508:I5507)</f>
        <v>2520.81</v>
      </c>
      <c r="S508" s="1">
        <v>14379.32</v>
      </c>
      <c r="T508">
        <f t="shared" si="50"/>
        <v>182.016708860759</v>
      </c>
      <c r="U508">
        <f t="shared" si="51"/>
        <v>1896</v>
      </c>
      <c r="V508">
        <f>U508*1</f>
        <v>1896</v>
      </c>
      <c r="W508">
        <f t="shared" si="53"/>
        <v>5163.97333333333</v>
      </c>
      <c r="X508">
        <f t="shared" si="56"/>
        <v>0.583843109032026</v>
      </c>
      <c r="AH508" t="str">
        <f t="shared" si="55"/>
        <v>3rd Quality</v>
      </c>
      <c r="AJ508">
        <f>((T508-X508)*2)/15.9</f>
        <v>22.8217441197141</v>
      </c>
      <c r="AK508">
        <f t="shared" si="54"/>
        <v>118128.844050633</v>
      </c>
    </row>
    <row r="509" spans="1:37">
      <c r="A509" t="s">
        <v>572</v>
      </c>
      <c r="B509">
        <v>41</v>
      </c>
      <c r="C509" t="s">
        <v>50</v>
      </c>
      <c r="D509" t="s">
        <v>60</v>
      </c>
      <c r="E509">
        <v>373</v>
      </c>
      <c r="F509">
        <v>16</v>
      </c>
      <c r="G509">
        <v>5</v>
      </c>
      <c r="H509">
        <v>464.81</v>
      </c>
      <c r="I509">
        <v>2520.81</v>
      </c>
      <c r="J509">
        <v>30</v>
      </c>
      <c r="K509">
        <v>0</v>
      </c>
      <c r="L509">
        <v>22.3</v>
      </c>
      <c r="M509">
        <v>9.3</v>
      </c>
      <c r="N509" t="s">
        <v>63</v>
      </c>
      <c r="O509" t="s">
        <v>75</v>
      </c>
      <c r="P509" t="s">
        <v>66</v>
      </c>
      <c r="R509">
        <f>SUMIF(A509:A5508,"C00509",I509:I5508)</f>
        <v>19778.62</v>
      </c>
      <c r="S509" s="1">
        <v>2520.81</v>
      </c>
      <c r="T509">
        <f t="shared" si="50"/>
        <v>84.027</v>
      </c>
      <c r="U509">
        <f t="shared" si="51"/>
        <v>279</v>
      </c>
      <c r="V509">
        <f t="shared" si="52"/>
        <v>23.25</v>
      </c>
      <c r="W509">
        <f t="shared" si="53"/>
        <v>995.54</v>
      </c>
      <c r="X509">
        <f t="shared" si="56"/>
        <v>0.802478432047503</v>
      </c>
      <c r="AH509" t="str">
        <f t="shared" si="55"/>
        <v>3rd Quality</v>
      </c>
      <c r="AJ509">
        <f>((T509-X509)*2)/22.3</f>
        <v>7.4640826518343</v>
      </c>
      <c r="AK509">
        <f t="shared" si="54"/>
        <v>31342.071</v>
      </c>
    </row>
    <row r="510" spans="1:37">
      <c r="A510" t="s">
        <v>573</v>
      </c>
      <c r="B510">
        <v>22</v>
      </c>
      <c r="C510" t="s">
        <v>44</v>
      </c>
      <c r="D510" t="s">
        <v>60</v>
      </c>
      <c r="E510">
        <v>1228</v>
      </c>
      <c r="F510">
        <v>70</v>
      </c>
      <c r="G510">
        <v>1</v>
      </c>
      <c r="H510">
        <v>19103.18</v>
      </c>
      <c r="I510">
        <v>19778.62</v>
      </c>
      <c r="J510">
        <v>19</v>
      </c>
      <c r="K510">
        <v>0</v>
      </c>
      <c r="L510">
        <v>5.8</v>
      </c>
      <c r="M510">
        <v>25.3</v>
      </c>
      <c r="N510" t="s">
        <v>81</v>
      </c>
      <c r="O510" t="s">
        <v>53</v>
      </c>
      <c r="P510" t="s">
        <v>58</v>
      </c>
      <c r="R510">
        <f>SUMIF(A510:A5509,"C00510",I510:I5509)</f>
        <v>43528.48</v>
      </c>
      <c r="S510" s="1">
        <v>19778.62</v>
      </c>
      <c r="T510">
        <f t="shared" si="50"/>
        <v>1040.98</v>
      </c>
      <c r="U510">
        <f t="shared" si="51"/>
        <v>480.7</v>
      </c>
      <c r="V510">
        <f t="shared" si="52"/>
        <v>40.0583333333333</v>
      </c>
      <c r="W510">
        <f t="shared" si="53"/>
        <v>12960.9333333333</v>
      </c>
      <c r="X510">
        <f t="shared" si="56"/>
        <v>0.0642824911873311</v>
      </c>
      <c r="AH510" t="str">
        <f t="shared" si="55"/>
        <v>1st Quality</v>
      </c>
      <c r="AJ510">
        <f>((T510-X510)*2)/5.8</f>
        <v>358.936454313384</v>
      </c>
      <c r="AK510">
        <f t="shared" si="54"/>
        <v>1278323.44</v>
      </c>
    </row>
    <row r="511" spans="1:37">
      <c r="A511" t="s">
        <v>574</v>
      </c>
      <c r="B511">
        <v>53</v>
      </c>
      <c r="C511" t="s">
        <v>44</v>
      </c>
      <c r="D511" t="s">
        <v>60</v>
      </c>
      <c r="E511">
        <v>1405</v>
      </c>
      <c r="F511">
        <v>6</v>
      </c>
      <c r="G511">
        <v>9</v>
      </c>
      <c r="H511">
        <v>4455.09</v>
      </c>
      <c r="I511">
        <v>43528.48</v>
      </c>
      <c r="J511">
        <v>41</v>
      </c>
      <c r="K511">
        <v>1</v>
      </c>
      <c r="L511">
        <v>16.8</v>
      </c>
      <c r="M511">
        <v>64.4</v>
      </c>
      <c r="N511" t="s">
        <v>78</v>
      </c>
      <c r="O511" t="s">
        <v>75</v>
      </c>
      <c r="P511" t="s">
        <v>58</v>
      </c>
      <c r="R511">
        <f>SUMIF(A511:A5510,"C00511",I511:I5510)</f>
        <v>38003.03</v>
      </c>
      <c r="S511" s="1">
        <v>43528.48</v>
      </c>
      <c r="T511">
        <f t="shared" si="50"/>
        <v>1061.67024390244</v>
      </c>
      <c r="U511">
        <f t="shared" si="51"/>
        <v>2640.4</v>
      </c>
      <c r="V511">
        <f>U511*1</f>
        <v>2640.4</v>
      </c>
      <c r="W511">
        <f t="shared" si="53"/>
        <v>15994.8566666667</v>
      </c>
      <c r="X511">
        <f t="shared" si="56"/>
        <v>0.315369610939397</v>
      </c>
      <c r="AH511" t="str">
        <f t="shared" si="55"/>
        <v>3rd Quality</v>
      </c>
      <c r="AJ511">
        <f>((T511-X511)*2)/16.8</f>
        <v>126.351770748988</v>
      </c>
      <c r="AK511">
        <f t="shared" si="54"/>
        <v>1491646.69268293</v>
      </c>
    </row>
    <row r="512" spans="1:37">
      <c r="A512" t="s">
        <v>575</v>
      </c>
      <c r="B512">
        <v>45</v>
      </c>
      <c r="C512" t="s">
        <v>50</v>
      </c>
      <c r="D512" t="s">
        <v>60</v>
      </c>
      <c r="E512">
        <v>1175</v>
      </c>
      <c r="F512">
        <v>4</v>
      </c>
      <c r="G512">
        <v>23</v>
      </c>
      <c r="H512">
        <v>1495.96</v>
      </c>
      <c r="I512">
        <v>38003.03</v>
      </c>
      <c r="J512">
        <v>167</v>
      </c>
      <c r="K512">
        <v>3</v>
      </c>
      <c r="L512">
        <v>3.9</v>
      </c>
      <c r="M512">
        <v>22.9</v>
      </c>
      <c r="N512" t="s">
        <v>52</v>
      </c>
      <c r="O512" t="s">
        <v>75</v>
      </c>
      <c r="P512" t="s">
        <v>58</v>
      </c>
      <c r="R512">
        <f>SUMIF(A512:A5511,"C00512",I512:I5511)</f>
        <v>3466.09</v>
      </c>
      <c r="S512" s="1">
        <v>38003.03</v>
      </c>
      <c r="T512">
        <f t="shared" si="50"/>
        <v>227.563053892216</v>
      </c>
      <c r="U512">
        <f t="shared" si="51"/>
        <v>3824.3</v>
      </c>
      <c r="V512">
        <f>U512*3</f>
        <v>11472.9</v>
      </c>
      <c r="W512">
        <f t="shared" si="53"/>
        <v>13166.6633333333</v>
      </c>
      <c r="X512">
        <f t="shared" si="56"/>
        <v>0.785448808791679</v>
      </c>
      <c r="AH512" t="str">
        <f t="shared" si="55"/>
        <v>3rd Quality</v>
      </c>
      <c r="AJ512">
        <f>((T512-X512)*2)/3.9</f>
        <v>116.296207735089</v>
      </c>
      <c r="AK512">
        <f t="shared" si="54"/>
        <v>267386.588323353</v>
      </c>
    </row>
    <row r="513" spans="1:37">
      <c r="A513" t="s">
        <v>576</v>
      </c>
      <c r="B513">
        <v>38</v>
      </c>
      <c r="C513" t="s">
        <v>101</v>
      </c>
      <c r="D513" t="s">
        <v>45</v>
      </c>
      <c r="E513">
        <v>555</v>
      </c>
      <c r="F513">
        <v>127</v>
      </c>
      <c r="G513">
        <v>4</v>
      </c>
      <c r="H513">
        <v>829.41</v>
      </c>
      <c r="I513">
        <v>3466.09</v>
      </c>
      <c r="J513">
        <v>39</v>
      </c>
      <c r="K513">
        <v>0</v>
      </c>
      <c r="L513">
        <v>28.3</v>
      </c>
      <c r="M513">
        <v>26.3</v>
      </c>
      <c r="N513" t="s">
        <v>78</v>
      </c>
      <c r="O513" t="s">
        <v>47</v>
      </c>
      <c r="P513" t="s">
        <v>68</v>
      </c>
      <c r="R513">
        <f>SUMIF(A513:A5512,"C00513",I513:I5512)</f>
        <v>85241.3</v>
      </c>
      <c r="S513" s="1">
        <v>3466.09</v>
      </c>
      <c r="T513">
        <f t="shared" si="50"/>
        <v>88.8741025641026</v>
      </c>
      <c r="U513">
        <f t="shared" si="51"/>
        <v>1025.7</v>
      </c>
      <c r="V513">
        <f t="shared" si="52"/>
        <v>85.475</v>
      </c>
      <c r="W513">
        <f t="shared" si="53"/>
        <v>1432.16666666667</v>
      </c>
      <c r="X513">
        <f t="shared" si="56"/>
        <v>0.669150359894383</v>
      </c>
      <c r="AH513" t="str">
        <f t="shared" si="55"/>
        <v>3rd Quality</v>
      </c>
      <c r="AJ513">
        <f>((T513-X513)*2)/28.3</f>
        <v>6.23356552679917</v>
      </c>
      <c r="AK513">
        <f t="shared" si="54"/>
        <v>49325.1269230769</v>
      </c>
    </row>
    <row r="514" spans="1:37">
      <c r="A514" t="s">
        <v>577</v>
      </c>
      <c r="B514">
        <v>20</v>
      </c>
      <c r="C514" t="s">
        <v>44</v>
      </c>
      <c r="D514" t="s">
        <v>60</v>
      </c>
      <c r="E514">
        <v>1223</v>
      </c>
      <c r="F514">
        <v>7</v>
      </c>
      <c r="G514">
        <v>27</v>
      </c>
      <c r="H514">
        <v>2873.23</v>
      </c>
      <c r="I514">
        <v>85241.3</v>
      </c>
      <c r="J514">
        <v>196</v>
      </c>
      <c r="K514">
        <v>1</v>
      </c>
      <c r="L514">
        <v>10.7</v>
      </c>
      <c r="M514">
        <v>41.9</v>
      </c>
      <c r="N514" t="s">
        <v>78</v>
      </c>
      <c r="O514" t="s">
        <v>47</v>
      </c>
      <c r="P514" t="s">
        <v>58</v>
      </c>
      <c r="R514">
        <f>SUMIF(A514:A5513,"C00514",I514:I5513)</f>
        <v>18953.84</v>
      </c>
      <c r="S514" s="1">
        <v>85241.3</v>
      </c>
      <c r="T514">
        <f t="shared" si="50"/>
        <v>434.904591836735</v>
      </c>
      <c r="U514">
        <f t="shared" si="51"/>
        <v>8212.4</v>
      </c>
      <c r="V514">
        <f>U514*1</f>
        <v>8212.4</v>
      </c>
      <c r="W514">
        <f t="shared" si="53"/>
        <v>29371.8433333333</v>
      </c>
      <c r="X514">
        <f t="shared" si="56"/>
        <v>0.425653358763482</v>
      </c>
      <c r="AH514" t="str">
        <f t="shared" si="55"/>
        <v>1st Quality</v>
      </c>
      <c r="AJ514">
        <f>((T514-X514)*2)/10.7</f>
        <v>81.2110165379386</v>
      </c>
      <c r="AK514">
        <f t="shared" si="54"/>
        <v>531888.315816327</v>
      </c>
    </row>
    <row r="515" spans="1:37">
      <c r="A515" t="s">
        <v>578</v>
      </c>
      <c r="B515">
        <v>47</v>
      </c>
      <c r="C515" t="s">
        <v>50</v>
      </c>
      <c r="D515" t="s">
        <v>45</v>
      </c>
      <c r="E515">
        <v>659</v>
      </c>
      <c r="F515">
        <v>45</v>
      </c>
      <c r="G515">
        <v>17</v>
      </c>
      <c r="H515">
        <v>1012.93</v>
      </c>
      <c r="I515">
        <v>18953.84</v>
      </c>
      <c r="J515">
        <v>88</v>
      </c>
      <c r="K515">
        <v>0</v>
      </c>
      <c r="L515">
        <v>16.4</v>
      </c>
      <c r="M515">
        <v>31.8</v>
      </c>
      <c r="N515" t="s">
        <v>61</v>
      </c>
      <c r="O515" t="s">
        <v>47</v>
      </c>
      <c r="P515" t="s">
        <v>58</v>
      </c>
      <c r="R515">
        <f>SUMIF(A515:A5514,"C00515",I515:I5514)</f>
        <v>26504.11</v>
      </c>
      <c r="S515" s="1">
        <v>18953.84</v>
      </c>
      <c r="T515">
        <f t="shared" ref="T515:T578" si="57">I515/J515</f>
        <v>215.384545454545</v>
      </c>
      <c r="U515">
        <f t="shared" ref="U515:U578" si="58">J515*M515</f>
        <v>2798.4</v>
      </c>
      <c r="V515">
        <f t="shared" ref="V515:V578" si="59">U515/12</f>
        <v>233.2</v>
      </c>
      <c r="W515">
        <f t="shared" ref="W515:W578" si="60">(H515+I515+1)/3</f>
        <v>6655.92333333333</v>
      </c>
      <c r="X515">
        <f t="shared" si="56"/>
        <v>0.650587898472747</v>
      </c>
      <c r="AH515" t="str">
        <f t="shared" si="55"/>
        <v>3rd Quality</v>
      </c>
      <c r="AJ515">
        <f>((T515-X515)*2)/16.4</f>
        <v>26.187067994643</v>
      </c>
      <c r="AK515">
        <f t="shared" ref="AK515:AK578" si="61">I515/J515*E515</f>
        <v>141938.415454545</v>
      </c>
    </row>
    <row r="516" spans="1:37">
      <c r="A516" t="s">
        <v>579</v>
      </c>
      <c r="B516">
        <v>21</v>
      </c>
      <c r="C516" t="s">
        <v>44</v>
      </c>
      <c r="D516" t="s">
        <v>45</v>
      </c>
      <c r="E516">
        <v>698</v>
      </c>
      <c r="F516">
        <v>34</v>
      </c>
      <c r="G516">
        <v>14</v>
      </c>
      <c r="H516">
        <v>2001.49</v>
      </c>
      <c r="I516">
        <v>26504.11</v>
      </c>
      <c r="J516">
        <v>108</v>
      </c>
      <c r="K516">
        <v>3</v>
      </c>
      <c r="L516">
        <v>24.7</v>
      </c>
      <c r="M516">
        <v>47.7</v>
      </c>
      <c r="N516" t="s">
        <v>61</v>
      </c>
      <c r="O516" t="s">
        <v>47</v>
      </c>
      <c r="P516" t="s">
        <v>68</v>
      </c>
      <c r="R516">
        <f>SUMIF(A516:A5515,"C00516",I516:I5515)</f>
        <v>99009.88</v>
      </c>
      <c r="S516" s="1">
        <v>26504.11</v>
      </c>
      <c r="T516">
        <f t="shared" si="57"/>
        <v>245.408425925926</v>
      </c>
      <c r="U516">
        <f t="shared" si="58"/>
        <v>5151.6</v>
      </c>
      <c r="V516">
        <f>U516*3</f>
        <v>15454.8</v>
      </c>
      <c r="W516">
        <f t="shared" si="60"/>
        <v>9502.2</v>
      </c>
      <c r="X516">
        <f t="shared" si="56"/>
        <v>0.348740188559523</v>
      </c>
      <c r="AH516" t="str">
        <f t="shared" si="55"/>
        <v>2nd Quality</v>
      </c>
      <c r="AJ516">
        <f>((T516-X516)*2)/24.7</f>
        <v>19.84288953339</v>
      </c>
      <c r="AK516">
        <f t="shared" si="61"/>
        <v>171295.081296296</v>
      </c>
    </row>
    <row r="517" spans="1:37">
      <c r="A517" t="s">
        <v>580</v>
      </c>
      <c r="B517">
        <v>36</v>
      </c>
      <c r="C517" t="s">
        <v>50</v>
      </c>
      <c r="D517" t="s">
        <v>60</v>
      </c>
      <c r="E517">
        <v>1241</v>
      </c>
      <c r="F517">
        <v>26</v>
      </c>
      <c r="G517">
        <v>19</v>
      </c>
      <c r="H517">
        <v>4703.17</v>
      </c>
      <c r="I517">
        <v>99009.88</v>
      </c>
      <c r="J517">
        <v>140</v>
      </c>
      <c r="K517">
        <v>2</v>
      </c>
      <c r="L517">
        <v>16.7</v>
      </c>
      <c r="M517">
        <v>67.2</v>
      </c>
      <c r="N517" t="s">
        <v>52</v>
      </c>
      <c r="O517" t="s">
        <v>47</v>
      </c>
      <c r="P517" t="s">
        <v>68</v>
      </c>
      <c r="R517">
        <f>SUMIF(A517:A5516,"C00517",I517:I5516)</f>
        <v>15022.95</v>
      </c>
      <c r="S517" s="1">
        <v>99009.88</v>
      </c>
      <c r="T517">
        <f t="shared" si="57"/>
        <v>707.213428571429</v>
      </c>
      <c r="U517">
        <f t="shared" si="58"/>
        <v>9408</v>
      </c>
      <c r="V517">
        <f>U517*2</f>
        <v>18816</v>
      </c>
      <c r="W517">
        <f t="shared" si="60"/>
        <v>34571.35</v>
      </c>
      <c r="X517">
        <f t="shared" si="56"/>
        <v>0.263864584950151</v>
      </c>
      <c r="AH517" t="str">
        <f t="shared" si="55"/>
        <v>2nd Quality</v>
      </c>
      <c r="AJ517">
        <f>((T517-X517)*2)/16.7</f>
        <v>84.6646184414945</v>
      </c>
      <c r="AK517">
        <f t="shared" si="61"/>
        <v>877651.864857143</v>
      </c>
    </row>
    <row r="518" spans="1:37">
      <c r="A518" t="s">
        <v>581</v>
      </c>
      <c r="B518">
        <v>31</v>
      </c>
      <c r="C518" t="s">
        <v>56</v>
      </c>
      <c r="D518" t="s">
        <v>45</v>
      </c>
      <c r="E518">
        <v>599</v>
      </c>
      <c r="F518">
        <v>46</v>
      </c>
      <c r="G518">
        <v>9</v>
      </c>
      <c r="H518">
        <v>1495.55</v>
      </c>
      <c r="I518">
        <v>15022.95</v>
      </c>
      <c r="J518">
        <v>52</v>
      </c>
      <c r="K518">
        <v>0</v>
      </c>
      <c r="L518">
        <v>24.8</v>
      </c>
      <c r="M518">
        <v>27.1</v>
      </c>
      <c r="N518" t="s">
        <v>61</v>
      </c>
      <c r="O518" t="s">
        <v>47</v>
      </c>
      <c r="P518" t="s">
        <v>66</v>
      </c>
      <c r="R518">
        <f>SUMIF(A518:A5517,"C00518",I518:I5517)</f>
        <v>630.87</v>
      </c>
      <c r="S518" s="1">
        <v>15022.95</v>
      </c>
      <c r="T518">
        <f t="shared" si="57"/>
        <v>288.902884615385</v>
      </c>
      <c r="U518">
        <f t="shared" si="58"/>
        <v>1409.2</v>
      </c>
      <c r="V518">
        <f t="shared" si="59"/>
        <v>117.433333333333</v>
      </c>
      <c r="W518">
        <f t="shared" si="60"/>
        <v>5506.5</v>
      </c>
      <c r="X518">
        <f t="shared" si="56"/>
        <v>0.400521547256862</v>
      </c>
      <c r="AH518" t="str">
        <f t="shared" si="55"/>
        <v>3rd Quality</v>
      </c>
      <c r="AJ518">
        <f>((T518-X518)*2)/24.8</f>
        <v>23.2663196022684</v>
      </c>
      <c r="AK518">
        <f t="shared" si="61"/>
        <v>173052.827884615</v>
      </c>
    </row>
    <row r="519" spans="1:37">
      <c r="A519" t="s">
        <v>582</v>
      </c>
      <c r="B519">
        <v>41</v>
      </c>
      <c r="C519" t="s">
        <v>50</v>
      </c>
      <c r="D519" t="s">
        <v>60</v>
      </c>
      <c r="E519">
        <v>1455</v>
      </c>
      <c r="F519">
        <v>81</v>
      </c>
      <c r="G519">
        <v>1</v>
      </c>
      <c r="H519">
        <v>666.08</v>
      </c>
      <c r="I519">
        <v>630.87</v>
      </c>
      <c r="J519">
        <v>17</v>
      </c>
      <c r="K519">
        <v>0</v>
      </c>
      <c r="L519">
        <v>28.6</v>
      </c>
      <c r="M519">
        <v>81.2</v>
      </c>
      <c r="N519" t="s">
        <v>46</v>
      </c>
      <c r="O519" t="s">
        <v>47</v>
      </c>
      <c r="P519" t="s">
        <v>58</v>
      </c>
      <c r="R519">
        <f>SUMIF(A519:A5518,"C00519",I519:I5518)</f>
        <v>67406.53</v>
      </c>
      <c r="S519" s="1">
        <v>630.87</v>
      </c>
      <c r="T519">
        <f t="shared" si="57"/>
        <v>37.11</v>
      </c>
      <c r="U519">
        <f t="shared" si="58"/>
        <v>1380.4</v>
      </c>
      <c r="V519">
        <f t="shared" si="59"/>
        <v>115.033333333333</v>
      </c>
      <c r="W519">
        <f t="shared" si="60"/>
        <v>432.65</v>
      </c>
      <c r="X519">
        <f t="shared" si="56"/>
        <v>2.18442229161662</v>
      </c>
      <c r="AH519" t="str">
        <f t="shared" si="55"/>
        <v>3rd Quality</v>
      </c>
      <c r="AJ519">
        <f>((T519-X519)*2)/28.6</f>
        <v>2.44234809149534</v>
      </c>
      <c r="AK519">
        <f t="shared" si="61"/>
        <v>53995.05</v>
      </c>
    </row>
    <row r="520" spans="1:37">
      <c r="A520" t="s">
        <v>583</v>
      </c>
      <c r="B520">
        <v>30</v>
      </c>
      <c r="C520" t="s">
        <v>44</v>
      </c>
      <c r="D520" t="s">
        <v>51</v>
      </c>
      <c r="E520">
        <v>1304</v>
      </c>
      <c r="F520">
        <v>10</v>
      </c>
      <c r="G520">
        <v>26</v>
      </c>
      <c r="H520">
        <v>2515.61</v>
      </c>
      <c r="I520">
        <v>67406.53</v>
      </c>
      <c r="J520">
        <v>139</v>
      </c>
      <c r="K520">
        <v>1</v>
      </c>
      <c r="L520">
        <v>3.1</v>
      </c>
      <c r="M520">
        <v>21.1</v>
      </c>
      <c r="N520" t="s">
        <v>57</v>
      </c>
      <c r="O520" t="s">
        <v>47</v>
      </c>
      <c r="P520" t="s">
        <v>58</v>
      </c>
      <c r="R520">
        <f>SUMIF(A520:A5519,"C00520",I520:I5519)</f>
        <v>806.27</v>
      </c>
      <c r="S520" s="1">
        <v>67406.53</v>
      </c>
      <c r="T520">
        <f t="shared" si="57"/>
        <v>484.939064748201</v>
      </c>
      <c r="U520">
        <f t="shared" si="58"/>
        <v>2932.9</v>
      </c>
      <c r="V520">
        <f>U520*1</f>
        <v>2932.9</v>
      </c>
      <c r="W520">
        <f t="shared" si="60"/>
        <v>23307.7133333333</v>
      </c>
      <c r="X520">
        <f t="shared" si="56"/>
        <v>0.518363339309352</v>
      </c>
      <c r="AH520" t="str">
        <f t="shared" si="55"/>
        <v>1st Quality</v>
      </c>
      <c r="AJ520">
        <f>((T520-X520)*2)/3.1</f>
        <v>312.52948477993</v>
      </c>
      <c r="AK520">
        <f t="shared" si="61"/>
        <v>632360.540431655</v>
      </c>
    </row>
    <row r="521" spans="1:37">
      <c r="A521" t="s">
        <v>584</v>
      </c>
      <c r="B521">
        <v>21</v>
      </c>
      <c r="C521" t="s">
        <v>50</v>
      </c>
      <c r="D521" t="s">
        <v>51</v>
      </c>
      <c r="E521">
        <v>1047</v>
      </c>
      <c r="F521">
        <v>205</v>
      </c>
      <c r="G521">
        <v>1</v>
      </c>
      <c r="H521">
        <v>864.31</v>
      </c>
      <c r="I521">
        <v>806.27</v>
      </c>
      <c r="J521">
        <v>13</v>
      </c>
      <c r="K521">
        <v>0</v>
      </c>
      <c r="L521">
        <v>28.2</v>
      </c>
      <c r="M521">
        <v>25.5</v>
      </c>
      <c r="N521" t="s">
        <v>61</v>
      </c>
      <c r="O521" t="s">
        <v>47</v>
      </c>
      <c r="P521" t="s">
        <v>68</v>
      </c>
      <c r="R521">
        <f>SUMIF(A521:A5520,"C00521",I521:I5520)</f>
        <v>2784.97</v>
      </c>
      <c r="S521" s="1">
        <v>806.27</v>
      </c>
      <c r="T521">
        <f t="shared" si="57"/>
        <v>62.0207692307692</v>
      </c>
      <c r="U521">
        <f t="shared" si="58"/>
        <v>331.5</v>
      </c>
      <c r="V521">
        <f t="shared" si="59"/>
        <v>27.625</v>
      </c>
      <c r="W521">
        <f t="shared" si="60"/>
        <v>557.193333333333</v>
      </c>
      <c r="X521">
        <f t="shared" si="56"/>
        <v>1.21137092015596</v>
      </c>
      <c r="AH521" t="str">
        <f t="shared" si="55"/>
        <v>3rd Quality</v>
      </c>
      <c r="AJ521">
        <f>((T521-X521)*2)/28.2</f>
        <v>4.31272328444066</v>
      </c>
      <c r="AK521">
        <f t="shared" si="61"/>
        <v>64935.7453846154</v>
      </c>
    </row>
    <row r="522" spans="1:37">
      <c r="A522" t="s">
        <v>585</v>
      </c>
      <c r="B522">
        <v>27</v>
      </c>
      <c r="C522" t="s">
        <v>50</v>
      </c>
      <c r="D522" t="s">
        <v>45</v>
      </c>
      <c r="E522">
        <v>920</v>
      </c>
      <c r="F522">
        <v>48</v>
      </c>
      <c r="G522">
        <v>4</v>
      </c>
      <c r="H522">
        <v>714.46</v>
      </c>
      <c r="I522">
        <v>2784.97</v>
      </c>
      <c r="J522">
        <v>33</v>
      </c>
      <c r="K522">
        <v>0</v>
      </c>
      <c r="L522">
        <v>23.7</v>
      </c>
      <c r="M522">
        <v>24.9</v>
      </c>
      <c r="N522" t="s">
        <v>57</v>
      </c>
      <c r="O522" t="s">
        <v>47</v>
      </c>
      <c r="P522" t="s">
        <v>66</v>
      </c>
      <c r="R522">
        <f>SUMIF(A522:A5521,"C00522",I522:I5521)</f>
        <v>9709.88</v>
      </c>
      <c r="S522" s="1">
        <v>2784.97</v>
      </c>
      <c r="T522">
        <f t="shared" si="57"/>
        <v>84.3930303030303</v>
      </c>
      <c r="U522">
        <f t="shared" si="58"/>
        <v>821.7</v>
      </c>
      <c r="V522">
        <f t="shared" si="59"/>
        <v>68.475</v>
      </c>
      <c r="W522">
        <f t="shared" si="60"/>
        <v>1166.81</v>
      </c>
      <c r="X522">
        <f t="shared" si="56"/>
        <v>1.28768580466366</v>
      </c>
      <c r="AH522" t="str">
        <f t="shared" si="55"/>
        <v>3rd Quality</v>
      </c>
      <c r="AJ522">
        <f>((T522-X522)*2)/23.7</f>
        <v>7.01310924036849</v>
      </c>
      <c r="AK522">
        <f t="shared" si="61"/>
        <v>77641.5878787879</v>
      </c>
    </row>
    <row r="523" spans="1:37">
      <c r="A523" t="s">
        <v>586</v>
      </c>
      <c r="B523">
        <v>30</v>
      </c>
      <c r="C523" t="s">
        <v>50</v>
      </c>
      <c r="D523" t="s">
        <v>51</v>
      </c>
      <c r="E523">
        <v>646</v>
      </c>
      <c r="F523">
        <v>59</v>
      </c>
      <c r="G523">
        <v>7</v>
      </c>
      <c r="H523">
        <v>1347.02</v>
      </c>
      <c r="I523">
        <v>9709.88</v>
      </c>
      <c r="J523">
        <v>41</v>
      </c>
      <c r="K523">
        <v>0</v>
      </c>
      <c r="L523">
        <v>17.9</v>
      </c>
      <c r="M523">
        <v>39.1</v>
      </c>
      <c r="N523" t="s">
        <v>52</v>
      </c>
      <c r="O523" t="s">
        <v>47</v>
      </c>
      <c r="P523" t="s">
        <v>58</v>
      </c>
      <c r="R523">
        <f>SUMIF(A523:A5522,"C00523",I523:I5522)</f>
        <v>70335.62</v>
      </c>
      <c r="S523" s="1">
        <v>9709.88</v>
      </c>
      <c r="T523">
        <f t="shared" si="57"/>
        <v>236.826341463415</v>
      </c>
      <c r="U523">
        <f t="shared" si="58"/>
        <v>1603.1</v>
      </c>
      <c r="V523">
        <f t="shared" si="59"/>
        <v>133.591666666667</v>
      </c>
      <c r="W523">
        <f t="shared" si="60"/>
        <v>3685.96666666667</v>
      </c>
      <c r="X523">
        <f t="shared" si="56"/>
        <v>0.479577140651215</v>
      </c>
      <c r="AH523" t="str">
        <f t="shared" si="55"/>
        <v>3rd Quality</v>
      </c>
      <c r="AJ523">
        <f>((T523-X523)*2)/17.9</f>
        <v>26.4074597008675</v>
      </c>
      <c r="AK523">
        <f t="shared" si="61"/>
        <v>152989.816585366</v>
      </c>
    </row>
    <row r="524" spans="1:37">
      <c r="A524" t="s">
        <v>587</v>
      </c>
      <c r="B524">
        <v>46</v>
      </c>
      <c r="C524" t="s">
        <v>50</v>
      </c>
      <c r="D524" t="s">
        <v>51</v>
      </c>
      <c r="E524">
        <v>1083</v>
      </c>
      <c r="F524">
        <v>11</v>
      </c>
      <c r="G524">
        <v>20</v>
      </c>
      <c r="H524">
        <v>3955.95</v>
      </c>
      <c r="I524">
        <v>70335.62</v>
      </c>
      <c r="J524">
        <v>87</v>
      </c>
      <c r="K524">
        <v>0</v>
      </c>
      <c r="L524">
        <v>8.1</v>
      </c>
      <c r="M524">
        <v>58.6</v>
      </c>
      <c r="N524" t="s">
        <v>61</v>
      </c>
      <c r="O524" t="s">
        <v>47</v>
      </c>
      <c r="P524" t="s">
        <v>58</v>
      </c>
      <c r="R524">
        <f>SUMIF(A524:A5523,"C00524",I524:I5523)</f>
        <v>32945.27</v>
      </c>
      <c r="S524" s="1">
        <v>70335.62</v>
      </c>
      <c r="T524">
        <f t="shared" si="57"/>
        <v>808.455402298851</v>
      </c>
      <c r="U524">
        <f t="shared" si="58"/>
        <v>5098.2</v>
      </c>
      <c r="V524">
        <f t="shared" si="59"/>
        <v>424.85</v>
      </c>
      <c r="W524">
        <f t="shared" si="60"/>
        <v>24764.19</v>
      </c>
      <c r="X524">
        <f t="shared" si="56"/>
        <v>0.27376483524817</v>
      </c>
      <c r="AH524" t="str">
        <f t="shared" si="55"/>
        <v>3rd Quality</v>
      </c>
      <c r="AJ524">
        <f>((T524-X524)*2)/8.1</f>
        <v>199.551021595951</v>
      </c>
      <c r="AK524">
        <f t="shared" si="61"/>
        <v>875557.200689655</v>
      </c>
    </row>
    <row r="525" spans="1:37">
      <c r="A525" t="s">
        <v>588</v>
      </c>
      <c r="B525">
        <v>34</v>
      </c>
      <c r="C525" t="s">
        <v>44</v>
      </c>
      <c r="D525" t="s">
        <v>45</v>
      </c>
      <c r="E525">
        <v>864</v>
      </c>
      <c r="F525">
        <v>33</v>
      </c>
      <c r="G525">
        <v>6</v>
      </c>
      <c r="H525">
        <v>5304.48</v>
      </c>
      <c r="I525">
        <v>32945.27</v>
      </c>
      <c r="J525">
        <v>21</v>
      </c>
      <c r="K525">
        <v>0</v>
      </c>
      <c r="L525">
        <v>4.5</v>
      </c>
      <c r="M525">
        <v>2</v>
      </c>
      <c r="N525" t="s">
        <v>52</v>
      </c>
      <c r="O525" t="s">
        <v>47</v>
      </c>
      <c r="P525" t="s">
        <v>58</v>
      </c>
      <c r="R525">
        <f>SUMIF(A525:A5524,"C00525",I525:I5524)</f>
        <v>83682.69</v>
      </c>
      <c r="S525" s="1">
        <v>32945.27</v>
      </c>
      <c r="T525">
        <f t="shared" si="57"/>
        <v>1568.82238095238</v>
      </c>
      <c r="U525">
        <f t="shared" si="58"/>
        <v>42</v>
      </c>
      <c r="V525">
        <f t="shared" si="59"/>
        <v>3.5</v>
      </c>
      <c r="W525">
        <f t="shared" si="60"/>
        <v>12750.25</v>
      </c>
      <c r="X525">
        <f t="shared" si="56"/>
        <v>0.162881187222876</v>
      </c>
      <c r="AH525" t="str">
        <f t="shared" si="55"/>
        <v>2nd Quality</v>
      </c>
      <c r="AJ525">
        <f>((T525-X525)*2)/4.5</f>
        <v>697.181999895625</v>
      </c>
      <c r="AK525">
        <f t="shared" si="61"/>
        <v>1355462.53714286</v>
      </c>
    </row>
    <row r="526" spans="1:37">
      <c r="A526" t="s">
        <v>589</v>
      </c>
      <c r="B526">
        <v>21</v>
      </c>
      <c r="C526" t="s">
        <v>50</v>
      </c>
      <c r="D526" t="s">
        <v>60</v>
      </c>
      <c r="E526">
        <v>1078</v>
      </c>
      <c r="F526">
        <v>4</v>
      </c>
      <c r="G526">
        <v>35</v>
      </c>
      <c r="H526">
        <v>2398.97</v>
      </c>
      <c r="I526">
        <v>83682.69</v>
      </c>
      <c r="J526">
        <v>114</v>
      </c>
      <c r="K526">
        <v>3</v>
      </c>
      <c r="L526">
        <v>16.2</v>
      </c>
      <c r="M526">
        <v>23.9</v>
      </c>
      <c r="N526" t="s">
        <v>52</v>
      </c>
      <c r="O526" t="s">
        <v>47</v>
      </c>
      <c r="P526" t="s">
        <v>54</v>
      </c>
      <c r="R526">
        <f>SUMIF(A526:A5525,"C00526",I526:I5525)</f>
        <v>19399.73</v>
      </c>
      <c r="S526" s="1">
        <v>83682.69</v>
      </c>
      <c r="T526">
        <f t="shared" si="57"/>
        <v>734.058684210526</v>
      </c>
      <c r="U526">
        <f t="shared" si="58"/>
        <v>2724.6</v>
      </c>
      <c r="V526">
        <f>U526*3</f>
        <v>8173.8</v>
      </c>
      <c r="W526">
        <f t="shared" si="60"/>
        <v>28694.22</v>
      </c>
      <c r="X526">
        <f t="shared" si="56"/>
        <v>0.449359516792624</v>
      </c>
      <c r="AH526" t="str">
        <f t="shared" ref="AH526:AH589" si="62">IF(AND(W526&gt;=12550,B526&lt;=33,E526&gt;=915),"1st Quality",IF(AND(W526&gt;=6275,B526&lt;=43,E526&gt;=457),"2nd Quality","3rd Quality"))</f>
        <v>1st Quality</v>
      </c>
      <c r="AJ526">
        <f>((T526-X526)*2)/16.2</f>
        <v>90.5690524313251</v>
      </c>
      <c r="AK526">
        <f t="shared" si="61"/>
        <v>791315.261578947</v>
      </c>
    </row>
    <row r="527" spans="1:37">
      <c r="A527" t="s">
        <v>590</v>
      </c>
      <c r="B527">
        <v>42</v>
      </c>
      <c r="C527" t="s">
        <v>44</v>
      </c>
      <c r="D527" t="s">
        <v>60</v>
      </c>
      <c r="E527">
        <v>435</v>
      </c>
      <c r="F527">
        <v>28</v>
      </c>
      <c r="G527">
        <v>16</v>
      </c>
      <c r="H527">
        <v>1332.83</v>
      </c>
      <c r="I527">
        <v>19399.73</v>
      </c>
      <c r="J527">
        <v>106</v>
      </c>
      <c r="K527">
        <v>0</v>
      </c>
      <c r="L527">
        <v>17.9</v>
      </c>
      <c r="M527">
        <v>32.7</v>
      </c>
      <c r="N527" t="s">
        <v>46</v>
      </c>
      <c r="O527" t="s">
        <v>47</v>
      </c>
      <c r="P527" t="s">
        <v>68</v>
      </c>
      <c r="R527">
        <f>SUMIF(A527:A5526,"C00527",I527:I5526)</f>
        <v>6436.31</v>
      </c>
      <c r="S527" s="1">
        <v>19399.73</v>
      </c>
      <c r="T527">
        <f t="shared" si="57"/>
        <v>183.016320754717</v>
      </c>
      <c r="U527">
        <f t="shared" si="58"/>
        <v>3466.2</v>
      </c>
      <c r="V527">
        <f t="shared" si="59"/>
        <v>288.85</v>
      </c>
      <c r="W527">
        <f t="shared" si="60"/>
        <v>6911.18666666667</v>
      </c>
      <c r="X527">
        <f t="shared" si="56"/>
        <v>0.326373205885222</v>
      </c>
      <c r="AH527" t="str">
        <f t="shared" si="62"/>
        <v>3rd Quality</v>
      </c>
      <c r="AJ527">
        <f>((T527-X527)*2)/17.9</f>
        <v>20.4122846423276</v>
      </c>
      <c r="AK527">
        <f t="shared" si="61"/>
        <v>79612.0995283019</v>
      </c>
    </row>
    <row r="528" spans="1:37">
      <c r="A528" t="s">
        <v>591</v>
      </c>
      <c r="B528">
        <v>40</v>
      </c>
      <c r="C528" t="s">
        <v>50</v>
      </c>
      <c r="D528" t="s">
        <v>45</v>
      </c>
      <c r="E528">
        <v>773</v>
      </c>
      <c r="F528">
        <v>137</v>
      </c>
      <c r="G528">
        <v>2</v>
      </c>
      <c r="H528">
        <v>3081.63</v>
      </c>
      <c r="I528">
        <v>6436.31</v>
      </c>
      <c r="J528">
        <v>15</v>
      </c>
      <c r="K528">
        <v>0</v>
      </c>
      <c r="L528">
        <v>19.7</v>
      </c>
      <c r="M528">
        <v>31.4</v>
      </c>
      <c r="N528" t="s">
        <v>61</v>
      </c>
      <c r="O528" t="s">
        <v>47</v>
      </c>
      <c r="P528" t="s">
        <v>58</v>
      </c>
      <c r="R528">
        <f>SUMIF(A528:A5527,"C00528",I528:I5527)</f>
        <v>5185.81</v>
      </c>
      <c r="S528" s="1">
        <v>6436.31</v>
      </c>
      <c r="T528">
        <f t="shared" si="57"/>
        <v>429.087333333333</v>
      </c>
      <c r="U528">
        <f t="shared" si="58"/>
        <v>471</v>
      </c>
      <c r="V528">
        <f t="shared" si="59"/>
        <v>39.25</v>
      </c>
      <c r="W528">
        <f t="shared" si="60"/>
        <v>3172.98</v>
      </c>
      <c r="X528">
        <f t="shared" si="56"/>
        <v>0.250841275558714</v>
      </c>
      <c r="AH528" t="str">
        <f t="shared" si="62"/>
        <v>3rd Quality</v>
      </c>
      <c r="AJ528">
        <f>((T528-X528)*2)/19.7</f>
        <v>43.5366997012969</v>
      </c>
      <c r="AK528">
        <f t="shared" si="61"/>
        <v>331684.508666667</v>
      </c>
    </row>
    <row r="529" spans="1:37">
      <c r="A529" t="s">
        <v>592</v>
      </c>
      <c r="B529">
        <v>25</v>
      </c>
      <c r="C529" t="s">
        <v>44</v>
      </c>
      <c r="D529" t="s">
        <v>45</v>
      </c>
      <c r="E529">
        <v>488</v>
      </c>
      <c r="F529">
        <v>229</v>
      </c>
      <c r="G529">
        <v>2</v>
      </c>
      <c r="H529">
        <v>2343.99</v>
      </c>
      <c r="I529">
        <v>5185.81</v>
      </c>
      <c r="J529">
        <v>25</v>
      </c>
      <c r="K529">
        <v>0</v>
      </c>
      <c r="L529">
        <v>13.7</v>
      </c>
      <c r="M529">
        <v>8.4</v>
      </c>
      <c r="N529" t="s">
        <v>78</v>
      </c>
      <c r="O529" t="s">
        <v>75</v>
      </c>
      <c r="P529" t="s">
        <v>68</v>
      </c>
      <c r="R529">
        <f>SUMIF(A529:A5528,"C00529",I529:I5528)</f>
        <v>1494.88</v>
      </c>
      <c r="S529" s="1">
        <v>5185.81</v>
      </c>
      <c r="T529">
        <f t="shared" si="57"/>
        <v>207.4324</v>
      </c>
      <c r="U529">
        <f t="shared" si="58"/>
        <v>210</v>
      </c>
      <c r="V529">
        <f t="shared" si="59"/>
        <v>17.5</v>
      </c>
      <c r="W529">
        <f t="shared" si="60"/>
        <v>2510.26666666667</v>
      </c>
      <c r="X529">
        <f t="shared" si="56"/>
        <v>0.208192014471052</v>
      </c>
      <c r="AH529" t="str">
        <f t="shared" si="62"/>
        <v>3rd Quality</v>
      </c>
      <c r="AJ529">
        <f>((T529-X529)*2)/13.7</f>
        <v>30.2517091949677</v>
      </c>
      <c r="AK529">
        <f t="shared" si="61"/>
        <v>101227.0112</v>
      </c>
    </row>
    <row r="530" spans="1:37">
      <c r="A530" t="s">
        <v>593</v>
      </c>
      <c r="B530">
        <v>24</v>
      </c>
      <c r="C530" t="s">
        <v>50</v>
      </c>
      <c r="D530" t="s">
        <v>60</v>
      </c>
      <c r="E530">
        <v>821</v>
      </c>
      <c r="F530">
        <v>28</v>
      </c>
      <c r="G530">
        <v>2</v>
      </c>
      <c r="H530">
        <v>848.84</v>
      </c>
      <c r="I530">
        <v>1494.88</v>
      </c>
      <c r="J530">
        <v>19</v>
      </c>
      <c r="K530">
        <v>0</v>
      </c>
      <c r="L530">
        <v>22.6</v>
      </c>
      <c r="M530">
        <v>23.2</v>
      </c>
      <c r="N530" t="s">
        <v>61</v>
      </c>
      <c r="O530" t="s">
        <v>47</v>
      </c>
      <c r="P530" t="s">
        <v>58</v>
      </c>
      <c r="R530">
        <f>SUMIF(A530:A5529,"C00530",I530:I5529)</f>
        <v>12396.02</v>
      </c>
      <c r="S530" s="1">
        <v>1494.88</v>
      </c>
      <c r="T530">
        <f t="shared" si="57"/>
        <v>78.6778947368421</v>
      </c>
      <c r="U530">
        <f t="shared" si="58"/>
        <v>440.8</v>
      </c>
      <c r="V530">
        <f t="shared" si="59"/>
        <v>36.7333333333333</v>
      </c>
      <c r="W530">
        <f t="shared" si="60"/>
        <v>781.573333333333</v>
      </c>
      <c r="X530">
        <f t="shared" si="56"/>
        <v>0.967202299608878</v>
      </c>
      <c r="AH530" t="str">
        <f t="shared" si="62"/>
        <v>3rd Quality</v>
      </c>
      <c r="AJ530">
        <f>((T530-X530)*2)/22.6</f>
        <v>6.87705242807374</v>
      </c>
      <c r="AK530">
        <f t="shared" si="61"/>
        <v>64594.5515789474</v>
      </c>
    </row>
    <row r="531" spans="1:37">
      <c r="A531" t="s">
        <v>594</v>
      </c>
      <c r="B531">
        <v>30</v>
      </c>
      <c r="C531" t="s">
        <v>44</v>
      </c>
      <c r="D531" t="s">
        <v>45</v>
      </c>
      <c r="E531">
        <v>1144</v>
      </c>
      <c r="F531">
        <v>4</v>
      </c>
      <c r="G531">
        <v>8</v>
      </c>
      <c r="H531">
        <v>1573</v>
      </c>
      <c r="I531">
        <v>12396.02</v>
      </c>
      <c r="J531">
        <v>45</v>
      </c>
      <c r="K531">
        <v>1</v>
      </c>
      <c r="L531">
        <v>26.2</v>
      </c>
      <c r="M531">
        <v>22.4</v>
      </c>
      <c r="N531" t="s">
        <v>52</v>
      </c>
      <c r="O531" t="s">
        <v>75</v>
      </c>
      <c r="P531" t="s">
        <v>68</v>
      </c>
      <c r="R531">
        <f>SUMIF(A531:A5530,"C00531",I531:I5530)</f>
        <v>1488.92</v>
      </c>
      <c r="S531" s="1">
        <v>12396.02</v>
      </c>
      <c r="T531">
        <f t="shared" si="57"/>
        <v>275.467111111111</v>
      </c>
      <c r="U531">
        <f t="shared" si="58"/>
        <v>1008</v>
      </c>
      <c r="V531">
        <f>U531*1</f>
        <v>1008</v>
      </c>
      <c r="W531">
        <f t="shared" si="60"/>
        <v>4656.67333333333</v>
      </c>
      <c r="X531">
        <f t="shared" si="56"/>
        <v>0.727272727272727</v>
      </c>
      <c r="AH531" t="str">
        <f t="shared" si="62"/>
        <v>3rd Quality</v>
      </c>
      <c r="AJ531">
        <f>((T531-X531)*2)/26.2</f>
        <v>20.9725067468579</v>
      </c>
      <c r="AK531">
        <f t="shared" si="61"/>
        <v>315134.375111111</v>
      </c>
    </row>
    <row r="532" spans="1:37">
      <c r="A532" t="s">
        <v>595</v>
      </c>
      <c r="B532">
        <v>27</v>
      </c>
      <c r="C532" t="s">
        <v>50</v>
      </c>
      <c r="D532" t="s">
        <v>60</v>
      </c>
      <c r="E532">
        <v>494</v>
      </c>
      <c r="F532">
        <v>68</v>
      </c>
      <c r="G532">
        <v>2</v>
      </c>
      <c r="H532">
        <v>817.84</v>
      </c>
      <c r="I532">
        <v>1488.92</v>
      </c>
      <c r="J532">
        <v>17</v>
      </c>
      <c r="K532">
        <v>0</v>
      </c>
      <c r="L532">
        <v>31.9</v>
      </c>
      <c r="M532">
        <v>11.5</v>
      </c>
      <c r="N532" t="s">
        <v>61</v>
      </c>
      <c r="O532" t="s">
        <v>47</v>
      </c>
      <c r="P532" t="s">
        <v>48</v>
      </c>
      <c r="R532">
        <f>SUMIF(A532:A5531,"C00532",I532:I5531)</f>
        <v>3569.87</v>
      </c>
      <c r="S532" s="1">
        <v>3569.87</v>
      </c>
      <c r="T532">
        <f t="shared" si="57"/>
        <v>87.5835294117647</v>
      </c>
      <c r="U532">
        <f t="shared" si="58"/>
        <v>195.5</v>
      </c>
      <c r="V532">
        <f t="shared" si="59"/>
        <v>16.2916666666667</v>
      </c>
      <c r="W532">
        <f t="shared" si="60"/>
        <v>769.253333333333</v>
      </c>
      <c r="X532">
        <f t="shared" si="56"/>
        <v>0.604030128142424</v>
      </c>
      <c r="AH532" t="str">
        <f t="shared" si="62"/>
        <v>3rd Quality</v>
      </c>
      <c r="AJ532">
        <f>((T532-X532)*2)/31.9</f>
        <v>5.45326014317381</v>
      </c>
      <c r="AK532">
        <f t="shared" si="61"/>
        <v>43266.2635294118</v>
      </c>
    </row>
    <row r="533" spans="1:37">
      <c r="A533" t="s">
        <v>596</v>
      </c>
      <c r="B533">
        <v>43</v>
      </c>
      <c r="C533" t="s">
        <v>44</v>
      </c>
      <c r="D533" t="s">
        <v>45</v>
      </c>
      <c r="E533">
        <v>1274</v>
      </c>
      <c r="F533">
        <v>208</v>
      </c>
      <c r="G533">
        <v>3</v>
      </c>
      <c r="H533">
        <v>1279.96</v>
      </c>
      <c r="I533">
        <v>3569.87</v>
      </c>
      <c r="J533">
        <v>23</v>
      </c>
      <c r="K533">
        <v>0</v>
      </c>
      <c r="L533">
        <v>24.8</v>
      </c>
      <c r="M533">
        <v>37.7</v>
      </c>
      <c r="N533" t="s">
        <v>46</v>
      </c>
      <c r="O533" t="s">
        <v>47</v>
      </c>
      <c r="P533" t="s">
        <v>68</v>
      </c>
      <c r="R533">
        <f>SUMIF(A533:A5532,"C00533",I533:I5532)</f>
        <v>12709.55</v>
      </c>
      <c r="S533" s="1">
        <v>12709.55</v>
      </c>
      <c r="T533">
        <f t="shared" si="57"/>
        <v>155.211739130435</v>
      </c>
      <c r="U533">
        <f t="shared" si="58"/>
        <v>867.1</v>
      </c>
      <c r="V533">
        <f t="shared" si="59"/>
        <v>72.2583333333333</v>
      </c>
      <c r="W533">
        <f t="shared" si="60"/>
        <v>1616.94333333333</v>
      </c>
      <c r="X533">
        <f t="shared" si="56"/>
        <v>0.99534360448764</v>
      </c>
      <c r="AH533" t="str">
        <f t="shared" si="62"/>
        <v>3rd Quality</v>
      </c>
      <c r="AJ533">
        <f>((T533-X533)*2)/24.8</f>
        <v>12.4368060908022</v>
      </c>
      <c r="AK533">
        <f t="shared" si="61"/>
        <v>197739.755652174</v>
      </c>
    </row>
    <row r="534" spans="1:37">
      <c r="A534" t="s">
        <v>597</v>
      </c>
      <c r="B534">
        <v>34</v>
      </c>
      <c r="C534" t="s">
        <v>50</v>
      </c>
      <c r="D534" t="s">
        <v>60</v>
      </c>
      <c r="E534">
        <v>1271</v>
      </c>
      <c r="F534">
        <v>55</v>
      </c>
      <c r="G534">
        <v>8</v>
      </c>
      <c r="H534">
        <v>1591.9</v>
      </c>
      <c r="I534">
        <v>12709.55</v>
      </c>
      <c r="J534">
        <v>52</v>
      </c>
      <c r="K534">
        <v>0</v>
      </c>
      <c r="L534">
        <v>0.1</v>
      </c>
      <c r="M534">
        <v>9.1</v>
      </c>
      <c r="N534" t="s">
        <v>46</v>
      </c>
      <c r="O534" t="s">
        <v>47</v>
      </c>
      <c r="P534" t="s">
        <v>68</v>
      </c>
      <c r="R534">
        <f>SUMIF(A534:A5533,"C00534",I534:I5533)</f>
        <v>88024.11</v>
      </c>
      <c r="S534" s="1">
        <v>88024.11</v>
      </c>
      <c r="T534">
        <f t="shared" si="57"/>
        <v>244.414423076923</v>
      </c>
      <c r="U534">
        <f t="shared" si="58"/>
        <v>473.2</v>
      </c>
      <c r="V534">
        <f t="shared" si="59"/>
        <v>39.4333333333333</v>
      </c>
      <c r="W534">
        <f t="shared" si="60"/>
        <v>4767.48333333333</v>
      </c>
      <c r="X534">
        <f t="shared" si="56"/>
        <v>0.798416985991582</v>
      </c>
      <c r="AH534" t="str">
        <f t="shared" si="62"/>
        <v>3rd Quality</v>
      </c>
      <c r="AJ534">
        <f>((T534-X534)*2)/0.1</f>
        <v>4872.32012181863</v>
      </c>
      <c r="AK534">
        <f t="shared" si="61"/>
        <v>310650.731730769</v>
      </c>
    </row>
    <row r="535" spans="1:37">
      <c r="A535" t="s">
        <v>598</v>
      </c>
      <c r="B535">
        <v>22</v>
      </c>
      <c r="C535" t="s">
        <v>50</v>
      </c>
      <c r="D535" t="s">
        <v>51</v>
      </c>
      <c r="E535">
        <v>664</v>
      </c>
      <c r="F535">
        <v>30</v>
      </c>
      <c r="G535">
        <v>6</v>
      </c>
      <c r="H535">
        <v>15444.24</v>
      </c>
      <c r="I535">
        <v>88024.11</v>
      </c>
      <c r="J535">
        <v>36</v>
      </c>
      <c r="K535">
        <v>0</v>
      </c>
      <c r="L535">
        <v>13.8</v>
      </c>
      <c r="M535">
        <v>31.4</v>
      </c>
      <c r="N535" t="s">
        <v>61</v>
      </c>
      <c r="O535" t="s">
        <v>47</v>
      </c>
      <c r="P535" t="s">
        <v>58</v>
      </c>
      <c r="R535">
        <f>SUMIF(A535:A5534,"C00535",I535:I5534)</f>
        <v>45549.12</v>
      </c>
      <c r="S535" s="1">
        <v>45549.12</v>
      </c>
      <c r="T535">
        <f t="shared" si="57"/>
        <v>2445.11416666667</v>
      </c>
      <c r="U535">
        <f t="shared" si="58"/>
        <v>1130.4</v>
      </c>
      <c r="V535">
        <f t="shared" si="59"/>
        <v>94.2</v>
      </c>
      <c r="W535">
        <f t="shared" si="60"/>
        <v>34489.7833333333</v>
      </c>
      <c r="X535">
        <f t="shared" si="56"/>
        <v>0.0429933748763293</v>
      </c>
      <c r="AH535" t="str">
        <f t="shared" si="62"/>
        <v>2nd Quality</v>
      </c>
      <c r="AJ535">
        <f>((T535-X535)*2)/13.8</f>
        <v>354.358141056782</v>
      </c>
      <c r="AK535">
        <f t="shared" si="61"/>
        <v>1623555.80666667</v>
      </c>
    </row>
    <row r="536" spans="1:37">
      <c r="A536" t="s">
        <v>599</v>
      </c>
      <c r="B536">
        <v>34</v>
      </c>
      <c r="C536" t="s">
        <v>44</v>
      </c>
      <c r="D536" t="s">
        <v>45</v>
      </c>
      <c r="E536">
        <v>581</v>
      </c>
      <c r="F536">
        <v>4</v>
      </c>
      <c r="G536">
        <v>23</v>
      </c>
      <c r="H536">
        <v>1911.95</v>
      </c>
      <c r="I536">
        <v>45549.12</v>
      </c>
      <c r="J536">
        <v>99</v>
      </c>
      <c r="K536">
        <v>0</v>
      </c>
      <c r="L536">
        <v>14.4</v>
      </c>
      <c r="M536">
        <v>63.7</v>
      </c>
      <c r="N536" t="s">
        <v>78</v>
      </c>
      <c r="O536" t="s">
        <v>75</v>
      </c>
      <c r="P536" t="s">
        <v>68</v>
      </c>
      <c r="R536">
        <f>SUMIF(A536:A5535,"C00536",I536:I5535)</f>
        <v>51110.83</v>
      </c>
      <c r="S536" s="1">
        <v>51110.83</v>
      </c>
      <c r="T536">
        <f t="shared" si="57"/>
        <v>460.092121212121</v>
      </c>
      <c r="U536">
        <f t="shared" si="58"/>
        <v>6306.3</v>
      </c>
      <c r="V536">
        <f t="shared" si="59"/>
        <v>525.525</v>
      </c>
      <c r="W536">
        <f t="shared" si="60"/>
        <v>15820.69</v>
      </c>
      <c r="X536">
        <f t="shared" si="56"/>
        <v>0.303878239493711</v>
      </c>
      <c r="AH536" t="str">
        <f t="shared" si="62"/>
        <v>2nd Quality</v>
      </c>
      <c r="AJ536">
        <f>((T536-X536)*2)/14.4</f>
        <v>63.8594781906427</v>
      </c>
      <c r="AK536">
        <f t="shared" si="61"/>
        <v>267313.522424242</v>
      </c>
    </row>
    <row r="537" spans="1:37">
      <c r="A537" t="s">
        <v>600</v>
      </c>
      <c r="B537">
        <v>34</v>
      </c>
      <c r="C537" t="s">
        <v>44</v>
      </c>
      <c r="D537" t="s">
        <v>60</v>
      </c>
      <c r="E537">
        <v>1175</v>
      </c>
      <c r="F537">
        <v>1</v>
      </c>
      <c r="G537">
        <v>23</v>
      </c>
      <c r="H537">
        <v>2355.61</v>
      </c>
      <c r="I537">
        <v>51110.83</v>
      </c>
      <c r="J537">
        <v>145</v>
      </c>
      <c r="K537">
        <v>0</v>
      </c>
      <c r="L537">
        <v>17.1</v>
      </c>
      <c r="M537">
        <v>33</v>
      </c>
      <c r="N537" t="s">
        <v>57</v>
      </c>
      <c r="O537" t="s">
        <v>75</v>
      </c>
      <c r="P537" t="s">
        <v>58</v>
      </c>
      <c r="R537">
        <f>SUMIF(A537:A5536,"C00537",I537:I5536)</f>
        <v>33731.62</v>
      </c>
      <c r="S537" s="1">
        <v>33731.62</v>
      </c>
      <c r="T537">
        <f t="shared" si="57"/>
        <v>352.488482758621</v>
      </c>
      <c r="U537">
        <f t="shared" si="58"/>
        <v>4785</v>
      </c>
      <c r="V537">
        <f t="shared" si="59"/>
        <v>398.75</v>
      </c>
      <c r="W537">
        <f t="shared" si="60"/>
        <v>17822.48</v>
      </c>
      <c r="X537">
        <f t="shared" si="56"/>
        <v>0.498809225635823</v>
      </c>
      <c r="AH537" t="str">
        <f t="shared" si="62"/>
        <v>2nd Quality</v>
      </c>
      <c r="AJ537">
        <f>((T537-X537)*2)/17.1</f>
        <v>41.168382869355</v>
      </c>
      <c r="AK537">
        <f t="shared" si="61"/>
        <v>414173.967241379</v>
      </c>
    </row>
    <row r="538" spans="1:37">
      <c r="A538" t="s">
        <v>601</v>
      </c>
      <c r="B538">
        <v>23</v>
      </c>
      <c r="C538" t="s">
        <v>50</v>
      </c>
      <c r="D538" t="s">
        <v>45</v>
      </c>
      <c r="E538">
        <v>1205</v>
      </c>
      <c r="F538">
        <v>18</v>
      </c>
      <c r="G538">
        <v>3</v>
      </c>
      <c r="H538">
        <v>10544.76</v>
      </c>
      <c r="I538">
        <v>33731.62</v>
      </c>
      <c r="J538">
        <v>16</v>
      </c>
      <c r="K538">
        <v>0</v>
      </c>
      <c r="L538">
        <v>14.5</v>
      </c>
      <c r="M538">
        <v>70.3</v>
      </c>
      <c r="N538" t="s">
        <v>46</v>
      </c>
      <c r="O538" t="s">
        <v>47</v>
      </c>
      <c r="P538" t="s">
        <v>68</v>
      </c>
      <c r="R538">
        <f>SUMIF(A538:A5537,"C00538",I538:I5537)</f>
        <v>85603.97</v>
      </c>
      <c r="S538" s="1">
        <v>85603.97</v>
      </c>
      <c r="T538">
        <f t="shared" si="57"/>
        <v>2108.22625</v>
      </c>
      <c r="U538">
        <f t="shared" si="58"/>
        <v>1124.8</v>
      </c>
      <c r="V538">
        <f t="shared" si="59"/>
        <v>93.7333333333333</v>
      </c>
      <c r="W538">
        <f t="shared" si="60"/>
        <v>14759.1266666667</v>
      </c>
      <c r="X538">
        <f t="shared" si="56"/>
        <v>0.114274767751945</v>
      </c>
      <c r="AH538" t="str">
        <f t="shared" si="62"/>
        <v>1st Quality</v>
      </c>
      <c r="AJ538">
        <f>((T538-X538)*2)/14.5</f>
        <v>290.774065549276</v>
      </c>
      <c r="AK538">
        <f t="shared" si="61"/>
        <v>2540412.63125</v>
      </c>
    </row>
    <row r="539" spans="1:37">
      <c r="A539" t="s">
        <v>602</v>
      </c>
      <c r="B539">
        <v>29</v>
      </c>
      <c r="C539" t="s">
        <v>44</v>
      </c>
      <c r="D539" t="s">
        <v>60</v>
      </c>
      <c r="E539">
        <v>1068</v>
      </c>
      <c r="F539">
        <v>9</v>
      </c>
      <c r="G539">
        <v>24</v>
      </c>
      <c r="H539">
        <v>3860.07</v>
      </c>
      <c r="I539">
        <v>85603.97</v>
      </c>
      <c r="J539">
        <v>150</v>
      </c>
      <c r="K539">
        <v>4</v>
      </c>
      <c r="L539">
        <v>9.1</v>
      </c>
      <c r="M539">
        <v>64.7</v>
      </c>
      <c r="N539" t="s">
        <v>78</v>
      </c>
      <c r="O539" t="s">
        <v>47</v>
      </c>
      <c r="P539" t="s">
        <v>68</v>
      </c>
      <c r="R539">
        <f>SUMIF(A539:A5538,"C00539",I539:I5538)</f>
        <v>183654.11</v>
      </c>
      <c r="S539" s="1">
        <v>183654.11</v>
      </c>
      <c r="T539">
        <f t="shared" si="57"/>
        <v>570.693133333333</v>
      </c>
      <c r="U539">
        <f t="shared" si="58"/>
        <v>9705</v>
      </c>
      <c r="V539">
        <f>U539*4</f>
        <v>38820</v>
      </c>
      <c r="W539">
        <f t="shared" si="60"/>
        <v>29821.68</v>
      </c>
      <c r="X539">
        <f t="shared" si="56"/>
        <v>0.27667892033046</v>
      </c>
      <c r="AH539" t="str">
        <f t="shared" si="62"/>
        <v>1st Quality</v>
      </c>
      <c r="AJ539">
        <f>((T539-X539)*2)/9.1</f>
        <v>125.366253717143</v>
      </c>
      <c r="AK539">
        <f t="shared" si="61"/>
        <v>609500.2664</v>
      </c>
    </row>
    <row r="540" spans="1:37">
      <c r="A540" t="s">
        <v>603</v>
      </c>
      <c r="B540">
        <v>37</v>
      </c>
      <c r="C540" t="s">
        <v>50</v>
      </c>
      <c r="D540" t="s">
        <v>60</v>
      </c>
      <c r="E540">
        <v>530</v>
      </c>
      <c r="F540">
        <v>3</v>
      </c>
      <c r="G540">
        <v>21</v>
      </c>
      <c r="H540">
        <v>7966.77</v>
      </c>
      <c r="I540">
        <v>183654.11</v>
      </c>
      <c r="J540">
        <v>46</v>
      </c>
      <c r="K540">
        <v>2</v>
      </c>
      <c r="L540">
        <v>6.1</v>
      </c>
      <c r="M540">
        <v>9.2</v>
      </c>
      <c r="N540" t="s">
        <v>46</v>
      </c>
      <c r="O540" t="s">
        <v>47</v>
      </c>
      <c r="P540" t="s">
        <v>58</v>
      </c>
      <c r="R540">
        <f>SUMIF(A540:A5539,"C00540",I540:I5539)</f>
        <v>1252.18</v>
      </c>
      <c r="S540" s="1">
        <v>1252.18</v>
      </c>
      <c r="T540">
        <f t="shared" si="57"/>
        <v>3992.48065217391</v>
      </c>
      <c r="U540">
        <f t="shared" si="58"/>
        <v>423.2</v>
      </c>
      <c r="V540">
        <f>U540*2</f>
        <v>846.4</v>
      </c>
      <c r="W540">
        <f t="shared" si="60"/>
        <v>63873.96</v>
      </c>
      <c r="X540">
        <f t="shared" si="56"/>
        <v>0.0665263337588508</v>
      </c>
      <c r="AH540" t="str">
        <f t="shared" si="62"/>
        <v>2nd Quality</v>
      </c>
      <c r="AJ540">
        <f>((T540-X540)*2)/6.1</f>
        <v>1308.98823798038</v>
      </c>
      <c r="AK540">
        <f t="shared" si="61"/>
        <v>2116014.74565217</v>
      </c>
    </row>
    <row r="541" spans="1:37">
      <c r="A541" t="s">
        <v>604</v>
      </c>
      <c r="B541">
        <v>48</v>
      </c>
      <c r="C541" t="s">
        <v>44</v>
      </c>
      <c r="D541" t="s">
        <v>45</v>
      </c>
      <c r="E541">
        <v>926</v>
      </c>
      <c r="F541">
        <v>138</v>
      </c>
      <c r="G541">
        <v>3</v>
      </c>
      <c r="H541">
        <v>427.64</v>
      </c>
      <c r="I541">
        <v>1252.18</v>
      </c>
      <c r="J541">
        <v>23</v>
      </c>
      <c r="K541">
        <v>0</v>
      </c>
      <c r="L541">
        <v>16.5</v>
      </c>
      <c r="M541">
        <v>59.8</v>
      </c>
      <c r="N541" t="s">
        <v>57</v>
      </c>
      <c r="O541" t="s">
        <v>47</v>
      </c>
      <c r="P541" t="s">
        <v>48</v>
      </c>
      <c r="R541">
        <f>SUMIF(A541:A5540,"C00542",I541:I5540)</f>
        <v>58357.74</v>
      </c>
      <c r="S541" s="1">
        <v>1499.66</v>
      </c>
      <c r="T541">
        <f t="shared" si="57"/>
        <v>54.4426086956522</v>
      </c>
      <c r="U541">
        <f t="shared" si="58"/>
        <v>1375.4</v>
      </c>
      <c r="V541">
        <f t="shared" si="59"/>
        <v>114.616666666667</v>
      </c>
      <c r="W541">
        <f t="shared" si="60"/>
        <v>560.273333333333</v>
      </c>
      <c r="X541">
        <f t="shared" si="56"/>
        <v>2.16537274342905</v>
      </c>
      <c r="AH541" t="str">
        <f t="shared" si="62"/>
        <v>3rd Quality</v>
      </c>
      <c r="AJ541">
        <f>((T541-X541)*2)/16.5</f>
        <v>6.33663466087553</v>
      </c>
      <c r="AK541">
        <f t="shared" si="61"/>
        <v>50413.8556521739</v>
      </c>
    </row>
    <row r="542" spans="1:37">
      <c r="A542" t="s">
        <v>605</v>
      </c>
      <c r="B542">
        <v>41</v>
      </c>
      <c r="C542" t="s">
        <v>50</v>
      </c>
      <c r="D542" t="s">
        <v>45</v>
      </c>
      <c r="E542">
        <v>648</v>
      </c>
      <c r="F542">
        <v>302</v>
      </c>
      <c r="G542">
        <v>1</v>
      </c>
      <c r="H542">
        <v>1678.77</v>
      </c>
      <c r="I542">
        <v>1499.66</v>
      </c>
      <c r="J542">
        <v>14</v>
      </c>
      <c r="K542">
        <v>0</v>
      </c>
      <c r="L542">
        <v>17.9</v>
      </c>
      <c r="M542">
        <v>10.3</v>
      </c>
      <c r="N542" t="s">
        <v>52</v>
      </c>
      <c r="O542" t="s">
        <v>47</v>
      </c>
      <c r="P542" t="s">
        <v>58</v>
      </c>
      <c r="R542">
        <f>SUMIF(A542:A5541,"C00542",I542:I5541)</f>
        <v>58357.74</v>
      </c>
      <c r="S542" s="1">
        <v>58357.74</v>
      </c>
      <c r="T542">
        <f t="shared" si="57"/>
        <v>107.118571428571</v>
      </c>
      <c r="U542">
        <f t="shared" si="58"/>
        <v>144.2</v>
      </c>
      <c r="V542">
        <f t="shared" si="59"/>
        <v>12.0166666666667</v>
      </c>
      <c r="W542">
        <f t="shared" si="60"/>
        <v>1059.81</v>
      </c>
      <c r="X542">
        <f t="shared" si="56"/>
        <v>0.385996890580604</v>
      </c>
      <c r="AH542" t="str">
        <f t="shared" si="62"/>
        <v>3rd Quality</v>
      </c>
      <c r="AJ542">
        <f>((T542-X542)*2)/17.9</f>
        <v>11.9254273226805</v>
      </c>
      <c r="AK542">
        <f t="shared" si="61"/>
        <v>69412.8342857143</v>
      </c>
    </row>
    <row r="543" spans="1:37">
      <c r="A543" t="s">
        <v>606</v>
      </c>
      <c r="B543">
        <v>25</v>
      </c>
      <c r="C543" t="s">
        <v>44</v>
      </c>
      <c r="D543" t="s">
        <v>45</v>
      </c>
      <c r="E543">
        <v>685</v>
      </c>
      <c r="F543">
        <v>21</v>
      </c>
      <c r="G543">
        <v>7</v>
      </c>
      <c r="H543">
        <v>9222.83</v>
      </c>
      <c r="I543">
        <v>58357.74</v>
      </c>
      <c r="J543">
        <v>31</v>
      </c>
      <c r="K543">
        <v>0</v>
      </c>
      <c r="L543">
        <v>2.9</v>
      </c>
      <c r="M543">
        <v>53.3</v>
      </c>
      <c r="N543" t="s">
        <v>57</v>
      </c>
      <c r="O543" t="s">
        <v>47</v>
      </c>
      <c r="P543" t="s">
        <v>58</v>
      </c>
      <c r="R543">
        <f>SUMIF(A543:A5542,"C00543",I543:I5542)</f>
        <v>6564.3</v>
      </c>
      <c r="S543" s="1">
        <v>6564.3</v>
      </c>
      <c r="T543">
        <f t="shared" si="57"/>
        <v>1882.50774193548</v>
      </c>
      <c r="U543">
        <f t="shared" si="58"/>
        <v>1652.3</v>
      </c>
      <c r="V543">
        <f t="shared" si="59"/>
        <v>137.691666666667</v>
      </c>
      <c r="W543">
        <f t="shared" si="60"/>
        <v>22527.19</v>
      </c>
      <c r="X543">
        <f t="shared" si="56"/>
        <v>0.0742722136264032</v>
      </c>
      <c r="AH543" t="str">
        <f t="shared" si="62"/>
        <v>2nd Quality</v>
      </c>
      <c r="AJ543">
        <f>((T543-X543)*2)/2.9</f>
        <v>1298.22997911852</v>
      </c>
      <c r="AK543">
        <f t="shared" si="61"/>
        <v>1289517.80322581</v>
      </c>
    </row>
    <row r="544" spans="1:37">
      <c r="A544" t="s">
        <v>607</v>
      </c>
      <c r="B544">
        <v>49</v>
      </c>
      <c r="C544" t="s">
        <v>50</v>
      </c>
      <c r="D544" t="s">
        <v>51</v>
      </c>
      <c r="E544">
        <v>1001</v>
      </c>
      <c r="F544">
        <v>89</v>
      </c>
      <c r="G544">
        <v>7</v>
      </c>
      <c r="H544">
        <v>930.4</v>
      </c>
      <c r="I544">
        <v>6564.3</v>
      </c>
      <c r="J544">
        <v>70</v>
      </c>
      <c r="K544">
        <v>0</v>
      </c>
      <c r="L544">
        <v>23.5</v>
      </c>
      <c r="M544">
        <v>44.1</v>
      </c>
      <c r="N544" t="s">
        <v>46</v>
      </c>
      <c r="O544" t="s">
        <v>47</v>
      </c>
      <c r="P544" t="s">
        <v>48</v>
      </c>
      <c r="R544">
        <f>SUMIF(A544:A5543,"C00544",I544:I5543)</f>
        <v>3608.7</v>
      </c>
      <c r="S544" s="1">
        <v>3608.7</v>
      </c>
      <c r="T544">
        <f t="shared" si="57"/>
        <v>93.7757142857143</v>
      </c>
      <c r="U544">
        <f t="shared" si="58"/>
        <v>3087</v>
      </c>
      <c r="V544">
        <f t="shared" si="59"/>
        <v>257.25</v>
      </c>
      <c r="W544">
        <f t="shared" si="60"/>
        <v>2498.56666666667</v>
      </c>
      <c r="X544">
        <f t="shared" si="56"/>
        <v>1.07588134135856</v>
      </c>
      <c r="AH544" t="str">
        <f t="shared" si="62"/>
        <v>3rd Quality</v>
      </c>
      <c r="AJ544">
        <f>((T544-X544)*2)/23.5</f>
        <v>7.88934748462602</v>
      </c>
      <c r="AK544">
        <f t="shared" si="61"/>
        <v>93869.49</v>
      </c>
    </row>
    <row r="545" spans="1:37">
      <c r="A545" t="s">
        <v>608</v>
      </c>
      <c r="B545">
        <v>28</v>
      </c>
      <c r="C545" t="s">
        <v>44</v>
      </c>
      <c r="D545" t="s">
        <v>60</v>
      </c>
      <c r="E545">
        <v>1444</v>
      </c>
      <c r="F545">
        <v>194</v>
      </c>
      <c r="G545">
        <v>1</v>
      </c>
      <c r="H545">
        <v>3284.67</v>
      </c>
      <c r="I545">
        <v>3608.7</v>
      </c>
      <c r="J545">
        <v>21</v>
      </c>
      <c r="K545">
        <v>0</v>
      </c>
      <c r="L545">
        <v>7.5</v>
      </c>
      <c r="M545">
        <v>29.3</v>
      </c>
      <c r="N545" t="s">
        <v>46</v>
      </c>
      <c r="O545" t="s">
        <v>75</v>
      </c>
      <c r="P545" t="s">
        <v>48</v>
      </c>
      <c r="R545">
        <f>SUMIF(A545:A5544,"C00545",I545:I5544)</f>
        <v>103059.29</v>
      </c>
      <c r="S545" s="1">
        <v>103059.29</v>
      </c>
      <c r="T545">
        <f t="shared" si="57"/>
        <v>171.842857142857</v>
      </c>
      <c r="U545">
        <f t="shared" si="58"/>
        <v>615.3</v>
      </c>
      <c r="V545">
        <f t="shared" si="59"/>
        <v>51.275</v>
      </c>
      <c r="W545">
        <f t="shared" si="60"/>
        <v>2298.12333333333</v>
      </c>
      <c r="X545">
        <f t="shared" si="56"/>
        <v>0.439617982932836</v>
      </c>
      <c r="AH545" t="str">
        <f t="shared" si="62"/>
        <v>3rd Quality</v>
      </c>
      <c r="AJ545">
        <f>((T545-X545)*2)/7.5</f>
        <v>45.7075304426464</v>
      </c>
      <c r="AK545">
        <f t="shared" si="61"/>
        <v>248141.085714286</v>
      </c>
    </row>
    <row r="546" spans="1:37">
      <c r="A546" t="s">
        <v>609</v>
      </c>
      <c r="B546">
        <v>40</v>
      </c>
      <c r="C546" t="s">
        <v>44</v>
      </c>
      <c r="D546" t="s">
        <v>51</v>
      </c>
      <c r="E546">
        <v>586</v>
      </c>
      <c r="F546">
        <v>14</v>
      </c>
      <c r="G546">
        <v>23</v>
      </c>
      <c r="H546">
        <v>4464.4</v>
      </c>
      <c r="I546">
        <v>103059.29</v>
      </c>
      <c r="J546">
        <v>145</v>
      </c>
      <c r="K546">
        <v>0</v>
      </c>
      <c r="L546">
        <v>1.8</v>
      </c>
      <c r="M546">
        <v>18.9</v>
      </c>
      <c r="N546" t="s">
        <v>52</v>
      </c>
      <c r="O546" t="s">
        <v>47</v>
      </c>
      <c r="P546" t="s">
        <v>48</v>
      </c>
      <c r="R546">
        <f>SUMIF(A546:A5545,"C00546",I546:I5545)</f>
        <v>3625.47</v>
      </c>
      <c r="S546" s="1">
        <v>3625.47</v>
      </c>
      <c r="T546">
        <f t="shared" si="57"/>
        <v>710.753724137931</v>
      </c>
      <c r="U546">
        <f t="shared" si="58"/>
        <v>2740.5</v>
      </c>
      <c r="V546">
        <f t="shared" si="59"/>
        <v>228.375</v>
      </c>
      <c r="W546">
        <f t="shared" si="60"/>
        <v>35841.5633333333</v>
      </c>
      <c r="X546">
        <f t="shared" si="56"/>
        <v>0.131260639727623</v>
      </c>
      <c r="AH546" t="str">
        <f t="shared" si="62"/>
        <v>2nd Quality</v>
      </c>
      <c r="AJ546">
        <f>((T546-X546)*2)/1.8</f>
        <v>789.580514998004</v>
      </c>
      <c r="AK546">
        <f t="shared" si="61"/>
        <v>416501.682344828</v>
      </c>
    </row>
    <row r="547" spans="1:37">
      <c r="A547" t="s">
        <v>610</v>
      </c>
      <c r="B547">
        <v>47</v>
      </c>
      <c r="C547" t="s">
        <v>44</v>
      </c>
      <c r="D547" t="s">
        <v>45</v>
      </c>
      <c r="E547">
        <v>640</v>
      </c>
      <c r="F547">
        <v>17</v>
      </c>
      <c r="G547">
        <v>5</v>
      </c>
      <c r="H547">
        <v>733.87</v>
      </c>
      <c r="I547">
        <v>3625.47</v>
      </c>
      <c r="J547">
        <v>27</v>
      </c>
      <c r="K547">
        <v>0</v>
      </c>
      <c r="L547">
        <v>12.6</v>
      </c>
      <c r="M547">
        <v>43.7</v>
      </c>
      <c r="N547" t="s">
        <v>57</v>
      </c>
      <c r="O547" t="s">
        <v>75</v>
      </c>
      <c r="P547" t="s">
        <v>66</v>
      </c>
      <c r="R547">
        <f>SUMIF(A547:A5546,"C00547",I547:I5546)</f>
        <v>15457.74</v>
      </c>
      <c r="S547" s="1">
        <v>15457.74</v>
      </c>
      <c r="T547">
        <f t="shared" si="57"/>
        <v>134.276666666667</v>
      </c>
      <c r="U547">
        <f t="shared" si="58"/>
        <v>1179.9</v>
      </c>
      <c r="V547">
        <f t="shared" si="59"/>
        <v>98.325</v>
      </c>
      <c r="W547">
        <f t="shared" si="60"/>
        <v>1453.44666666667</v>
      </c>
      <c r="X547">
        <f t="shared" si="56"/>
        <v>0.872089062095467</v>
      </c>
      <c r="AH547" t="str">
        <f t="shared" si="62"/>
        <v>3rd Quality</v>
      </c>
      <c r="AJ547">
        <f>((T547-X547)*2)/12.6</f>
        <v>21.1753297785034</v>
      </c>
      <c r="AK547">
        <f t="shared" si="61"/>
        <v>85937.0666666667</v>
      </c>
    </row>
    <row r="548" spans="1:37">
      <c r="A548" t="s">
        <v>611</v>
      </c>
      <c r="B548">
        <v>39</v>
      </c>
      <c r="C548" t="s">
        <v>44</v>
      </c>
      <c r="D548" t="s">
        <v>60</v>
      </c>
      <c r="E548">
        <v>638</v>
      </c>
      <c r="F548">
        <v>174</v>
      </c>
      <c r="G548">
        <v>6</v>
      </c>
      <c r="H548">
        <v>2417.98</v>
      </c>
      <c r="I548">
        <v>15457.74</v>
      </c>
      <c r="J548">
        <v>31</v>
      </c>
      <c r="K548">
        <v>0</v>
      </c>
      <c r="L548">
        <v>29</v>
      </c>
      <c r="M548">
        <v>37.1</v>
      </c>
      <c r="N548" t="s">
        <v>61</v>
      </c>
      <c r="O548" t="s">
        <v>53</v>
      </c>
      <c r="P548" t="s">
        <v>58</v>
      </c>
      <c r="R548">
        <f>SUMIF(A548:A5547,"C00548",I548:I5547)</f>
        <v>190772.3</v>
      </c>
      <c r="S548" s="1">
        <v>190772.3</v>
      </c>
      <c r="T548">
        <f t="shared" si="57"/>
        <v>498.636774193548</v>
      </c>
      <c r="U548">
        <f t="shared" si="58"/>
        <v>1150.1</v>
      </c>
      <c r="V548">
        <f t="shared" si="59"/>
        <v>95.8416666666667</v>
      </c>
      <c r="W548">
        <f t="shared" si="60"/>
        <v>5958.90666666667</v>
      </c>
      <c r="X548">
        <f t="shared" si="56"/>
        <v>0.263856607581535</v>
      </c>
      <c r="AH548" t="str">
        <f t="shared" si="62"/>
        <v>3rd Quality</v>
      </c>
      <c r="AJ548">
        <f>((T548-X548)*2)/29</f>
        <v>34.3705460404115</v>
      </c>
      <c r="AK548">
        <f t="shared" si="61"/>
        <v>318130.261935484</v>
      </c>
    </row>
    <row r="549" spans="1:37">
      <c r="A549" t="s">
        <v>612</v>
      </c>
      <c r="B549">
        <v>28</v>
      </c>
      <c r="C549" t="s">
        <v>44</v>
      </c>
      <c r="D549" t="s">
        <v>60</v>
      </c>
      <c r="E549">
        <v>597</v>
      </c>
      <c r="F549">
        <v>3</v>
      </c>
      <c r="G549">
        <v>36</v>
      </c>
      <c r="H549">
        <v>5671.08</v>
      </c>
      <c r="I549">
        <v>190772.3</v>
      </c>
      <c r="J549">
        <v>151</v>
      </c>
      <c r="K549">
        <v>7</v>
      </c>
      <c r="L549">
        <v>16.8</v>
      </c>
      <c r="M549">
        <v>29.5</v>
      </c>
      <c r="N549" t="s">
        <v>61</v>
      </c>
      <c r="O549" t="s">
        <v>53</v>
      </c>
      <c r="P549" t="s">
        <v>58</v>
      </c>
      <c r="R549">
        <f>SUMIF(A549:A5548,"C00549",I549:I5548)</f>
        <v>2937.58</v>
      </c>
      <c r="S549" s="1">
        <v>2937.58</v>
      </c>
      <c r="T549">
        <f t="shared" si="57"/>
        <v>1263.39271523179</v>
      </c>
      <c r="U549">
        <f t="shared" si="58"/>
        <v>4454.5</v>
      </c>
      <c r="V549">
        <f>U549*7</f>
        <v>31181.5</v>
      </c>
      <c r="W549">
        <f t="shared" si="60"/>
        <v>65481.46</v>
      </c>
      <c r="X549">
        <f t="shared" si="56"/>
        <v>0.10527095368078</v>
      </c>
      <c r="AH549" t="str">
        <f t="shared" si="62"/>
        <v>2nd Quality</v>
      </c>
      <c r="AJ549">
        <f>((T549-X549)*2)/16.8</f>
        <v>150.391362414061</v>
      </c>
      <c r="AK549">
        <f t="shared" si="61"/>
        <v>754245.450993377</v>
      </c>
    </row>
    <row r="550" spans="1:37">
      <c r="A550" t="s">
        <v>613</v>
      </c>
      <c r="B550">
        <v>37</v>
      </c>
      <c r="C550" t="s">
        <v>44</v>
      </c>
      <c r="D550" t="s">
        <v>45</v>
      </c>
      <c r="E550">
        <v>1399</v>
      </c>
      <c r="F550">
        <v>47</v>
      </c>
      <c r="G550">
        <v>3</v>
      </c>
      <c r="H550">
        <v>939.37</v>
      </c>
      <c r="I550">
        <v>2937.58</v>
      </c>
      <c r="J550">
        <v>25</v>
      </c>
      <c r="K550">
        <v>1</v>
      </c>
      <c r="L550">
        <v>23.8</v>
      </c>
      <c r="M550">
        <v>9.1</v>
      </c>
      <c r="N550" t="s">
        <v>63</v>
      </c>
      <c r="O550" t="s">
        <v>47</v>
      </c>
      <c r="P550" t="s">
        <v>58</v>
      </c>
      <c r="R550">
        <f>SUMIF(A550:A5549,"C00550",I550:I5549)</f>
        <v>8848.94</v>
      </c>
      <c r="S550" s="1">
        <v>8848.94</v>
      </c>
      <c r="T550">
        <f t="shared" si="57"/>
        <v>117.5032</v>
      </c>
      <c r="U550">
        <f t="shared" si="58"/>
        <v>227.5</v>
      </c>
      <c r="V550">
        <f>U550*1</f>
        <v>227.5</v>
      </c>
      <c r="W550">
        <f t="shared" si="60"/>
        <v>1292.65</v>
      </c>
      <c r="X550">
        <f t="shared" si="56"/>
        <v>1.48929601754367</v>
      </c>
      <c r="AH550" t="str">
        <f t="shared" si="62"/>
        <v>3rd Quality</v>
      </c>
      <c r="AJ550">
        <f>((T550-X550)*2)/23.8</f>
        <v>9.74906756155095</v>
      </c>
      <c r="AK550">
        <f t="shared" si="61"/>
        <v>164386.9768</v>
      </c>
    </row>
    <row r="551" spans="1:37">
      <c r="A551" t="s">
        <v>614</v>
      </c>
      <c r="B551">
        <v>37</v>
      </c>
      <c r="C551" t="s">
        <v>44</v>
      </c>
      <c r="D551" t="s">
        <v>51</v>
      </c>
      <c r="E551">
        <v>489</v>
      </c>
      <c r="F551">
        <v>44</v>
      </c>
      <c r="G551">
        <v>13</v>
      </c>
      <c r="H551">
        <v>730.05</v>
      </c>
      <c r="I551">
        <v>8848.94</v>
      </c>
      <c r="J551">
        <v>85</v>
      </c>
      <c r="K551">
        <v>1</v>
      </c>
      <c r="L551">
        <v>30.6</v>
      </c>
      <c r="M551">
        <v>14.2</v>
      </c>
      <c r="N551" t="s">
        <v>46</v>
      </c>
      <c r="O551" t="s">
        <v>47</v>
      </c>
      <c r="P551" t="s">
        <v>66</v>
      </c>
      <c r="R551">
        <f>SUMIF(A551:A5550,"C00551",I551:I5550)</f>
        <v>13800.44</v>
      </c>
      <c r="S551" s="1">
        <v>13800.44</v>
      </c>
      <c r="T551">
        <f t="shared" si="57"/>
        <v>104.105176470588</v>
      </c>
      <c r="U551">
        <f t="shared" si="58"/>
        <v>1207</v>
      </c>
      <c r="V551">
        <f>U551*1</f>
        <v>1207</v>
      </c>
      <c r="W551">
        <f t="shared" si="60"/>
        <v>3193.33</v>
      </c>
      <c r="X551">
        <f t="shared" si="56"/>
        <v>0.669817135812616</v>
      </c>
      <c r="AH551" t="str">
        <f t="shared" si="62"/>
        <v>3rd Quality</v>
      </c>
      <c r="AJ551">
        <f>((T551-X551)*2)/30.6</f>
        <v>6.7604810022729</v>
      </c>
      <c r="AK551">
        <f t="shared" si="61"/>
        <v>50907.4312941177</v>
      </c>
    </row>
    <row r="552" spans="1:37">
      <c r="A552" t="s">
        <v>615</v>
      </c>
      <c r="B552">
        <v>22</v>
      </c>
      <c r="C552" t="s">
        <v>44</v>
      </c>
      <c r="D552" t="s">
        <v>60</v>
      </c>
      <c r="E552">
        <v>582</v>
      </c>
      <c r="F552">
        <v>113</v>
      </c>
      <c r="G552">
        <v>10</v>
      </c>
      <c r="H552">
        <v>1274.42</v>
      </c>
      <c r="I552">
        <v>13800.44</v>
      </c>
      <c r="J552">
        <v>26</v>
      </c>
      <c r="K552">
        <v>0</v>
      </c>
      <c r="L552">
        <v>22.7</v>
      </c>
      <c r="M552">
        <v>8.7</v>
      </c>
      <c r="N552" t="s">
        <v>57</v>
      </c>
      <c r="O552" t="s">
        <v>47</v>
      </c>
      <c r="P552" t="s">
        <v>54</v>
      </c>
      <c r="R552">
        <f>SUMIF(A552:A5551,"C00552",I552:I5551)</f>
        <v>83477.05</v>
      </c>
      <c r="S552" s="1">
        <v>83477.05</v>
      </c>
      <c r="T552">
        <f t="shared" si="57"/>
        <v>530.786153846154</v>
      </c>
      <c r="U552">
        <f t="shared" si="58"/>
        <v>226.2</v>
      </c>
      <c r="V552">
        <f t="shared" si="59"/>
        <v>18.85</v>
      </c>
      <c r="W552">
        <f t="shared" si="60"/>
        <v>5025.28666666667</v>
      </c>
      <c r="X552">
        <f t="shared" si="56"/>
        <v>0.456678332104016</v>
      </c>
      <c r="AH552" t="str">
        <f t="shared" si="62"/>
        <v>3rd Quality</v>
      </c>
      <c r="AJ552">
        <f>((T552-X552)*2)/22.7</f>
        <v>46.7250639219427</v>
      </c>
      <c r="AK552">
        <f t="shared" si="61"/>
        <v>308917.541538462</v>
      </c>
    </row>
    <row r="553" spans="1:37">
      <c r="A553" t="s">
        <v>616</v>
      </c>
      <c r="B553">
        <v>30</v>
      </c>
      <c r="C553" t="s">
        <v>44</v>
      </c>
      <c r="D553" t="s">
        <v>45</v>
      </c>
      <c r="E553">
        <v>1088</v>
      </c>
      <c r="F553">
        <v>6</v>
      </c>
      <c r="G553">
        <v>20</v>
      </c>
      <c r="H553">
        <v>3823.89</v>
      </c>
      <c r="I553">
        <v>83477.05</v>
      </c>
      <c r="J553">
        <v>88</v>
      </c>
      <c r="K553">
        <v>5</v>
      </c>
      <c r="L553">
        <v>19.3</v>
      </c>
      <c r="M553">
        <v>43.2</v>
      </c>
      <c r="N553" t="s">
        <v>46</v>
      </c>
      <c r="O553" t="s">
        <v>47</v>
      </c>
      <c r="P553" t="s">
        <v>66</v>
      </c>
      <c r="R553">
        <f>SUMIF(A553:A5552,"C00553",I553:I5552)</f>
        <v>125588.25</v>
      </c>
      <c r="S553" s="1">
        <v>125588.25</v>
      </c>
      <c r="T553">
        <f t="shared" si="57"/>
        <v>948.602840909091</v>
      </c>
      <c r="U553">
        <f t="shared" si="58"/>
        <v>3801.6</v>
      </c>
      <c r="V553">
        <f>U553*5</f>
        <v>19008</v>
      </c>
      <c r="W553">
        <f t="shared" si="60"/>
        <v>29100.6466666667</v>
      </c>
      <c r="X553">
        <f t="shared" si="56"/>
        <v>0.284527013067845</v>
      </c>
      <c r="AH553" t="str">
        <f t="shared" si="62"/>
        <v>1st Quality</v>
      </c>
      <c r="AJ553">
        <f>((T553-X553)*2)/19.3</f>
        <v>98.2713278648729</v>
      </c>
      <c r="AK553">
        <f t="shared" si="61"/>
        <v>1032079.89090909</v>
      </c>
    </row>
    <row r="554" spans="1:37">
      <c r="A554" t="s">
        <v>617</v>
      </c>
      <c r="B554">
        <v>41</v>
      </c>
      <c r="C554" t="s">
        <v>50</v>
      </c>
      <c r="D554" t="s">
        <v>60</v>
      </c>
      <c r="E554">
        <v>752</v>
      </c>
      <c r="F554">
        <v>4</v>
      </c>
      <c r="G554">
        <v>29</v>
      </c>
      <c r="H554">
        <v>4673.18</v>
      </c>
      <c r="I554">
        <v>125588.25</v>
      </c>
      <c r="J554">
        <v>180</v>
      </c>
      <c r="K554">
        <v>6</v>
      </c>
      <c r="L554">
        <v>13.2</v>
      </c>
      <c r="M554">
        <v>42.8</v>
      </c>
      <c r="N554" t="s">
        <v>46</v>
      </c>
      <c r="O554" t="s">
        <v>75</v>
      </c>
      <c r="P554" t="s">
        <v>48</v>
      </c>
      <c r="R554">
        <f>SUMIF(A554:A5553,"C00554",I554:I5553)</f>
        <v>793.29</v>
      </c>
      <c r="S554" s="1">
        <v>793.29</v>
      </c>
      <c r="T554">
        <f t="shared" si="57"/>
        <v>697.7125</v>
      </c>
      <c r="U554">
        <f t="shared" si="58"/>
        <v>7704</v>
      </c>
      <c r="V554">
        <f>U554*6</f>
        <v>46224</v>
      </c>
      <c r="W554">
        <f t="shared" si="60"/>
        <v>43420.81</v>
      </c>
      <c r="X554">
        <f t="shared" si="56"/>
        <v>0.160918261226831</v>
      </c>
      <c r="AH554" t="str">
        <f t="shared" si="62"/>
        <v>2nd Quality</v>
      </c>
      <c r="AJ554">
        <f>((T554-X554)*2)/13.2</f>
        <v>105.689633596784</v>
      </c>
      <c r="AK554">
        <f t="shared" si="61"/>
        <v>524679.8</v>
      </c>
    </row>
    <row r="555" spans="1:37">
      <c r="A555" t="s">
        <v>618</v>
      </c>
      <c r="B555">
        <v>29</v>
      </c>
      <c r="C555" t="s">
        <v>50</v>
      </c>
      <c r="D555" t="s">
        <v>60</v>
      </c>
      <c r="E555">
        <v>1353</v>
      </c>
      <c r="F555">
        <v>175</v>
      </c>
      <c r="G555">
        <v>1</v>
      </c>
      <c r="H555">
        <v>867.5</v>
      </c>
      <c r="I555">
        <v>793.29</v>
      </c>
      <c r="J555">
        <v>12</v>
      </c>
      <c r="K555">
        <v>0</v>
      </c>
      <c r="L555">
        <v>21.4</v>
      </c>
      <c r="M555">
        <v>13.9</v>
      </c>
      <c r="N555" t="s">
        <v>61</v>
      </c>
      <c r="O555" t="s">
        <v>47</v>
      </c>
      <c r="P555" t="s">
        <v>58</v>
      </c>
      <c r="R555">
        <f>SUMIF(A555:A5554,"C00555",I555:I5554)</f>
        <v>45307.74</v>
      </c>
      <c r="S555" s="1">
        <v>45307.74</v>
      </c>
      <c r="T555">
        <f t="shared" si="57"/>
        <v>66.1075</v>
      </c>
      <c r="U555">
        <f t="shared" si="58"/>
        <v>166.8</v>
      </c>
      <c r="V555">
        <f t="shared" si="59"/>
        <v>13.9</v>
      </c>
      <c r="W555">
        <f t="shared" si="60"/>
        <v>553.93</v>
      </c>
      <c r="X555">
        <f t="shared" si="56"/>
        <v>1.55965417867435</v>
      </c>
      <c r="AH555" t="str">
        <f t="shared" si="62"/>
        <v>3rd Quality</v>
      </c>
      <c r="AJ555">
        <f>((T555-X555)*2)/21.4</f>
        <v>6.03250895526408</v>
      </c>
      <c r="AK555">
        <f t="shared" si="61"/>
        <v>89443.4475</v>
      </c>
    </row>
    <row r="556" spans="1:37">
      <c r="A556" t="s">
        <v>619</v>
      </c>
      <c r="B556">
        <v>25</v>
      </c>
      <c r="C556" t="s">
        <v>44</v>
      </c>
      <c r="D556" t="s">
        <v>60</v>
      </c>
      <c r="E556">
        <v>1016</v>
      </c>
      <c r="F556">
        <v>17</v>
      </c>
      <c r="G556">
        <v>18</v>
      </c>
      <c r="H556">
        <v>2389.04</v>
      </c>
      <c r="I556">
        <v>45307.74</v>
      </c>
      <c r="J556">
        <v>51</v>
      </c>
      <c r="K556">
        <v>3</v>
      </c>
      <c r="L556">
        <v>10.7</v>
      </c>
      <c r="M556">
        <v>36.5</v>
      </c>
      <c r="N556" t="s">
        <v>52</v>
      </c>
      <c r="O556" t="s">
        <v>47</v>
      </c>
      <c r="P556" t="s">
        <v>58</v>
      </c>
      <c r="R556">
        <f>SUMIF(A556:A5555,"C00556",I556:I5555)</f>
        <v>27614.13</v>
      </c>
      <c r="S556" s="1">
        <v>27614.13</v>
      </c>
      <c r="T556">
        <f t="shared" si="57"/>
        <v>888.387058823529</v>
      </c>
      <c r="U556">
        <f t="shared" si="58"/>
        <v>1861.5</v>
      </c>
      <c r="V556">
        <f>U556*3</f>
        <v>5584.5</v>
      </c>
      <c r="W556">
        <f t="shared" si="60"/>
        <v>15899.26</v>
      </c>
      <c r="X556">
        <f t="shared" si="56"/>
        <v>0.425275424438268</v>
      </c>
      <c r="AH556" t="str">
        <f t="shared" si="62"/>
        <v>1st Quality</v>
      </c>
      <c r="AJ556">
        <f>((T556-X556)*2)/10.7</f>
        <v>165.974165121325</v>
      </c>
      <c r="AK556">
        <f t="shared" si="61"/>
        <v>902601.251764706</v>
      </c>
    </row>
    <row r="557" spans="1:37">
      <c r="A557" t="s">
        <v>620</v>
      </c>
      <c r="B557">
        <v>18</v>
      </c>
      <c r="C557" t="s">
        <v>50</v>
      </c>
      <c r="D557" t="s">
        <v>45</v>
      </c>
      <c r="E557">
        <v>516</v>
      </c>
      <c r="F557">
        <v>63</v>
      </c>
      <c r="G557">
        <v>13</v>
      </c>
      <c r="H557">
        <v>2049</v>
      </c>
      <c r="I557">
        <v>27614.13</v>
      </c>
      <c r="J557">
        <v>34</v>
      </c>
      <c r="K557">
        <v>2</v>
      </c>
      <c r="L557">
        <v>16.9</v>
      </c>
      <c r="M557">
        <v>22.9</v>
      </c>
      <c r="N557" t="s">
        <v>52</v>
      </c>
      <c r="O557" t="s">
        <v>47</v>
      </c>
      <c r="P557" t="s">
        <v>58</v>
      </c>
      <c r="R557">
        <f>SUMIF(A557:A5556,"C00557",I557:I5556)</f>
        <v>24585.05</v>
      </c>
      <c r="S557" s="1">
        <v>24585.05</v>
      </c>
      <c r="T557">
        <f t="shared" si="57"/>
        <v>812.180294117647</v>
      </c>
      <c r="U557">
        <f t="shared" si="58"/>
        <v>778.6</v>
      </c>
      <c r="V557">
        <f>U557*2</f>
        <v>1557.2</v>
      </c>
      <c r="W557">
        <f t="shared" si="60"/>
        <v>9888.04333333333</v>
      </c>
      <c r="X557">
        <f t="shared" si="56"/>
        <v>0.251830161054173</v>
      </c>
      <c r="AH557" t="str">
        <f t="shared" si="62"/>
        <v>2nd Quality</v>
      </c>
      <c r="AJ557">
        <f>((T557-X557)*2)/16.9</f>
        <v>96.0862087522595</v>
      </c>
      <c r="AK557">
        <f t="shared" si="61"/>
        <v>419085.031764706</v>
      </c>
    </row>
    <row r="558" spans="1:37">
      <c r="A558" t="s">
        <v>621</v>
      </c>
      <c r="B558">
        <v>18</v>
      </c>
      <c r="C558" t="s">
        <v>44</v>
      </c>
      <c r="D558" t="s">
        <v>60</v>
      </c>
      <c r="E558">
        <v>896</v>
      </c>
      <c r="F558">
        <v>55</v>
      </c>
      <c r="G558">
        <v>10</v>
      </c>
      <c r="H558">
        <v>2388.76</v>
      </c>
      <c r="I558">
        <v>24585.05</v>
      </c>
      <c r="J558">
        <v>87</v>
      </c>
      <c r="K558">
        <v>0</v>
      </c>
      <c r="L558">
        <v>12.8</v>
      </c>
      <c r="M558">
        <v>4.1</v>
      </c>
      <c r="N558" t="s">
        <v>78</v>
      </c>
      <c r="O558" t="s">
        <v>53</v>
      </c>
      <c r="P558" t="s">
        <v>58</v>
      </c>
      <c r="R558">
        <f>SUMIF(A558:A5557,"C00558",I558:I5557)</f>
        <v>56068.84</v>
      </c>
      <c r="S558" s="1">
        <v>56068.84</v>
      </c>
      <c r="T558">
        <f t="shared" si="57"/>
        <v>282.586781609195</v>
      </c>
      <c r="U558">
        <f t="shared" si="58"/>
        <v>356.7</v>
      </c>
      <c r="V558">
        <f t="shared" si="59"/>
        <v>29.725</v>
      </c>
      <c r="W558">
        <f t="shared" si="60"/>
        <v>8991.60333333333</v>
      </c>
      <c r="X558">
        <f t="shared" si="56"/>
        <v>0.375090004856076</v>
      </c>
      <c r="AH558" t="str">
        <f t="shared" si="62"/>
        <v>2nd Quality</v>
      </c>
      <c r="AJ558">
        <f>((T558-X558)*2)/12.8</f>
        <v>44.0955768131779</v>
      </c>
      <c r="AK558">
        <f t="shared" si="61"/>
        <v>253197.756321839</v>
      </c>
    </row>
    <row r="559" spans="1:37">
      <c r="A559" t="s">
        <v>622</v>
      </c>
      <c r="B559">
        <v>57</v>
      </c>
      <c r="C559" t="s">
        <v>50</v>
      </c>
      <c r="D559" t="s">
        <v>51</v>
      </c>
      <c r="E559">
        <v>483</v>
      </c>
      <c r="F559">
        <v>101</v>
      </c>
      <c r="G559">
        <v>5</v>
      </c>
      <c r="H559">
        <v>11188.56</v>
      </c>
      <c r="I559">
        <v>56068.84</v>
      </c>
      <c r="J559">
        <v>34</v>
      </c>
      <c r="K559">
        <v>1</v>
      </c>
      <c r="L559">
        <v>7.4</v>
      </c>
      <c r="M559">
        <v>36.1</v>
      </c>
      <c r="N559" t="s">
        <v>46</v>
      </c>
      <c r="O559" t="s">
        <v>75</v>
      </c>
      <c r="P559" t="s">
        <v>68</v>
      </c>
      <c r="R559">
        <f>SUMIF(A559:A5558,"C00559",I559:I5558)</f>
        <v>26779.41</v>
      </c>
      <c r="S559" s="1">
        <v>26779.41</v>
      </c>
      <c r="T559">
        <f t="shared" si="57"/>
        <v>1649.08352941176</v>
      </c>
      <c r="U559">
        <f t="shared" si="58"/>
        <v>1227.4</v>
      </c>
      <c r="V559">
        <f>U559*1</f>
        <v>1227.4</v>
      </c>
      <c r="W559">
        <f t="shared" si="60"/>
        <v>22419.4666666667</v>
      </c>
      <c r="X559">
        <f t="shared" ref="X559:X622" si="63">E559/H559</f>
        <v>0.0431690941461636</v>
      </c>
      <c r="AH559" t="str">
        <f t="shared" si="62"/>
        <v>3rd Quality</v>
      </c>
      <c r="AJ559">
        <f>((T559-X559)*2)/7.4</f>
        <v>445.686583869625</v>
      </c>
      <c r="AK559">
        <f t="shared" si="61"/>
        <v>796507.344705882</v>
      </c>
    </row>
    <row r="560" spans="1:37">
      <c r="A560" t="s">
        <v>623</v>
      </c>
      <c r="B560">
        <v>23</v>
      </c>
      <c r="C560" t="s">
        <v>50</v>
      </c>
      <c r="D560" t="s">
        <v>60</v>
      </c>
      <c r="E560">
        <v>835</v>
      </c>
      <c r="F560">
        <v>52</v>
      </c>
      <c r="G560">
        <v>2</v>
      </c>
      <c r="H560">
        <v>14698.22</v>
      </c>
      <c r="I560">
        <v>26779.41</v>
      </c>
      <c r="J560">
        <v>10</v>
      </c>
      <c r="K560">
        <v>0</v>
      </c>
      <c r="L560">
        <v>5.3</v>
      </c>
      <c r="M560">
        <v>21</v>
      </c>
      <c r="N560" t="s">
        <v>57</v>
      </c>
      <c r="O560" t="s">
        <v>53</v>
      </c>
      <c r="P560" t="s">
        <v>58</v>
      </c>
      <c r="R560">
        <f>SUMIF(A560:A5559,"C00560",I560:I5559)</f>
        <v>47556.93</v>
      </c>
      <c r="S560" s="1">
        <v>47556.93</v>
      </c>
      <c r="T560">
        <f t="shared" si="57"/>
        <v>2677.941</v>
      </c>
      <c r="U560">
        <f t="shared" si="58"/>
        <v>210</v>
      </c>
      <c r="V560">
        <f t="shared" si="59"/>
        <v>17.5</v>
      </c>
      <c r="W560">
        <f t="shared" si="60"/>
        <v>13826.21</v>
      </c>
      <c r="X560">
        <f t="shared" si="63"/>
        <v>0.0568096000740226</v>
      </c>
      <c r="AH560" t="str">
        <f t="shared" si="62"/>
        <v>2nd Quality</v>
      </c>
      <c r="AJ560">
        <f>((T560-X560)*2)/5.3</f>
        <v>1010.52233599997</v>
      </c>
      <c r="AK560">
        <f t="shared" si="61"/>
        <v>2236080.735</v>
      </c>
    </row>
    <row r="561" spans="1:37">
      <c r="A561" t="s">
        <v>624</v>
      </c>
      <c r="B561">
        <v>26</v>
      </c>
      <c r="C561" t="s">
        <v>50</v>
      </c>
      <c r="D561" t="s">
        <v>60</v>
      </c>
      <c r="E561">
        <v>1356</v>
      </c>
      <c r="F561">
        <v>60</v>
      </c>
      <c r="G561">
        <v>4</v>
      </c>
      <c r="H561">
        <v>11294.31</v>
      </c>
      <c r="I561">
        <v>47556.93</v>
      </c>
      <c r="J561">
        <v>41</v>
      </c>
      <c r="K561">
        <v>1</v>
      </c>
      <c r="L561">
        <v>24.2</v>
      </c>
      <c r="M561">
        <v>12.6</v>
      </c>
      <c r="N561" t="s">
        <v>61</v>
      </c>
      <c r="O561" t="s">
        <v>47</v>
      </c>
      <c r="P561" t="s">
        <v>68</v>
      </c>
      <c r="R561">
        <f>SUMIF(A561:A5560,"C00561",I561:I5560)</f>
        <v>131446.02</v>
      </c>
      <c r="S561" s="1">
        <v>131446.02</v>
      </c>
      <c r="T561">
        <f t="shared" si="57"/>
        <v>1159.92512195122</v>
      </c>
      <c r="U561">
        <f t="shared" si="58"/>
        <v>516.6</v>
      </c>
      <c r="V561">
        <f>U561*1</f>
        <v>516.6</v>
      </c>
      <c r="W561">
        <f t="shared" si="60"/>
        <v>19617.4133333333</v>
      </c>
      <c r="X561">
        <f t="shared" si="63"/>
        <v>0.120060455220372</v>
      </c>
      <c r="AH561" t="str">
        <f t="shared" si="62"/>
        <v>1st Quality</v>
      </c>
      <c r="AJ561">
        <f>((T561-X561)*2)/24.2</f>
        <v>95.851657974876</v>
      </c>
      <c r="AK561">
        <f t="shared" si="61"/>
        <v>1572858.46536585</v>
      </c>
    </row>
    <row r="562" spans="1:37">
      <c r="A562" t="s">
        <v>625</v>
      </c>
      <c r="B562">
        <v>46</v>
      </c>
      <c r="C562" t="s">
        <v>44</v>
      </c>
      <c r="D562" t="s">
        <v>45</v>
      </c>
      <c r="E562">
        <v>893</v>
      </c>
      <c r="F562">
        <v>22</v>
      </c>
      <c r="G562">
        <v>31</v>
      </c>
      <c r="H562">
        <v>4614.13</v>
      </c>
      <c r="I562">
        <v>131446.02</v>
      </c>
      <c r="J562">
        <v>258</v>
      </c>
      <c r="K562">
        <v>5</v>
      </c>
      <c r="L562">
        <v>14.2</v>
      </c>
      <c r="M562">
        <v>41.3</v>
      </c>
      <c r="N562" t="s">
        <v>57</v>
      </c>
      <c r="O562" t="s">
        <v>47</v>
      </c>
      <c r="P562" t="s">
        <v>58</v>
      </c>
      <c r="R562">
        <f>SUMIF(A562:A5561,"C00562",I562:I5561)</f>
        <v>11529.66</v>
      </c>
      <c r="S562" s="1">
        <v>11529.66</v>
      </c>
      <c r="T562">
        <f t="shared" si="57"/>
        <v>509.480697674419</v>
      </c>
      <c r="U562">
        <f t="shared" si="58"/>
        <v>10655.4</v>
      </c>
      <c r="V562">
        <f>U562*5</f>
        <v>53277</v>
      </c>
      <c r="W562">
        <f t="shared" si="60"/>
        <v>45353.7166666667</v>
      </c>
      <c r="X562">
        <f t="shared" si="63"/>
        <v>0.193535942853799</v>
      </c>
      <c r="AH562" t="str">
        <f t="shared" si="62"/>
        <v>3rd Quality</v>
      </c>
      <c r="AJ562">
        <f>((T562-X562)*2)/14.2</f>
        <v>71.7305861593754</v>
      </c>
      <c r="AK562">
        <f t="shared" si="61"/>
        <v>454966.263023256</v>
      </c>
    </row>
    <row r="563" spans="1:37">
      <c r="A563" t="s">
        <v>626</v>
      </c>
      <c r="B563">
        <v>23</v>
      </c>
      <c r="C563" t="s">
        <v>44</v>
      </c>
      <c r="D563" t="s">
        <v>60</v>
      </c>
      <c r="E563">
        <v>1090</v>
      </c>
      <c r="F563">
        <v>14</v>
      </c>
      <c r="G563">
        <v>8</v>
      </c>
      <c r="H563">
        <v>1426.54</v>
      </c>
      <c r="I563">
        <v>11529.66</v>
      </c>
      <c r="J563">
        <v>65</v>
      </c>
      <c r="K563">
        <v>2</v>
      </c>
      <c r="L563">
        <v>16.1</v>
      </c>
      <c r="M563">
        <v>34.3</v>
      </c>
      <c r="N563" t="s">
        <v>78</v>
      </c>
      <c r="O563" t="s">
        <v>53</v>
      </c>
      <c r="P563" t="s">
        <v>58</v>
      </c>
      <c r="R563">
        <f>SUMIF(A563:A5562,"C00563",I563:I5562)</f>
        <v>1965.02</v>
      </c>
      <c r="S563" s="1">
        <v>1965.02</v>
      </c>
      <c r="T563">
        <f t="shared" si="57"/>
        <v>177.379384615385</v>
      </c>
      <c r="U563">
        <f t="shared" si="58"/>
        <v>2229.5</v>
      </c>
      <c r="V563">
        <f>U563*2</f>
        <v>4459</v>
      </c>
      <c r="W563">
        <f t="shared" si="60"/>
        <v>4319.06666666667</v>
      </c>
      <c r="X563">
        <f t="shared" si="63"/>
        <v>0.764086531047149</v>
      </c>
      <c r="AH563" t="str">
        <f t="shared" si="62"/>
        <v>3rd Quality</v>
      </c>
      <c r="AJ563">
        <f>((T563-X563)*2)/16.1</f>
        <v>21.9397885819053</v>
      </c>
      <c r="AK563">
        <f t="shared" si="61"/>
        <v>193343.529230769</v>
      </c>
    </row>
    <row r="564" spans="1:37">
      <c r="A564" t="s">
        <v>627</v>
      </c>
      <c r="B564">
        <v>28</v>
      </c>
      <c r="C564" t="s">
        <v>50</v>
      </c>
      <c r="D564" t="s">
        <v>60</v>
      </c>
      <c r="E564">
        <v>792</v>
      </c>
      <c r="F564">
        <v>86</v>
      </c>
      <c r="G564">
        <v>2</v>
      </c>
      <c r="H564">
        <v>1020.06</v>
      </c>
      <c r="I564">
        <v>1965.02</v>
      </c>
      <c r="J564">
        <v>18</v>
      </c>
      <c r="K564">
        <v>0</v>
      </c>
      <c r="L564">
        <v>28.4</v>
      </c>
      <c r="M564">
        <v>9.5</v>
      </c>
      <c r="N564" t="s">
        <v>52</v>
      </c>
      <c r="O564" t="s">
        <v>47</v>
      </c>
      <c r="P564" t="s">
        <v>58</v>
      </c>
      <c r="R564">
        <f>SUMIF(A564:A5563,"C00564",I564:I5563)</f>
        <v>5730.33</v>
      </c>
      <c r="S564" s="1">
        <v>5730.33</v>
      </c>
      <c r="T564">
        <f t="shared" si="57"/>
        <v>109.167777777778</v>
      </c>
      <c r="U564">
        <f t="shared" si="58"/>
        <v>171</v>
      </c>
      <c r="V564">
        <f t="shared" si="59"/>
        <v>14.25</v>
      </c>
      <c r="W564">
        <f t="shared" si="60"/>
        <v>995.36</v>
      </c>
      <c r="X564">
        <f t="shared" si="63"/>
        <v>0.776424916181401</v>
      </c>
      <c r="AH564" t="str">
        <f t="shared" si="62"/>
        <v>3rd Quality</v>
      </c>
      <c r="AJ564">
        <f>((T564-X564)*2)/28.4</f>
        <v>7.63319386349272</v>
      </c>
      <c r="AK564">
        <f t="shared" si="61"/>
        <v>86460.88</v>
      </c>
    </row>
    <row r="565" spans="1:37">
      <c r="A565" t="s">
        <v>628</v>
      </c>
      <c r="B565">
        <v>44</v>
      </c>
      <c r="C565" t="s">
        <v>44</v>
      </c>
      <c r="D565" t="s">
        <v>60</v>
      </c>
      <c r="E565">
        <v>1427</v>
      </c>
      <c r="F565">
        <v>15</v>
      </c>
      <c r="G565">
        <v>1</v>
      </c>
      <c r="H565">
        <v>5971.61</v>
      </c>
      <c r="I565">
        <v>5730.33</v>
      </c>
      <c r="J565">
        <v>16</v>
      </c>
      <c r="K565">
        <v>1</v>
      </c>
      <c r="L565">
        <v>3.4</v>
      </c>
      <c r="M565">
        <v>9.8</v>
      </c>
      <c r="N565" t="s">
        <v>46</v>
      </c>
      <c r="O565" t="s">
        <v>47</v>
      </c>
      <c r="P565" t="s">
        <v>68</v>
      </c>
      <c r="R565">
        <f>SUMIF(A565:A5564,"C00565",I565:I5564)</f>
        <v>40489.34</v>
      </c>
      <c r="S565" s="1">
        <v>40489.34</v>
      </c>
      <c r="T565">
        <f t="shared" si="57"/>
        <v>358.145625</v>
      </c>
      <c r="U565">
        <f t="shared" si="58"/>
        <v>156.8</v>
      </c>
      <c r="V565">
        <f>U565*1</f>
        <v>156.8</v>
      </c>
      <c r="W565">
        <f t="shared" si="60"/>
        <v>3900.98</v>
      </c>
      <c r="X565">
        <f t="shared" si="63"/>
        <v>0.238964031475599</v>
      </c>
      <c r="AH565" t="str">
        <f t="shared" si="62"/>
        <v>3rd Quality</v>
      </c>
      <c r="AJ565">
        <f>((T565-X565)*2)/3.4</f>
        <v>210.533329981485</v>
      </c>
      <c r="AK565">
        <f t="shared" si="61"/>
        <v>511073.806875</v>
      </c>
    </row>
    <row r="566" spans="1:37">
      <c r="A566" t="s">
        <v>629</v>
      </c>
      <c r="B566">
        <v>35</v>
      </c>
      <c r="C566" t="s">
        <v>44</v>
      </c>
      <c r="D566" t="s">
        <v>45</v>
      </c>
      <c r="E566">
        <v>1020</v>
      </c>
      <c r="F566">
        <v>16</v>
      </c>
      <c r="G566">
        <v>3</v>
      </c>
      <c r="H566">
        <v>12499.69</v>
      </c>
      <c r="I566">
        <v>40489.34</v>
      </c>
      <c r="J566">
        <v>33</v>
      </c>
      <c r="K566">
        <v>0</v>
      </c>
      <c r="L566">
        <v>5.7</v>
      </c>
      <c r="M566">
        <v>33.9</v>
      </c>
      <c r="N566" t="s">
        <v>61</v>
      </c>
      <c r="O566" t="s">
        <v>47</v>
      </c>
      <c r="P566" t="s">
        <v>66</v>
      </c>
      <c r="R566">
        <f>SUMIF(A566:A5565,"C00566",I566:I5565)</f>
        <v>522.58</v>
      </c>
      <c r="S566" s="1">
        <v>522.58</v>
      </c>
      <c r="T566">
        <f t="shared" si="57"/>
        <v>1226.9496969697</v>
      </c>
      <c r="U566">
        <f t="shared" si="58"/>
        <v>1118.7</v>
      </c>
      <c r="V566">
        <f t="shared" si="59"/>
        <v>93.225</v>
      </c>
      <c r="W566">
        <f t="shared" si="60"/>
        <v>17663.3433333333</v>
      </c>
      <c r="X566">
        <f t="shared" si="63"/>
        <v>0.0816020237301885</v>
      </c>
      <c r="AH566" t="str">
        <f t="shared" si="62"/>
        <v>2nd Quality</v>
      </c>
      <c r="AJ566">
        <f>((T566-X566)*2)/5.7</f>
        <v>430.480033314375</v>
      </c>
      <c r="AK566">
        <f t="shared" si="61"/>
        <v>1251488.69090909</v>
      </c>
    </row>
    <row r="567" spans="1:37">
      <c r="A567" t="s">
        <v>630</v>
      </c>
      <c r="B567">
        <v>19</v>
      </c>
      <c r="C567" t="s">
        <v>44</v>
      </c>
      <c r="D567" t="s">
        <v>51</v>
      </c>
      <c r="E567">
        <v>1144</v>
      </c>
      <c r="F567">
        <v>72</v>
      </c>
      <c r="G567">
        <v>1</v>
      </c>
      <c r="H567">
        <v>528.13</v>
      </c>
      <c r="I567">
        <v>522.58</v>
      </c>
      <c r="J567">
        <v>16</v>
      </c>
      <c r="K567">
        <v>0</v>
      </c>
      <c r="L567">
        <v>19.8</v>
      </c>
      <c r="M567">
        <v>5.7</v>
      </c>
      <c r="N567" t="s">
        <v>63</v>
      </c>
      <c r="O567" t="s">
        <v>47</v>
      </c>
      <c r="P567" t="s">
        <v>58</v>
      </c>
      <c r="R567">
        <f>SUMIF(A567:A5566,"C00567",I567:I5566)</f>
        <v>1116.17</v>
      </c>
      <c r="S567" s="1">
        <v>1116.17</v>
      </c>
      <c r="T567">
        <f t="shared" si="57"/>
        <v>32.66125</v>
      </c>
      <c r="U567">
        <f t="shared" si="58"/>
        <v>91.2</v>
      </c>
      <c r="V567">
        <f t="shared" si="59"/>
        <v>7.6</v>
      </c>
      <c r="W567">
        <f t="shared" si="60"/>
        <v>350.57</v>
      </c>
      <c r="X567">
        <f t="shared" si="63"/>
        <v>2.1661333383826</v>
      </c>
      <c r="AH567" t="str">
        <f t="shared" si="62"/>
        <v>3rd Quality</v>
      </c>
      <c r="AJ567">
        <f>((T567-X567)*2)/19.8</f>
        <v>3.08031481430479</v>
      </c>
      <c r="AK567">
        <f t="shared" si="61"/>
        <v>37364.47</v>
      </c>
    </row>
    <row r="568" spans="1:37">
      <c r="A568" t="s">
        <v>631</v>
      </c>
      <c r="B568">
        <v>27</v>
      </c>
      <c r="C568" t="s">
        <v>50</v>
      </c>
      <c r="D568" t="s">
        <v>60</v>
      </c>
      <c r="E568">
        <v>1239</v>
      </c>
      <c r="F568">
        <v>126</v>
      </c>
      <c r="G568">
        <v>1</v>
      </c>
      <c r="H568">
        <v>1117.92</v>
      </c>
      <c r="I568">
        <v>1116.17</v>
      </c>
      <c r="J568">
        <v>17</v>
      </c>
      <c r="K568">
        <v>0</v>
      </c>
      <c r="L568">
        <v>35.4</v>
      </c>
      <c r="M568">
        <v>30.7</v>
      </c>
      <c r="N568" t="s">
        <v>57</v>
      </c>
      <c r="O568" t="s">
        <v>75</v>
      </c>
      <c r="P568" t="s">
        <v>48</v>
      </c>
      <c r="R568">
        <f>SUMIF(A568:A5567,"C00568",I568:I5567)</f>
        <v>77112.5</v>
      </c>
      <c r="S568" s="1">
        <v>77112.5</v>
      </c>
      <c r="T568">
        <f t="shared" si="57"/>
        <v>65.6570588235294</v>
      </c>
      <c r="U568">
        <f t="shared" si="58"/>
        <v>521.9</v>
      </c>
      <c r="V568">
        <f t="shared" si="59"/>
        <v>43.4916666666667</v>
      </c>
      <c r="W568">
        <f t="shared" si="60"/>
        <v>745.03</v>
      </c>
      <c r="X568">
        <f t="shared" si="63"/>
        <v>1.10830828681838</v>
      </c>
      <c r="AH568" t="str">
        <f t="shared" si="62"/>
        <v>3rd Quality</v>
      </c>
      <c r="AJ568">
        <f>((T568-X568)*2)/35.4</f>
        <v>3.64682206422096</v>
      </c>
      <c r="AK568">
        <f t="shared" si="61"/>
        <v>81349.0958823529</v>
      </c>
    </row>
    <row r="569" spans="1:37">
      <c r="A569" t="s">
        <v>632</v>
      </c>
      <c r="B569">
        <v>44</v>
      </c>
      <c r="C569" t="s">
        <v>44</v>
      </c>
      <c r="D569" t="s">
        <v>60</v>
      </c>
      <c r="E569">
        <v>1211</v>
      </c>
      <c r="F569">
        <v>31</v>
      </c>
      <c r="G569">
        <v>26</v>
      </c>
      <c r="H569">
        <v>2708.34</v>
      </c>
      <c r="I569">
        <v>77112.5</v>
      </c>
      <c r="J569">
        <v>191</v>
      </c>
      <c r="K569">
        <v>1</v>
      </c>
      <c r="L569">
        <v>6.2</v>
      </c>
      <c r="M569">
        <v>39.7</v>
      </c>
      <c r="N569" t="s">
        <v>52</v>
      </c>
      <c r="O569" t="s">
        <v>47</v>
      </c>
      <c r="P569" t="s">
        <v>58</v>
      </c>
      <c r="R569">
        <f>SUMIF(A569:A5568,"C00569",I569:I5568)</f>
        <v>12604.68</v>
      </c>
      <c r="S569" s="1">
        <v>12604.68</v>
      </c>
      <c r="T569">
        <f t="shared" si="57"/>
        <v>403.730366492147</v>
      </c>
      <c r="U569">
        <f t="shared" si="58"/>
        <v>7582.7</v>
      </c>
      <c r="V569">
        <f>U569*1</f>
        <v>7582.7</v>
      </c>
      <c r="W569">
        <f t="shared" si="60"/>
        <v>26607.28</v>
      </c>
      <c r="X569">
        <f t="shared" si="63"/>
        <v>0.44713736089265</v>
      </c>
      <c r="AH569" t="str">
        <f t="shared" si="62"/>
        <v>3rd Quality</v>
      </c>
      <c r="AJ569">
        <f>((T569-X569)*2)/6.2</f>
        <v>130.091364235889</v>
      </c>
      <c r="AK569">
        <f t="shared" si="61"/>
        <v>488917.473821989</v>
      </c>
    </row>
    <row r="570" spans="1:37">
      <c r="A570" t="s">
        <v>633</v>
      </c>
      <c r="B570">
        <v>30</v>
      </c>
      <c r="C570" t="s">
        <v>101</v>
      </c>
      <c r="D570" t="s">
        <v>51</v>
      </c>
      <c r="E570">
        <v>1398</v>
      </c>
      <c r="F570">
        <v>59</v>
      </c>
      <c r="G570">
        <v>8</v>
      </c>
      <c r="H570">
        <v>1553.79</v>
      </c>
      <c r="I570">
        <v>12604.68</v>
      </c>
      <c r="J570">
        <v>53</v>
      </c>
      <c r="K570">
        <v>1</v>
      </c>
      <c r="L570">
        <v>26.6</v>
      </c>
      <c r="M570">
        <v>20.4</v>
      </c>
      <c r="N570" t="s">
        <v>61</v>
      </c>
      <c r="O570" t="s">
        <v>47</v>
      </c>
      <c r="P570" t="s">
        <v>48</v>
      </c>
      <c r="R570">
        <f>SUMIF(A570:A5569,"C00570",I570:I5569)</f>
        <v>21277.71</v>
      </c>
      <c r="S570" s="1">
        <v>21277.71</v>
      </c>
      <c r="T570">
        <f t="shared" si="57"/>
        <v>237.824150943396</v>
      </c>
      <c r="U570">
        <f t="shared" si="58"/>
        <v>1081.2</v>
      </c>
      <c r="V570">
        <f>U570*1</f>
        <v>1081.2</v>
      </c>
      <c r="W570">
        <f t="shared" si="60"/>
        <v>4719.82333333333</v>
      </c>
      <c r="X570">
        <f t="shared" si="63"/>
        <v>0.899735485490317</v>
      </c>
      <c r="AH570" t="str">
        <f t="shared" si="62"/>
        <v>3rd Quality</v>
      </c>
      <c r="AJ570">
        <f>((T570-X570)*2)/26.6</f>
        <v>17.8138658239027</v>
      </c>
      <c r="AK570">
        <f t="shared" si="61"/>
        <v>332478.163018868</v>
      </c>
    </row>
    <row r="571" spans="1:37">
      <c r="A571" t="s">
        <v>634</v>
      </c>
      <c r="B571">
        <v>33</v>
      </c>
      <c r="C571" t="s">
        <v>44</v>
      </c>
      <c r="D571" t="s">
        <v>60</v>
      </c>
      <c r="E571">
        <v>873</v>
      </c>
      <c r="F571">
        <v>43</v>
      </c>
      <c r="G571">
        <v>3</v>
      </c>
      <c r="H571">
        <v>6614.27</v>
      </c>
      <c r="I571">
        <v>21277.71</v>
      </c>
      <c r="J571">
        <v>31</v>
      </c>
      <c r="K571">
        <v>1</v>
      </c>
      <c r="L571">
        <v>1.8</v>
      </c>
      <c r="M571">
        <v>21.9</v>
      </c>
      <c r="N571" t="s">
        <v>52</v>
      </c>
      <c r="O571" t="s">
        <v>47</v>
      </c>
      <c r="P571" t="s">
        <v>66</v>
      </c>
      <c r="R571">
        <f>SUMIF(A571:A5570,"C00571",I571:I5570)</f>
        <v>9695.7</v>
      </c>
      <c r="S571" s="1">
        <v>9695.7</v>
      </c>
      <c r="T571">
        <f t="shared" si="57"/>
        <v>686.377741935484</v>
      </c>
      <c r="U571">
        <f t="shared" si="58"/>
        <v>678.9</v>
      </c>
      <c r="V571">
        <f>U571*1</f>
        <v>678.9</v>
      </c>
      <c r="W571">
        <f t="shared" si="60"/>
        <v>9297.66</v>
      </c>
      <c r="X571">
        <f t="shared" si="63"/>
        <v>0.131987354613585</v>
      </c>
      <c r="AH571" t="str">
        <f t="shared" si="62"/>
        <v>2nd Quality</v>
      </c>
      <c r="AJ571">
        <f>((T571-X571)*2)/1.8</f>
        <v>762.495282867634</v>
      </c>
      <c r="AK571">
        <f t="shared" si="61"/>
        <v>599207.768709677</v>
      </c>
    </row>
    <row r="572" spans="1:37">
      <c r="A572" t="s">
        <v>635</v>
      </c>
      <c r="B572">
        <v>33</v>
      </c>
      <c r="C572" t="s">
        <v>50</v>
      </c>
      <c r="D572" t="s">
        <v>51</v>
      </c>
      <c r="E572">
        <v>546</v>
      </c>
      <c r="F572">
        <v>28</v>
      </c>
      <c r="G572">
        <v>8</v>
      </c>
      <c r="H572">
        <v>1114.87</v>
      </c>
      <c r="I572">
        <v>9695.7</v>
      </c>
      <c r="J572">
        <v>43</v>
      </c>
      <c r="K572">
        <v>0</v>
      </c>
      <c r="L572">
        <v>19.2</v>
      </c>
      <c r="M572">
        <v>30.6</v>
      </c>
      <c r="N572" t="s">
        <v>78</v>
      </c>
      <c r="O572" t="s">
        <v>47</v>
      </c>
      <c r="P572" t="s">
        <v>58</v>
      </c>
      <c r="R572">
        <f>SUMIF(A572:A5571,"C00572",I572:I5571)</f>
        <v>5116.81</v>
      </c>
      <c r="S572" s="1">
        <v>5116.81</v>
      </c>
      <c r="T572">
        <f t="shared" si="57"/>
        <v>225.481395348837</v>
      </c>
      <c r="U572">
        <f t="shared" si="58"/>
        <v>1315.8</v>
      </c>
      <c r="V572">
        <f t="shared" si="59"/>
        <v>109.65</v>
      </c>
      <c r="W572">
        <f t="shared" si="60"/>
        <v>3603.85666666667</v>
      </c>
      <c r="X572">
        <f t="shared" si="63"/>
        <v>0.4897431987586</v>
      </c>
      <c r="AH572" t="str">
        <f t="shared" si="62"/>
        <v>3rd Quality</v>
      </c>
      <c r="AJ572">
        <f>((T572-X572)*2)/19.2</f>
        <v>23.4366304322998</v>
      </c>
      <c r="AK572">
        <f t="shared" si="61"/>
        <v>123112.841860465</v>
      </c>
    </row>
    <row r="573" spans="1:37">
      <c r="A573" t="s">
        <v>636</v>
      </c>
      <c r="B573">
        <v>47</v>
      </c>
      <c r="C573" t="s">
        <v>50</v>
      </c>
      <c r="D573" t="s">
        <v>45</v>
      </c>
      <c r="E573">
        <v>629</v>
      </c>
      <c r="F573">
        <v>306</v>
      </c>
      <c r="G573">
        <v>5</v>
      </c>
      <c r="H573">
        <v>977.57</v>
      </c>
      <c r="I573">
        <v>5116.81</v>
      </c>
      <c r="J573">
        <v>22</v>
      </c>
      <c r="K573">
        <v>1</v>
      </c>
      <c r="L573">
        <v>33.2</v>
      </c>
      <c r="M573">
        <v>69.9</v>
      </c>
      <c r="N573" t="s">
        <v>81</v>
      </c>
      <c r="O573" t="s">
        <v>75</v>
      </c>
      <c r="P573" t="s">
        <v>66</v>
      </c>
      <c r="R573">
        <f>SUMIF(A573:A5572,"C00573",I573:I5572)</f>
        <v>21378.76</v>
      </c>
      <c r="S573" s="1">
        <v>21378.76</v>
      </c>
      <c r="T573">
        <f t="shared" si="57"/>
        <v>232.582272727273</v>
      </c>
      <c r="U573">
        <f t="shared" si="58"/>
        <v>1537.8</v>
      </c>
      <c r="V573">
        <f>U573*1</f>
        <v>1537.8</v>
      </c>
      <c r="W573">
        <f t="shared" si="60"/>
        <v>2031.79333333333</v>
      </c>
      <c r="X573">
        <f t="shared" si="63"/>
        <v>0.64343218388453</v>
      </c>
      <c r="AH573" t="str">
        <f t="shared" si="62"/>
        <v>3rd Quality</v>
      </c>
      <c r="AJ573">
        <f>((T573-X573)*2)/33.2</f>
        <v>13.9722193098427</v>
      </c>
      <c r="AK573">
        <f t="shared" si="61"/>
        <v>146294.249545455</v>
      </c>
    </row>
    <row r="574" spans="1:37">
      <c r="A574" t="s">
        <v>637</v>
      </c>
      <c r="B574">
        <v>24</v>
      </c>
      <c r="C574" t="s">
        <v>56</v>
      </c>
      <c r="D574" t="s">
        <v>60</v>
      </c>
      <c r="E574">
        <v>632</v>
      </c>
      <c r="F574">
        <v>9</v>
      </c>
      <c r="G574">
        <v>13</v>
      </c>
      <c r="H574">
        <v>1798.14</v>
      </c>
      <c r="I574">
        <v>21378.76</v>
      </c>
      <c r="J574">
        <v>110</v>
      </c>
      <c r="K574">
        <v>0</v>
      </c>
      <c r="L574">
        <v>7.5</v>
      </c>
      <c r="M574">
        <v>7.5</v>
      </c>
      <c r="N574" t="s">
        <v>81</v>
      </c>
      <c r="O574" t="s">
        <v>47</v>
      </c>
      <c r="P574" t="s">
        <v>68</v>
      </c>
      <c r="R574">
        <f>SUMIF(A574:A5573,"C00574",I574:I5573)</f>
        <v>5851.71</v>
      </c>
      <c r="S574" s="1">
        <v>5851.71</v>
      </c>
      <c r="T574">
        <f t="shared" si="57"/>
        <v>194.352363636364</v>
      </c>
      <c r="U574">
        <f t="shared" si="58"/>
        <v>825</v>
      </c>
      <c r="V574">
        <f t="shared" si="59"/>
        <v>68.75</v>
      </c>
      <c r="W574">
        <f t="shared" si="60"/>
        <v>7725.96666666667</v>
      </c>
      <c r="X574">
        <f t="shared" si="63"/>
        <v>0.351474301222374</v>
      </c>
      <c r="AH574" t="str">
        <f t="shared" si="62"/>
        <v>2nd Quality</v>
      </c>
      <c r="AJ574">
        <f>((T574-X574)*2)/7.5</f>
        <v>51.7335704893711</v>
      </c>
      <c r="AK574">
        <f t="shared" si="61"/>
        <v>122830.693818182</v>
      </c>
    </row>
    <row r="575" spans="1:37">
      <c r="A575" t="s">
        <v>638</v>
      </c>
      <c r="B575">
        <v>18</v>
      </c>
      <c r="C575" t="s">
        <v>50</v>
      </c>
      <c r="D575" t="s">
        <v>45</v>
      </c>
      <c r="E575">
        <v>990</v>
      </c>
      <c r="F575">
        <v>168</v>
      </c>
      <c r="G575">
        <v>5</v>
      </c>
      <c r="H575">
        <v>1288.04</v>
      </c>
      <c r="I575">
        <v>5851.71</v>
      </c>
      <c r="J575">
        <v>26</v>
      </c>
      <c r="K575">
        <v>0</v>
      </c>
      <c r="L575">
        <v>35.9</v>
      </c>
      <c r="M575">
        <v>9.8</v>
      </c>
      <c r="N575" t="s">
        <v>61</v>
      </c>
      <c r="O575" t="s">
        <v>47</v>
      </c>
      <c r="P575" t="s">
        <v>66</v>
      </c>
      <c r="R575">
        <f>SUMIF(A575:A5574,"C00575",I575:I5574)</f>
        <v>1080.79</v>
      </c>
      <c r="S575" s="1">
        <v>1080.79</v>
      </c>
      <c r="T575">
        <f t="shared" si="57"/>
        <v>225.065769230769</v>
      </c>
      <c r="U575">
        <f t="shared" si="58"/>
        <v>254.8</v>
      </c>
      <c r="V575">
        <f t="shared" si="59"/>
        <v>21.2333333333333</v>
      </c>
      <c r="W575">
        <f t="shared" si="60"/>
        <v>2380.25</v>
      </c>
      <c r="X575">
        <f t="shared" si="63"/>
        <v>0.768609670507127</v>
      </c>
      <c r="AH575" t="str">
        <f t="shared" si="62"/>
        <v>3rd Quality</v>
      </c>
      <c r="AJ575">
        <f>((T575-X575)*2)/35.9</f>
        <v>12.4956634852514</v>
      </c>
      <c r="AK575">
        <f t="shared" si="61"/>
        <v>222815.111538462</v>
      </c>
    </row>
    <row r="576" spans="1:37">
      <c r="A576" t="s">
        <v>639</v>
      </c>
      <c r="B576">
        <v>43</v>
      </c>
      <c r="C576" t="s">
        <v>56</v>
      </c>
      <c r="D576" t="s">
        <v>60</v>
      </c>
      <c r="E576">
        <v>465</v>
      </c>
      <c r="F576">
        <v>12</v>
      </c>
      <c r="G576">
        <v>2</v>
      </c>
      <c r="H576">
        <v>549.06</v>
      </c>
      <c r="I576">
        <v>1080.79</v>
      </c>
      <c r="J576">
        <v>21</v>
      </c>
      <c r="K576">
        <v>0</v>
      </c>
      <c r="L576">
        <v>39.3</v>
      </c>
      <c r="M576">
        <v>26.4</v>
      </c>
      <c r="N576" t="s">
        <v>81</v>
      </c>
      <c r="O576" t="s">
        <v>47</v>
      </c>
      <c r="P576" t="s">
        <v>58</v>
      </c>
      <c r="R576">
        <f>SUMIF(A576:A5575,"C00576",I576:I5575)</f>
        <v>4807.2</v>
      </c>
      <c r="S576" s="1">
        <v>4807.2</v>
      </c>
      <c r="T576">
        <f t="shared" si="57"/>
        <v>51.4661904761905</v>
      </c>
      <c r="U576">
        <f t="shared" si="58"/>
        <v>554.4</v>
      </c>
      <c r="V576">
        <f t="shared" si="59"/>
        <v>46.2</v>
      </c>
      <c r="W576">
        <f t="shared" si="60"/>
        <v>543.616666666667</v>
      </c>
      <c r="X576">
        <f t="shared" si="63"/>
        <v>0.84690197792591</v>
      </c>
      <c r="AH576" t="str">
        <f t="shared" si="62"/>
        <v>3rd Quality</v>
      </c>
      <c r="AJ576">
        <f>((T576-X576)*2)/39.3</f>
        <v>2.57604521619667</v>
      </c>
      <c r="AK576">
        <f t="shared" si="61"/>
        <v>23931.7785714286</v>
      </c>
    </row>
    <row r="577" spans="1:37">
      <c r="A577" t="s">
        <v>640</v>
      </c>
      <c r="B577">
        <v>18</v>
      </c>
      <c r="C577" t="s">
        <v>44</v>
      </c>
      <c r="D577" t="s">
        <v>45</v>
      </c>
      <c r="E577">
        <v>760</v>
      </c>
      <c r="F577">
        <v>34</v>
      </c>
      <c r="G577">
        <v>1</v>
      </c>
      <c r="H577">
        <v>5370.18</v>
      </c>
      <c r="I577">
        <v>4807.2</v>
      </c>
      <c r="J577">
        <v>22</v>
      </c>
      <c r="K577">
        <v>0</v>
      </c>
      <c r="L577">
        <v>16.2</v>
      </c>
      <c r="M577">
        <v>30.4</v>
      </c>
      <c r="N577" t="s">
        <v>52</v>
      </c>
      <c r="O577" t="s">
        <v>47</v>
      </c>
      <c r="P577" t="s">
        <v>58</v>
      </c>
      <c r="R577">
        <f>SUMIF(A577:A5576,"C00577",I577:I5576)</f>
        <v>1117.39</v>
      </c>
      <c r="S577" s="1">
        <v>1117.39</v>
      </c>
      <c r="T577">
        <f t="shared" si="57"/>
        <v>218.509090909091</v>
      </c>
      <c r="U577">
        <f t="shared" si="58"/>
        <v>668.8</v>
      </c>
      <c r="V577">
        <f t="shared" si="59"/>
        <v>55.7333333333333</v>
      </c>
      <c r="W577">
        <f t="shared" si="60"/>
        <v>3392.79333333333</v>
      </c>
      <c r="X577">
        <f t="shared" si="63"/>
        <v>0.141522258099356</v>
      </c>
      <c r="AH577" t="str">
        <f t="shared" si="62"/>
        <v>3rd Quality</v>
      </c>
      <c r="AJ577">
        <f>((T577-X577)*2)/16.2</f>
        <v>26.958959092715</v>
      </c>
      <c r="AK577">
        <f t="shared" si="61"/>
        <v>166066.909090909</v>
      </c>
    </row>
    <row r="578" spans="1:37">
      <c r="A578" t="s">
        <v>641</v>
      </c>
      <c r="B578">
        <v>18</v>
      </c>
      <c r="C578" t="s">
        <v>44</v>
      </c>
      <c r="D578" t="s">
        <v>60</v>
      </c>
      <c r="E578">
        <v>1166</v>
      </c>
      <c r="F578">
        <v>365</v>
      </c>
      <c r="G578">
        <v>1</v>
      </c>
      <c r="H578">
        <v>1173.52</v>
      </c>
      <c r="I578">
        <v>1117.39</v>
      </c>
      <c r="J578">
        <v>17</v>
      </c>
      <c r="K578">
        <v>1</v>
      </c>
      <c r="L578">
        <v>12.1</v>
      </c>
      <c r="M578">
        <v>49.6</v>
      </c>
      <c r="N578" t="s">
        <v>52</v>
      </c>
      <c r="O578" t="s">
        <v>47</v>
      </c>
      <c r="P578" t="s">
        <v>58</v>
      </c>
      <c r="R578">
        <f>SUMIF(A578:A5577,"C00578",I578:I5577)</f>
        <v>11786.72</v>
      </c>
      <c r="S578" s="1">
        <v>11786.72</v>
      </c>
      <c r="T578">
        <f t="shared" si="57"/>
        <v>65.7288235294118</v>
      </c>
      <c r="U578">
        <f t="shared" si="58"/>
        <v>843.2</v>
      </c>
      <c r="V578">
        <f>U578*1</f>
        <v>843.2</v>
      </c>
      <c r="W578">
        <f t="shared" si="60"/>
        <v>763.97</v>
      </c>
      <c r="X578">
        <f t="shared" si="63"/>
        <v>0.993591928556821</v>
      </c>
      <c r="AH578" t="str">
        <f t="shared" si="62"/>
        <v>3rd Quality</v>
      </c>
      <c r="AJ578">
        <f>((T578-X578)*2)/12.1</f>
        <v>10.7000382811331</v>
      </c>
      <c r="AK578">
        <f t="shared" si="61"/>
        <v>76639.8082352941</v>
      </c>
    </row>
    <row r="579" spans="1:37">
      <c r="A579" t="s">
        <v>642</v>
      </c>
      <c r="B579">
        <v>44</v>
      </c>
      <c r="C579" t="s">
        <v>44</v>
      </c>
      <c r="D579" t="s">
        <v>60</v>
      </c>
      <c r="E579">
        <v>882</v>
      </c>
      <c r="F579">
        <v>31</v>
      </c>
      <c r="G579">
        <v>2</v>
      </c>
      <c r="H579">
        <v>6336.72</v>
      </c>
      <c r="I579">
        <v>11786.72</v>
      </c>
      <c r="J579">
        <v>21</v>
      </c>
      <c r="K579">
        <v>0</v>
      </c>
      <c r="L579">
        <v>8.1</v>
      </c>
      <c r="M579">
        <v>11.4</v>
      </c>
      <c r="N579" t="s">
        <v>52</v>
      </c>
      <c r="O579" t="s">
        <v>47</v>
      </c>
      <c r="P579" t="s">
        <v>68</v>
      </c>
      <c r="R579">
        <f>SUMIF(A579:A5578,"C00579",I579:I5578)</f>
        <v>2741.97</v>
      </c>
      <c r="S579" s="1">
        <v>2741.97</v>
      </c>
      <c r="T579">
        <f t="shared" ref="T579:T642" si="64">I579/J579</f>
        <v>561.272380952381</v>
      </c>
      <c r="U579">
        <f t="shared" ref="U579:U642" si="65">J579*M579</f>
        <v>239.4</v>
      </c>
      <c r="V579">
        <f t="shared" ref="V579:V642" si="66">U579/12</f>
        <v>19.95</v>
      </c>
      <c r="W579">
        <f t="shared" ref="W579:W642" si="67">(H579+I579+1)/3</f>
        <v>6041.48</v>
      </c>
      <c r="X579">
        <f t="shared" si="63"/>
        <v>0.139188728553573</v>
      </c>
      <c r="AH579" t="str">
        <f t="shared" si="62"/>
        <v>3rd Quality</v>
      </c>
      <c r="AJ579">
        <f>((T579-X579)*2)/8.1</f>
        <v>138.551405487365</v>
      </c>
      <c r="AK579">
        <f t="shared" ref="AK579:AK642" si="68">I579/J579*E579</f>
        <v>495042.24</v>
      </c>
    </row>
    <row r="580" spans="1:37">
      <c r="A580" t="s">
        <v>643</v>
      </c>
      <c r="B580">
        <v>29</v>
      </c>
      <c r="C580" t="s">
        <v>44</v>
      </c>
      <c r="D580" t="s">
        <v>60</v>
      </c>
      <c r="E580">
        <v>735</v>
      </c>
      <c r="F580">
        <v>243</v>
      </c>
      <c r="G580">
        <v>2</v>
      </c>
      <c r="H580">
        <v>1541.69</v>
      </c>
      <c r="I580">
        <v>2741.97</v>
      </c>
      <c r="J580">
        <v>25</v>
      </c>
      <c r="K580">
        <v>0</v>
      </c>
      <c r="L580">
        <v>25.9</v>
      </c>
      <c r="M580">
        <v>11.6</v>
      </c>
      <c r="N580" t="s">
        <v>46</v>
      </c>
      <c r="O580" t="s">
        <v>75</v>
      </c>
      <c r="P580" t="s">
        <v>66</v>
      </c>
      <c r="R580">
        <f>SUMIF(A580:A5579,"C00580",I580:I5579)</f>
        <v>17537.08</v>
      </c>
      <c r="S580" s="1">
        <v>17537.08</v>
      </c>
      <c r="T580">
        <f t="shared" si="64"/>
        <v>109.6788</v>
      </c>
      <c r="U580">
        <f t="shared" si="65"/>
        <v>290</v>
      </c>
      <c r="V580">
        <f t="shared" si="66"/>
        <v>24.1666666666667</v>
      </c>
      <c r="W580">
        <f t="shared" si="67"/>
        <v>1428.22</v>
      </c>
      <c r="X580">
        <f t="shared" si="63"/>
        <v>0.476749541088027</v>
      </c>
      <c r="AH580" t="str">
        <f t="shared" si="62"/>
        <v>3rd Quality</v>
      </c>
      <c r="AJ580">
        <f>((T580-X580)*2)/25.9</f>
        <v>8.43259076902795</v>
      </c>
      <c r="AK580">
        <f t="shared" si="68"/>
        <v>80613.918</v>
      </c>
    </row>
    <row r="581" spans="1:37">
      <c r="A581" t="s">
        <v>644</v>
      </c>
      <c r="B581">
        <v>35</v>
      </c>
      <c r="C581" t="s">
        <v>50</v>
      </c>
      <c r="D581" t="s">
        <v>60</v>
      </c>
      <c r="E581">
        <v>932</v>
      </c>
      <c r="F581">
        <v>16</v>
      </c>
      <c r="G581">
        <v>8</v>
      </c>
      <c r="H581">
        <v>2246.52</v>
      </c>
      <c r="I581">
        <v>17537.08</v>
      </c>
      <c r="J581">
        <v>72</v>
      </c>
      <c r="K581">
        <v>2</v>
      </c>
      <c r="L581">
        <v>11.6</v>
      </c>
      <c r="M581">
        <v>51.8</v>
      </c>
      <c r="N581" t="s">
        <v>63</v>
      </c>
      <c r="O581" t="s">
        <v>47</v>
      </c>
      <c r="P581" t="s">
        <v>58</v>
      </c>
      <c r="R581">
        <f>SUMIF(A581:A5580,"C00581",I581:I5580)</f>
        <v>42793.11</v>
      </c>
      <c r="S581" s="1">
        <v>42793.11</v>
      </c>
      <c r="T581">
        <f t="shared" si="64"/>
        <v>243.570555555556</v>
      </c>
      <c r="U581">
        <f t="shared" si="65"/>
        <v>3729.6</v>
      </c>
      <c r="V581">
        <f>U581*2</f>
        <v>7459.2</v>
      </c>
      <c r="W581">
        <f t="shared" si="67"/>
        <v>6594.86666666667</v>
      </c>
      <c r="X581">
        <f t="shared" si="63"/>
        <v>0.414863878354077</v>
      </c>
      <c r="AH581" t="str">
        <f t="shared" si="62"/>
        <v>2nd Quality</v>
      </c>
      <c r="AJ581">
        <f>((T581-X581)*2)/11.6</f>
        <v>41.923395116759</v>
      </c>
      <c r="AK581">
        <f t="shared" si="68"/>
        <v>227007.757777778</v>
      </c>
    </row>
    <row r="582" spans="1:37">
      <c r="A582" t="s">
        <v>645</v>
      </c>
      <c r="B582">
        <v>18</v>
      </c>
      <c r="C582" t="s">
        <v>50</v>
      </c>
      <c r="D582" t="s">
        <v>60</v>
      </c>
      <c r="E582">
        <v>510</v>
      </c>
      <c r="F582">
        <v>1</v>
      </c>
      <c r="G582">
        <v>7</v>
      </c>
      <c r="H582">
        <v>6505.04</v>
      </c>
      <c r="I582">
        <v>42793.11</v>
      </c>
      <c r="J582">
        <v>25</v>
      </c>
      <c r="K582">
        <v>1</v>
      </c>
      <c r="L582">
        <v>6.6</v>
      </c>
      <c r="M582">
        <v>40.5</v>
      </c>
      <c r="N582" t="s">
        <v>57</v>
      </c>
      <c r="O582" t="s">
        <v>47</v>
      </c>
      <c r="P582" t="s">
        <v>66</v>
      </c>
      <c r="R582">
        <f>SUMIF(A582:A5581,"C00582",I582:I5581)</f>
        <v>65831.26</v>
      </c>
      <c r="S582" s="1">
        <v>65831.26</v>
      </c>
      <c r="T582">
        <f t="shared" si="64"/>
        <v>1711.7244</v>
      </c>
      <c r="U582">
        <f t="shared" si="65"/>
        <v>1012.5</v>
      </c>
      <c r="V582">
        <f>U582*1</f>
        <v>1012.5</v>
      </c>
      <c r="W582">
        <f t="shared" si="67"/>
        <v>16433.05</v>
      </c>
      <c r="X582">
        <f t="shared" si="63"/>
        <v>0.0784007477279156</v>
      </c>
      <c r="AH582" t="str">
        <f t="shared" si="62"/>
        <v>2nd Quality</v>
      </c>
      <c r="AJ582">
        <f>((T582-X582)*2)/6.6</f>
        <v>518.680605834022</v>
      </c>
      <c r="AK582">
        <f t="shared" si="68"/>
        <v>872979.444</v>
      </c>
    </row>
    <row r="583" spans="1:37">
      <c r="A583" t="s">
        <v>646</v>
      </c>
      <c r="B583">
        <v>40</v>
      </c>
      <c r="C583" t="s">
        <v>50</v>
      </c>
      <c r="D583" t="s">
        <v>51</v>
      </c>
      <c r="E583">
        <v>398</v>
      </c>
      <c r="F583">
        <v>8</v>
      </c>
      <c r="G583">
        <v>4</v>
      </c>
      <c r="H583">
        <v>18196.14</v>
      </c>
      <c r="I583">
        <v>65831.26</v>
      </c>
      <c r="J583">
        <v>40</v>
      </c>
      <c r="K583">
        <v>0</v>
      </c>
      <c r="L583">
        <v>0</v>
      </c>
      <c r="M583">
        <v>17.6</v>
      </c>
      <c r="N583" t="s">
        <v>63</v>
      </c>
      <c r="O583" t="s">
        <v>47</v>
      </c>
      <c r="P583" t="s">
        <v>68</v>
      </c>
      <c r="R583">
        <f>SUMIF(A583:A5582,"C00583",I583:I5582)</f>
        <v>192267.34</v>
      </c>
      <c r="S583" s="1">
        <v>192267.34</v>
      </c>
      <c r="T583">
        <f t="shared" si="64"/>
        <v>1645.7815</v>
      </c>
      <c r="U583">
        <f t="shared" si="65"/>
        <v>704</v>
      </c>
      <c r="V583">
        <f t="shared" si="66"/>
        <v>58.6666666666667</v>
      </c>
      <c r="W583">
        <f t="shared" si="67"/>
        <v>28009.4666666667</v>
      </c>
      <c r="X583">
        <f t="shared" si="63"/>
        <v>0.0218727708184263</v>
      </c>
      <c r="AH583" t="str">
        <f t="shared" si="62"/>
        <v>3rd Quality</v>
      </c>
      <c r="AJ583">
        <f>((T583-X583)*2)</f>
        <v>3291.51925445836</v>
      </c>
      <c r="AK583">
        <f t="shared" si="68"/>
        <v>655021.037</v>
      </c>
    </row>
    <row r="584" spans="1:37">
      <c r="A584" t="s">
        <v>647</v>
      </c>
      <c r="B584">
        <v>22</v>
      </c>
      <c r="C584" t="s">
        <v>44</v>
      </c>
      <c r="D584" t="s">
        <v>51</v>
      </c>
      <c r="E584">
        <v>1155</v>
      </c>
      <c r="F584">
        <v>8</v>
      </c>
      <c r="G584">
        <v>35</v>
      </c>
      <c r="H584">
        <v>5205.63</v>
      </c>
      <c r="I584">
        <v>192267.34</v>
      </c>
      <c r="J584">
        <v>78</v>
      </c>
      <c r="K584">
        <v>1</v>
      </c>
      <c r="L584">
        <v>13.2</v>
      </c>
      <c r="M584">
        <v>27.6</v>
      </c>
      <c r="N584" t="s">
        <v>52</v>
      </c>
      <c r="O584" t="s">
        <v>47</v>
      </c>
      <c r="P584" t="s">
        <v>68</v>
      </c>
      <c r="R584">
        <f>SUMIF(A584:A5583,"C00584",I584:I5583)</f>
        <v>6389.87</v>
      </c>
      <c r="S584" s="1">
        <v>6389.87</v>
      </c>
      <c r="T584">
        <f t="shared" si="64"/>
        <v>2464.9658974359</v>
      </c>
      <c r="U584">
        <f t="shared" si="65"/>
        <v>2152.8</v>
      </c>
      <c r="V584">
        <f>U584*1</f>
        <v>2152.8</v>
      </c>
      <c r="W584">
        <f t="shared" si="67"/>
        <v>65824.6566666667</v>
      </c>
      <c r="X584">
        <f t="shared" si="63"/>
        <v>0.221875162084128</v>
      </c>
      <c r="AH584" t="str">
        <f t="shared" si="62"/>
        <v>1st Quality</v>
      </c>
      <c r="AJ584">
        <f>((T584-X584)*2)/13.2</f>
        <v>373.446063980881</v>
      </c>
      <c r="AK584">
        <f t="shared" si="68"/>
        <v>2847035.61153846</v>
      </c>
    </row>
    <row r="585" spans="1:37">
      <c r="A585" t="s">
        <v>648</v>
      </c>
      <c r="B585">
        <v>45</v>
      </c>
      <c r="C585" t="s">
        <v>50</v>
      </c>
      <c r="D585" t="s">
        <v>45</v>
      </c>
      <c r="E585">
        <v>1033</v>
      </c>
      <c r="F585">
        <v>48</v>
      </c>
      <c r="G585">
        <v>8</v>
      </c>
      <c r="H585">
        <v>726.77</v>
      </c>
      <c r="I585">
        <v>6389.87</v>
      </c>
      <c r="J585">
        <v>43</v>
      </c>
      <c r="K585">
        <v>1</v>
      </c>
      <c r="L585">
        <v>27.7</v>
      </c>
      <c r="M585">
        <v>49.6</v>
      </c>
      <c r="N585" t="s">
        <v>63</v>
      </c>
      <c r="O585" t="s">
        <v>47</v>
      </c>
      <c r="P585" t="s">
        <v>58</v>
      </c>
      <c r="R585">
        <f>SUMIF(A585:A5584,"C00585",I585:I5584)</f>
        <v>1182.59</v>
      </c>
      <c r="S585" s="1">
        <v>1182.59</v>
      </c>
      <c r="T585">
        <f t="shared" si="64"/>
        <v>148.601627906977</v>
      </c>
      <c r="U585">
        <f t="shared" si="65"/>
        <v>2132.8</v>
      </c>
      <c r="V585">
        <f>U585*1</f>
        <v>2132.8</v>
      </c>
      <c r="W585">
        <f t="shared" si="67"/>
        <v>2372.54666666667</v>
      </c>
      <c r="X585">
        <f t="shared" si="63"/>
        <v>1.42135751338112</v>
      </c>
      <c r="AH585" t="str">
        <f t="shared" si="62"/>
        <v>3rd Quality</v>
      </c>
      <c r="AJ585">
        <f>((T585-X585)*2)/27.7</f>
        <v>10.6267343244474</v>
      </c>
      <c r="AK585">
        <f t="shared" si="68"/>
        <v>153505.481627907</v>
      </c>
    </row>
    <row r="586" spans="1:37">
      <c r="A586" t="s">
        <v>649</v>
      </c>
      <c r="B586">
        <v>33</v>
      </c>
      <c r="C586" t="s">
        <v>50</v>
      </c>
      <c r="D586" t="s">
        <v>60</v>
      </c>
      <c r="E586">
        <v>1119</v>
      </c>
      <c r="F586">
        <v>126</v>
      </c>
      <c r="G586">
        <v>1</v>
      </c>
      <c r="H586">
        <v>1149.28</v>
      </c>
      <c r="I586">
        <v>1182.59</v>
      </c>
      <c r="J586">
        <v>11</v>
      </c>
      <c r="K586">
        <v>0</v>
      </c>
      <c r="L586">
        <v>26</v>
      </c>
      <c r="M586">
        <v>13.6</v>
      </c>
      <c r="N586" t="s">
        <v>46</v>
      </c>
      <c r="O586" t="s">
        <v>75</v>
      </c>
      <c r="P586" t="s">
        <v>58</v>
      </c>
      <c r="R586">
        <f>SUMIF(A586:A5585,"C00586",I586:I5585)</f>
        <v>5578.06</v>
      </c>
      <c r="S586" s="1">
        <v>5578.06</v>
      </c>
      <c r="T586">
        <f t="shared" si="64"/>
        <v>107.508181818182</v>
      </c>
      <c r="U586">
        <f t="shared" si="65"/>
        <v>149.6</v>
      </c>
      <c r="V586">
        <f t="shared" si="66"/>
        <v>12.4666666666667</v>
      </c>
      <c r="W586">
        <f t="shared" si="67"/>
        <v>777.623333333333</v>
      </c>
      <c r="X586">
        <f t="shared" si="63"/>
        <v>0.973653069748016</v>
      </c>
      <c r="AH586" t="str">
        <f t="shared" si="62"/>
        <v>3rd Quality</v>
      </c>
      <c r="AJ586">
        <f>((T586-X586)*2)/26</f>
        <v>8.19496374987954</v>
      </c>
      <c r="AK586">
        <f t="shared" si="68"/>
        <v>120301.655454545</v>
      </c>
    </row>
    <row r="587" spans="1:37">
      <c r="A587" t="s">
        <v>650</v>
      </c>
      <c r="B587">
        <v>42</v>
      </c>
      <c r="C587" t="s">
        <v>50</v>
      </c>
      <c r="D587" t="s">
        <v>60</v>
      </c>
      <c r="E587">
        <v>761</v>
      </c>
      <c r="F587">
        <v>34</v>
      </c>
      <c r="G587">
        <v>1</v>
      </c>
      <c r="H587">
        <v>5057</v>
      </c>
      <c r="I587">
        <v>5578.06</v>
      </c>
      <c r="J587">
        <v>17</v>
      </c>
      <c r="K587">
        <v>0</v>
      </c>
      <c r="L587">
        <v>9.6</v>
      </c>
      <c r="M587">
        <v>42.3</v>
      </c>
      <c r="N587" t="s">
        <v>46</v>
      </c>
      <c r="O587" t="s">
        <v>47</v>
      </c>
      <c r="P587" t="s">
        <v>58</v>
      </c>
      <c r="R587">
        <f>SUMIF(A587:A5586,"C00587",I587:I5586)</f>
        <v>94002.57</v>
      </c>
      <c r="S587" s="1">
        <v>94002.57</v>
      </c>
      <c r="T587">
        <f t="shared" si="64"/>
        <v>328.121176470588</v>
      </c>
      <c r="U587">
        <f t="shared" si="65"/>
        <v>719.1</v>
      </c>
      <c r="V587">
        <f t="shared" si="66"/>
        <v>59.925</v>
      </c>
      <c r="W587">
        <f t="shared" si="67"/>
        <v>3545.35333333333</v>
      </c>
      <c r="X587">
        <f t="shared" si="63"/>
        <v>0.150484476962626</v>
      </c>
      <c r="AH587" t="str">
        <f t="shared" si="62"/>
        <v>3rd Quality</v>
      </c>
      <c r="AJ587">
        <f>((T587-X587)*2)/9.6</f>
        <v>68.327227498672</v>
      </c>
      <c r="AK587">
        <f t="shared" si="68"/>
        <v>249700.215294118</v>
      </c>
    </row>
    <row r="588" spans="1:37">
      <c r="A588" t="s">
        <v>651</v>
      </c>
      <c r="B588">
        <v>38</v>
      </c>
      <c r="C588" t="s">
        <v>50</v>
      </c>
      <c r="D588" t="s">
        <v>45</v>
      </c>
      <c r="E588">
        <v>612</v>
      </c>
      <c r="F588">
        <v>16</v>
      </c>
      <c r="G588">
        <v>33</v>
      </c>
      <c r="H588">
        <v>3096.43</v>
      </c>
      <c r="I588">
        <v>94002.57</v>
      </c>
      <c r="J588">
        <v>272</v>
      </c>
      <c r="K588">
        <v>5</v>
      </c>
      <c r="L588">
        <v>6.1</v>
      </c>
      <c r="M588">
        <v>52.8</v>
      </c>
      <c r="N588" t="s">
        <v>57</v>
      </c>
      <c r="O588" t="s">
        <v>53</v>
      </c>
      <c r="P588" t="s">
        <v>58</v>
      </c>
      <c r="R588">
        <f>SUMIF(A588:A5587,"C00588",I588:I5587)</f>
        <v>20249.56</v>
      </c>
      <c r="S588" s="1">
        <v>20249.56</v>
      </c>
      <c r="T588">
        <f t="shared" si="64"/>
        <v>345.597683823529</v>
      </c>
      <c r="U588">
        <f t="shared" si="65"/>
        <v>14361.6</v>
      </c>
      <c r="V588">
        <f>U588*5</f>
        <v>71808</v>
      </c>
      <c r="W588">
        <f t="shared" si="67"/>
        <v>32366.6666666667</v>
      </c>
      <c r="X588">
        <f t="shared" si="63"/>
        <v>0.197646967636924</v>
      </c>
      <c r="AH588" t="str">
        <f t="shared" si="62"/>
        <v>2nd Quality</v>
      </c>
      <c r="AJ588">
        <f>((T588-X588)*2)/6.1</f>
        <v>113.245913723243</v>
      </c>
      <c r="AK588">
        <f t="shared" si="68"/>
        <v>211505.7825</v>
      </c>
    </row>
    <row r="589" spans="1:37">
      <c r="A589" t="s">
        <v>652</v>
      </c>
      <c r="B589">
        <v>32</v>
      </c>
      <c r="C589" t="s">
        <v>50</v>
      </c>
      <c r="D589" t="s">
        <v>51</v>
      </c>
      <c r="E589">
        <v>1256</v>
      </c>
      <c r="F589">
        <v>17</v>
      </c>
      <c r="G589">
        <v>14</v>
      </c>
      <c r="H589">
        <v>1358.96</v>
      </c>
      <c r="I589">
        <v>20249.56</v>
      </c>
      <c r="J589">
        <v>54</v>
      </c>
      <c r="K589">
        <v>0</v>
      </c>
      <c r="L589">
        <v>20.7</v>
      </c>
      <c r="M589">
        <v>16.8</v>
      </c>
      <c r="N589" t="s">
        <v>52</v>
      </c>
      <c r="O589" t="s">
        <v>47</v>
      </c>
      <c r="P589" t="s">
        <v>58</v>
      </c>
      <c r="R589">
        <f>SUMIF(A589:A5588,"C00589",I589:I5588)</f>
        <v>69263.59</v>
      </c>
      <c r="S589" s="1">
        <v>69263.59</v>
      </c>
      <c r="T589">
        <f t="shared" si="64"/>
        <v>374.991851851852</v>
      </c>
      <c r="U589">
        <f t="shared" si="65"/>
        <v>907.2</v>
      </c>
      <c r="V589">
        <f t="shared" si="66"/>
        <v>75.6</v>
      </c>
      <c r="W589">
        <f t="shared" si="67"/>
        <v>7203.17333333333</v>
      </c>
      <c r="X589">
        <f t="shared" si="63"/>
        <v>0.924236180608701</v>
      </c>
      <c r="AH589" t="str">
        <f t="shared" si="62"/>
        <v>2nd Quality</v>
      </c>
      <c r="AJ589">
        <f>((T589-X589)*2)/20.7</f>
        <v>36.1417986155791</v>
      </c>
      <c r="AK589">
        <f t="shared" si="68"/>
        <v>470989.765925926</v>
      </c>
    </row>
    <row r="590" spans="1:37">
      <c r="A590" t="s">
        <v>653</v>
      </c>
      <c r="B590">
        <v>27</v>
      </c>
      <c r="C590" t="s">
        <v>50</v>
      </c>
      <c r="D590" t="s">
        <v>60</v>
      </c>
      <c r="E590">
        <v>1169</v>
      </c>
      <c r="F590">
        <v>5</v>
      </c>
      <c r="G590">
        <v>22</v>
      </c>
      <c r="H590">
        <v>3218.95</v>
      </c>
      <c r="I590">
        <v>69263.59</v>
      </c>
      <c r="J590">
        <v>178</v>
      </c>
      <c r="K590">
        <v>2</v>
      </c>
      <c r="L590">
        <v>9.9</v>
      </c>
      <c r="M590">
        <v>66.8</v>
      </c>
      <c r="N590" t="s">
        <v>63</v>
      </c>
      <c r="O590" t="s">
        <v>47</v>
      </c>
      <c r="P590" t="s">
        <v>68</v>
      </c>
      <c r="R590">
        <f>SUMIF(A590:A5589,"C00590",I590:I5589)</f>
        <v>36942.19</v>
      </c>
      <c r="S590" s="1">
        <v>36942.19</v>
      </c>
      <c r="T590">
        <f t="shared" si="64"/>
        <v>389.121292134831</v>
      </c>
      <c r="U590">
        <f t="shared" si="65"/>
        <v>11890.4</v>
      </c>
      <c r="V590">
        <f>U590*2</f>
        <v>23780.8</v>
      </c>
      <c r="W590">
        <f t="shared" si="67"/>
        <v>24161.18</v>
      </c>
      <c r="X590">
        <f t="shared" si="63"/>
        <v>0.363161900619767</v>
      </c>
      <c r="AH590" t="str">
        <f t="shared" ref="AH590:AH653" si="69">IF(AND(W590&gt;=12550,B590&lt;=33,E590&gt;=915),"1st Quality",IF(AND(W590&gt;=6275,B590&lt;=43,E590&gt;=457),"2nd Quality","3rd Quality"))</f>
        <v>1st Quality</v>
      </c>
      <c r="AJ590">
        <f>((T590-X590)*2)/9.9</f>
        <v>78.5369960069114</v>
      </c>
      <c r="AK590">
        <f t="shared" si="68"/>
        <v>454882.790505618</v>
      </c>
    </row>
    <row r="591" spans="1:37">
      <c r="A591" t="s">
        <v>654</v>
      </c>
      <c r="B591">
        <v>25</v>
      </c>
      <c r="C591" t="s">
        <v>44</v>
      </c>
      <c r="D591" t="s">
        <v>60</v>
      </c>
      <c r="E591">
        <v>431</v>
      </c>
      <c r="F591">
        <v>2</v>
      </c>
      <c r="G591">
        <v>25</v>
      </c>
      <c r="H591">
        <v>1481.41</v>
      </c>
      <c r="I591">
        <v>36942.19</v>
      </c>
      <c r="J591">
        <v>135</v>
      </c>
      <c r="K591">
        <v>5</v>
      </c>
      <c r="L591">
        <v>19.2</v>
      </c>
      <c r="M591">
        <v>24.1</v>
      </c>
      <c r="N591" t="s">
        <v>81</v>
      </c>
      <c r="O591" t="s">
        <v>47</v>
      </c>
      <c r="P591" t="s">
        <v>58</v>
      </c>
      <c r="R591">
        <f>SUMIF(A591:A5590,"C00591",I591:I5590)</f>
        <v>3081.96</v>
      </c>
      <c r="S591" s="1">
        <v>3081.96</v>
      </c>
      <c r="T591">
        <f t="shared" si="64"/>
        <v>273.645851851852</v>
      </c>
      <c r="U591">
        <f t="shared" si="65"/>
        <v>3253.5</v>
      </c>
      <c r="V591">
        <f>U591*5</f>
        <v>16267.5</v>
      </c>
      <c r="W591">
        <f t="shared" si="67"/>
        <v>12808.2</v>
      </c>
      <c r="X591">
        <f t="shared" si="63"/>
        <v>0.290939037808574</v>
      </c>
      <c r="AH591" t="str">
        <f t="shared" si="69"/>
        <v>3rd Quality</v>
      </c>
      <c r="AJ591">
        <f>((T591-X591)*2)/19.2</f>
        <v>28.4744700847962</v>
      </c>
      <c r="AK591">
        <f t="shared" si="68"/>
        <v>117941.362148148</v>
      </c>
    </row>
    <row r="592" spans="1:37">
      <c r="A592" t="s">
        <v>655</v>
      </c>
      <c r="B592">
        <v>46</v>
      </c>
      <c r="C592" t="s">
        <v>50</v>
      </c>
      <c r="D592" t="s">
        <v>45</v>
      </c>
      <c r="E592">
        <v>1425</v>
      </c>
      <c r="F592">
        <v>365</v>
      </c>
      <c r="G592">
        <v>3</v>
      </c>
      <c r="H592">
        <v>988.35</v>
      </c>
      <c r="I592">
        <v>3081.96</v>
      </c>
      <c r="J592">
        <v>23</v>
      </c>
      <c r="K592">
        <v>0</v>
      </c>
      <c r="L592">
        <v>27.3</v>
      </c>
      <c r="M592">
        <v>43.9</v>
      </c>
      <c r="N592" t="s">
        <v>52</v>
      </c>
      <c r="O592" t="s">
        <v>53</v>
      </c>
      <c r="P592" t="s">
        <v>54</v>
      </c>
      <c r="R592">
        <f>SUMIF(A592:A5591,"C00592",I592:I5591)</f>
        <v>17508.63</v>
      </c>
      <c r="S592" s="1">
        <v>17508.63</v>
      </c>
      <c r="T592">
        <f t="shared" si="64"/>
        <v>133.998260869565</v>
      </c>
      <c r="U592">
        <f t="shared" si="65"/>
        <v>1009.7</v>
      </c>
      <c r="V592">
        <f t="shared" si="66"/>
        <v>84.1416666666667</v>
      </c>
      <c r="W592">
        <f t="shared" si="67"/>
        <v>1357.10333333333</v>
      </c>
      <c r="X592">
        <f t="shared" si="63"/>
        <v>1.44179693428441</v>
      </c>
      <c r="AH592" t="str">
        <f t="shared" si="69"/>
        <v>3rd Quality</v>
      </c>
      <c r="AJ592">
        <f>((T592-X592)*2)/27.3</f>
        <v>9.71109625899491</v>
      </c>
      <c r="AK592">
        <f t="shared" si="68"/>
        <v>190947.52173913</v>
      </c>
    </row>
    <row r="593" spans="1:37">
      <c r="A593" t="s">
        <v>656</v>
      </c>
      <c r="B593">
        <v>18</v>
      </c>
      <c r="C593" t="s">
        <v>50</v>
      </c>
      <c r="D593" t="s">
        <v>60</v>
      </c>
      <c r="E593">
        <v>976</v>
      </c>
      <c r="F593">
        <v>94</v>
      </c>
      <c r="G593">
        <v>11</v>
      </c>
      <c r="H593">
        <v>1490.28</v>
      </c>
      <c r="I593">
        <v>17508.63</v>
      </c>
      <c r="J593">
        <v>27</v>
      </c>
      <c r="K593">
        <v>0</v>
      </c>
      <c r="L593">
        <v>21.4</v>
      </c>
      <c r="M593">
        <v>40.7</v>
      </c>
      <c r="N593" t="s">
        <v>63</v>
      </c>
      <c r="O593" t="s">
        <v>47</v>
      </c>
      <c r="P593" t="s">
        <v>58</v>
      </c>
      <c r="R593">
        <f>SUMIF(A593:A5592,"C00593",I593:I5592)</f>
        <v>15294.39</v>
      </c>
      <c r="S593" s="1">
        <v>15294.39</v>
      </c>
      <c r="T593">
        <f t="shared" si="64"/>
        <v>648.467777777778</v>
      </c>
      <c r="U593">
        <f t="shared" si="65"/>
        <v>1098.9</v>
      </c>
      <c r="V593">
        <f t="shared" si="66"/>
        <v>91.575</v>
      </c>
      <c r="W593">
        <f t="shared" si="67"/>
        <v>6333.30333333333</v>
      </c>
      <c r="X593">
        <f t="shared" si="63"/>
        <v>0.654910486619964</v>
      </c>
      <c r="AH593" t="str">
        <f t="shared" si="69"/>
        <v>2nd Quality</v>
      </c>
      <c r="AJ593">
        <f>((T593-X593)*2)/21.4</f>
        <v>60.5432586253419</v>
      </c>
      <c r="AK593">
        <f t="shared" si="68"/>
        <v>632904.551111111</v>
      </c>
    </row>
    <row r="594" spans="1:37">
      <c r="A594" t="s">
        <v>657</v>
      </c>
      <c r="B594">
        <v>19</v>
      </c>
      <c r="C594" t="s">
        <v>50</v>
      </c>
      <c r="D594" t="s">
        <v>45</v>
      </c>
      <c r="E594">
        <v>691</v>
      </c>
      <c r="F594">
        <v>41</v>
      </c>
      <c r="G594">
        <v>10</v>
      </c>
      <c r="H594">
        <v>1710.1</v>
      </c>
      <c r="I594">
        <v>15294.39</v>
      </c>
      <c r="J594">
        <v>36</v>
      </c>
      <c r="K594">
        <v>1</v>
      </c>
      <c r="L594">
        <v>28.9</v>
      </c>
      <c r="M594">
        <v>3.2</v>
      </c>
      <c r="N594" t="s">
        <v>78</v>
      </c>
      <c r="O594" t="s">
        <v>47</v>
      </c>
      <c r="P594" t="s">
        <v>48</v>
      </c>
      <c r="R594">
        <f>SUMIF(A594:A5593,"C00594",I594:I5593)</f>
        <v>30038.22</v>
      </c>
      <c r="S594" s="1">
        <v>30038.22</v>
      </c>
      <c r="T594">
        <f t="shared" si="64"/>
        <v>424.844166666667</v>
      </c>
      <c r="U594">
        <f t="shared" si="65"/>
        <v>115.2</v>
      </c>
      <c r="V594">
        <f>U594*1</f>
        <v>115.2</v>
      </c>
      <c r="W594">
        <f t="shared" si="67"/>
        <v>5668.49666666667</v>
      </c>
      <c r="X594">
        <f t="shared" si="63"/>
        <v>0.40406993743056</v>
      </c>
      <c r="AH594" t="str">
        <f t="shared" si="69"/>
        <v>3rd Quality</v>
      </c>
      <c r="AJ594">
        <f>((T594-X594)*2)/28.9</f>
        <v>29.3730170746876</v>
      </c>
      <c r="AK594">
        <f t="shared" si="68"/>
        <v>293567.319166667</v>
      </c>
    </row>
    <row r="595" spans="1:37">
      <c r="A595" t="s">
        <v>658</v>
      </c>
      <c r="B595">
        <v>30</v>
      </c>
      <c r="C595" t="s">
        <v>50</v>
      </c>
      <c r="D595" t="s">
        <v>60</v>
      </c>
      <c r="E595">
        <v>762</v>
      </c>
      <c r="F595">
        <v>9</v>
      </c>
      <c r="G595">
        <v>7</v>
      </c>
      <c r="H595">
        <v>4409.51</v>
      </c>
      <c r="I595">
        <v>30038.22</v>
      </c>
      <c r="J595">
        <v>33</v>
      </c>
      <c r="K595">
        <v>0</v>
      </c>
      <c r="L595">
        <v>2.4</v>
      </c>
      <c r="M595">
        <v>14.8</v>
      </c>
      <c r="N595" t="s">
        <v>81</v>
      </c>
      <c r="O595" t="s">
        <v>75</v>
      </c>
      <c r="P595" t="s">
        <v>58</v>
      </c>
      <c r="R595">
        <f>SUMIF(A595:A5594,"C00595",I595:I5594)</f>
        <v>50200.76</v>
      </c>
      <c r="S595" s="1">
        <v>50200.76</v>
      </c>
      <c r="T595">
        <f t="shared" si="64"/>
        <v>910.249090909091</v>
      </c>
      <c r="U595">
        <f t="shared" si="65"/>
        <v>488.4</v>
      </c>
      <c r="V595">
        <f t="shared" si="66"/>
        <v>40.7</v>
      </c>
      <c r="W595">
        <f t="shared" si="67"/>
        <v>11482.91</v>
      </c>
      <c r="X595">
        <f t="shared" si="63"/>
        <v>0.172808316570322</v>
      </c>
      <c r="AH595" t="str">
        <f t="shared" si="69"/>
        <v>2nd Quality</v>
      </c>
      <c r="AJ595">
        <f>((T595-X595)*2)/2.4</f>
        <v>758.396902160434</v>
      </c>
      <c r="AK595">
        <f t="shared" si="68"/>
        <v>693609.807272727</v>
      </c>
    </row>
    <row r="596" spans="1:37">
      <c r="A596" t="s">
        <v>659</v>
      </c>
      <c r="B596">
        <v>18</v>
      </c>
      <c r="C596" t="s">
        <v>44</v>
      </c>
      <c r="D596" t="s">
        <v>45</v>
      </c>
      <c r="E596">
        <v>967</v>
      </c>
      <c r="F596">
        <v>30</v>
      </c>
      <c r="G596">
        <v>24</v>
      </c>
      <c r="H596">
        <v>1966.63</v>
      </c>
      <c r="I596">
        <v>50200.76</v>
      </c>
      <c r="J596">
        <v>126</v>
      </c>
      <c r="K596">
        <v>1</v>
      </c>
      <c r="L596">
        <v>12.1</v>
      </c>
      <c r="M596">
        <v>57.5</v>
      </c>
      <c r="N596" t="s">
        <v>46</v>
      </c>
      <c r="O596" t="s">
        <v>47</v>
      </c>
      <c r="P596" t="s">
        <v>68</v>
      </c>
      <c r="R596">
        <f>SUMIF(A596:A5595,"C00596",I596:I5595)</f>
        <v>22084.37</v>
      </c>
      <c r="S596" s="1">
        <v>22084.37</v>
      </c>
      <c r="T596">
        <f t="shared" si="64"/>
        <v>398.41873015873</v>
      </c>
      <c r="U596">
        <f t="shared" si="65"/>
        <v>7245</v>
      </c>
      <c r="V596">
        <f>U596*1</f>
        <v>7245</v>
      </c>
      <c r="W596">
        <f t="shared" si="67"/>
        <v>17389.4633333333</v>
      </c>
      <c r="X596">
        <f t="shared" si="63"/>
        <v>0.491704082618489</v>
      </c>
      <c r="AH596" t="str">
        <f t="shared" si="69"/>
        <v>1st Quality</v>
      </c>
      <c r="AJ596">
        <f>((T596-X596)*2)/12.1</f>
        <v>65.7730621613407</v>
      </c>
      <c r="AK596">
        <f t="shared" si="68"/>
        <v>385270.912063492</v>
      </c>
    </row>
    <row r="597" spans="1:37">
      <c r="A597" t="s">
        <v>660</v>
      </c>
      <c r="B597">
        <v>29</v>
      </c>
      <c r="C597" t="s">
        <v>44</v>
      </c>
      <c r="D597" t="s">
        <v>51</v>
      </c>
      <c r="E597">
        <v>471</v>
      </c>
      <c r="F597">
        <v>17</v>
      </c>
      <c r="G597">
        <v>11</v>
      </c>
      <c r="H597">
        <v>1990.97</v>
      </c>
      <c r="I597">
        <v>22084.37</v>
      </c>
      <c r="J597">
        <v>60</v>
      </c>
      <c r="K597">
        <v>1</v>
      </c>
      <c r="L597">
        <v>19.6</v>
      </c>
      <c r="M597">
        <v>37.5</v>
      </c>
      <c r="N597" t="s">
        <v>46</v>
      </c>
      <c r="O597" t="s">
        <v>47</v>
      </c>
      <c r="P597" t="s">
        <v>68</v>
      </c>
      <c r="R597">
        <f>SUMIF(A597:A5596,"C00597",I597:I5596)</f>
        <v>3594.5</v>
      </c>
      <c r="S597" s="1">
        <v>3594.5</v>
      </c>
      <c r="T597">
        <f t="shared" si="64"/>
        <v>368.072833333333</v>
      </c>
      <c r="U597">
        <f t="shared" si="65"/>
        <v>2250</v>
      </c>
      <c r="V597">
        <f>U597*1</f>
        <v>2250</v>
      </c>
      <c r="W597">
        <f t="shared" si="67"/>
        <v>8025.44666666667</v>
      </c>
      <c r="X597">
        <f t="shared" si="63"/>
        <v>0.236568104994048</v>
      </c>
      <c r="AH597" t="str">
        <f t="shared" si="69"/>
        <v>2nd Quality</v>
      </c>
      <c r="AJ597">
        <f>((T597-X597)*2)/19.6</f>
        <v>37.5343127784019</v>
      </c>
      <c r="AK597">
        <f t="shared" si="68"/>
        <v>173362.3045</v>
      </c>
    </row>
    <row r="598" spans="1:37">
      <c r="A598" t="s">
        <v>661</v>
      </c>
      <c r="B598">
        <v>33</v>
      </c>
      <c r="C598" t="s">
        <v>44</v>
      </c>
      <c r="D598" t="s">
        <v>60</v>
      </c>
      <c r="E598">
        <v>458</v>
      </c>
      <c r="F598">
        <v>23</v>
      </c>
      <c r="G598">
        <v>7</v>
      </c>
      <c r="H598">
        <v>533.78</v>
      </c>
      <c r="I598">
        <v>3594.5</v>
      </c>
      <c r="J598">
        <v>29</v>
      </c>
      <c r="K598">
        <v>0</v>
      </c>
      <c r="L598">
        <v>30.7</v>
      </c>
      <c r="M598">
        <v>7.1</v>
      </c>
      <c r="N598" t="s">
        <v>63</v>
      </c>
      <c r="O598" t="s">
        <v>75</v>
      </c>
      <c r="P598" t="s">
        <v>66</v>
      </c>
      <c r="R598">
        <f>SUMIF(A598:A5597,"C00598",I598:I5597)</f>
        <v>58837.29</v>
      </c>
      <c r="S598" s="1">
        <v>58837.29</v>
      </c>
      <c r="T598">
        <f t="shared" si="64"/>
        <v>123.948275862069</v>
      </c>
      <c r="U598">
        <f t="shared" si="65"/>
        <v>205.9</v>
      </c>
      <c r="V598">
        <f t="shared" si="66"/>
        <v>17.1583333333333</v>
      </c>
      <c r="W598">
        <f t="shared" si="67"/>
        <v>1376.42666666667</v>
      </c>
      <c r="X598">
        <f t="shared" si="63"/>
        <v>0.858031398703586</v>
      </c>
      <c r="AH598" t="str">
        <f t="shared" si="69"/>
        <v>3rd Quality</v>
      </c>
      <c r="AJ598">
        <f>((T598-X598)*2)/30.7</f>
        <v>8.01890843409547</v>
      </c>
      <c r="AK598">
        <f t="shared" si="68"/>
        <v>56768.3103448276</v>
      </c>
    </row>
    <row r="599" spans="1:37">
      <c r="A599" t="s">
        <v>662</v>
      </c>
      <c r="B599">
        <v>43</v>
      </c>
      <c r="C599" t="s">
        <v>50</v>
      </c>
      <c r="D599" t="s">
        <v>60</v>
      </c>
      <c r="E599">
        <v>821</v>
      </c>
      <c r="F599">
        <v>14</v>
      </c>
      <c r="G599">
        <v>7</v>
      </c>
      <c r="H599">
        <v>9447.08</v>
      </c>
      <c r="I599">
        <v>58837.29</v>
      </c>
      <c r="J599">
        <v>50</v>
      </c>
      <c r="K599">
        <v>0</v>
      </c>
      <c r="L599">
        <v>0.2</v>
      </c>
      <c r="M599">
        <v>28.2</v>
      </c>
      <c r="N599" t="s">
        <v>52</v>
      </c>
      <c r="O599" t="s">
        <v>47</v>
      </c>
      <c r="P599" t="s">
        <v>58</v>
      </c>
      <c r="R599">
        <f>SUMIF(A599:A5598,"C00599",I599:I5598)</f>
        <v>907.89</v>
      </c>
      <c r="S599" s="1">
        <v>907.89</v>
      </c>
      <c r="T599">
        <f t="shared" si="64"/>
        <v>1176.7458</v>
      </c>
      <c r="U599">
        <f t="shared" si="65"/>
        <v>1410</v>
      </c>
      <c r="V599">
        <f t="shared" si="66"/>
        <v>117.5</v>
      </c>
      <c r="W599">
        <f t="shared" si="67"/>
        <v>22761.79</v>
      </c>
      <c r="X599">
        <f t="shared" si="63"/>
        <v>0.0869051601129661</v>
      </c>
      <c r="AH599" t="str">
        <f t="shared" si="69"/>
        <v>2nd Quality</v>
      </c>
      <c r="AJ599">
        <f>((T599-X599)*2)/0.2</f>
        <v>11766.5889483989</v>
      </c>
      <c r="AK599">
        <f t="shared" si="68"/>
        <v>966108.3018</v>
      </c>
    </row>
    <row r="600" spans="1:37">
      <c r="A600" t="s">
        <v>663</v>
      </c>
      <c r="B600">
        <v>49</v>
      </c>
      <c r="C600" t="s">
        <v>50</v>
      </c>
      <c r="D600" t="s">
        <v>45</v>
      </c>
      <c r="E600">
        <v>1413</v>
      </c>
      <c r="F600">
        <v>90</v>
      </c>
      <c r="G600">
        <v>1</v>
      </c>
      <c r="H600">
        <v>1029.63</v>
      </c>
      <c r="I600">
        <v>907.89</v>
      </c>
      <c r="J600">
        <v>8</v>
      </c>
      <c r="K600">
        <v>0</v>
      </c>
      <c r="L600">
        <v>7.1</v>
      </c>
      <c r="M600">
        <v>36.4</v>
      </c>
      <c r="N600" t="s">
        <v>57</v>
      </c>
      <c r="O600" t="s">
        <v>47</v>
      </c>
      <c r="P600" t="s">
        <v>48</v>
      </c>
      <c r="R600">
        <f>SUMIF(A600:A5599,"C00600",I600:I5599)</f>
        <v>51183.16</v>
      </c>
      <c r="S600" s="1">
        <v>51183.16</v>
      </c>
      <c r="T600">
        <f t="shared" si="64"/>
        <v>113.48625</v>
      </c>
      <c r="U600">
        <f t="shared" si="65"/>
        <v>291.2</v>
      </c>
      <c r="V600">
        <f t="shared" si="66"/>
        <v>24.2666666666667</v>
      </c>
      <c r="W600">
        <f t="shared" si="67"/>
        <v>646.173333333333</v>
      </c>
      <c r="X600">
        <f t="shared" si="63"/>
        <v>1.37233763584977</v>
      </c>
      <c r="AH600" t="str">
        <f t="shared" si="69"/>
        <v>3rd Quality</v>
      </c>
      <c r="AJ600">
        <f>((T600-X600)*2)/7.1</f>
        <v>31.5813837645494</v>
      </c>
      <c r="AK600">
        <f t="shared" si="68"/>
        <v>160356.07125</v>
      </c>
    </row>
    <row r="601" spans="1:37">
      <c r="A601" t="s">
        <v>664</v>
      </c>
      <c r="B601">
        <v>18</v>
      </c>
      <c r="C601" t="s">
        <v>44</v>
      </c>
      <c r="D601" t="s">
        <v>45</v>
      </c>
      <c r="E601">
        <v>816</v>
      </c>
      <c r="F601">
        <v>10</v>
      </c>
      <c r="G601">
        <v>4</v>
      </c>
      <c r="H601">
        <v>13030.01</v>
      </c>
      <c r="I601">
        <v>51183.16</v>
      </c>
      <c r="J601">
        <v>16</v>
      </c>
      <c r="K601">
        <v>0</v>
      </c>
      <c r="L601">
        <v>0</v>
      </c>
      <c r="M601">
        <v>12.9</v>
      </c>
      <c r="N601" t="s">
        <v>46</v>
      </c>
      <c r="O601" t="s">
        <v>75</v>
      </c>
      <c r="P601" t="s">
        <v>58</v>
      </c>
      <c r="R601">
        <f>SUMIF(A601:A5600,"C00601",I601:I5600)</f>
        <v>3124.1</v>
      </c>
      <c r="S601" s="1">
        <v>3124.1</v>
      </c>
      <c r="T601">
        <f t="shared" si="64"/>
        <v>3198.9475</v>
      </c>
      <c r="U601">
        <f t="shared" si="65"/>
        <v>206.4</v>
      </c>
      <c r="V601">
        <f t="shared" si="66"/>
        <v>17.2</v>
      </c>
      <c r="W601">
        <f t="shared" si="67"/>
        <v>21404.7233333333</v>
      </c>
      <c r="X601">
        <f t="shared" si="63"/>
        <v>0.0626246641407029</v>
      </c>
      <c r="AH601" t="str">
        <f t="shared" si="69"/>
        <v>2nd Quality</v>
      </c>
      <c r="AJ601">
        <f>((T601-X601)*2)</f>
        <v>6397.76975067172</v>
      </c>
      <c r="AK601">
        <f t="shared" si="68"/>
        <v>2610341.16</v>
      </c>
    </row>
    <row r="602" spans="1:37">
      <c r="A602" t="s">
        <v>665</v>
      </c>
      <c r="B602">
        <v>35</v>
      </c>
      <c r="C602" t="s">
        <v>44</v>
      </c>
      <c r="D602" t="s">
        <v>45</v>
      </c>
      <c r="E602">
        <v>1306</v>
      </c>
      <c r="F602">
        <v>21</v>
      </c>
      <c r="G602">
        <v>5</v>
      </c>
      <c r="H602">
        <v>627.29</v>
      </c>
      <c r="I602">
        <v>3124.1</v>
      </c>
      <c r="J602">
        <v>23</v>
      </c>
      <c r="K602">
        <v>0</v>
      </c>
      <c r="L602">
        <v>26.1</v>
      </c>
      <c r="M602">
        <v>39.6</v>
      </c>
      <c r="N602" t="s">
        <v>57</v>
      </c>
      <c r="O602" t="s">
        <v>47</v>
      </c>
      <c r="P602" t="s">
        <v>58</v>
      </c>
      <c r="R602">
        <f>SUMIF(A602:A5601,"C00602",I602:I5601)</f>
        <v>2831.73</v>
      </c>
      <c r="S602" s="1">
        <v>2831.73</v>
      </c>
      <c r="T602">
        <f t="shared" si="64"/>
        <v>135.830434782609</v>
      </c>
      <c r="U602">
        <f t="shared" si="65"/>
        <v>910.8</v>
      </c>
      <c r="V602">
        <f t="shared" si="66"/>
        <v>75.9</v>
      </c>
      <c r="W602">
        <f t="shared" si="67"/>
        <v>1250.79666666667</v>
      </c>
      <c r="X602">
        <f t="shared" si="63"/>
        <v>2.08197165585295</v>
      </c>
      <c r="AH602" t="str">
        <f t="shared" si="69"/>
        <v>3rd Quality</v>
      </c>
      <c r="AJ602">
        <f>((T602-X602)*2)/26.1</f>
        <v>10.2489243775292</v>
      </c>
      <c r="AK602">
        <f t="shared" si="68"/>
        <v>177394.547826087</v>
      </c>
    </row>
    <row r="603" spans="1:37">
      <c r="A603" t="s">
        <v>666</v>
      </c>
      <c r="B603">
        <v>43</v>
      </c>
      <c r="C603" t="s">
        <v>50</v>
      </c>
      <c r="D603" t="s">
        <v>51</v>
      </c>
      <c r="E603">
        <v>1191</v>
      </c>
      <c r="F603">
        <v>102</v>
      </c>
      <c r="G603">
        <v>4</v>
      </c>
      <c r="H603">
        <v>757.14</v>
      </c>
      <c r="I603">
        <v>2831.73</v>
      </c>
      <c r="J603">
        <v>42</v>
      </c>
      <c r="K603">
        <v>0</v>
      </c>
      <c r="L603">
        <v>21.2</v>
      </c>
      <c r="M603">
        <v>39.2</v>
      </c>
      <c r="N603" t="s">
        <v>78</v>
      </c>
      <c r="O603" t="s">
        <v>47</v>
      </c>
      <c r="P603" t="s">
        <v>68</v>
      </c>
      <c r="R603">
        <f>SUMIF(A603:A5602,"C00603",I603:I5602)</f>
        <v>2604.88</v>
      </c>
      <c r="S603" s="1">
        <v>2604.88</v>
      </c>
      <c r="T603">
        <f t="shared" si="64"/>
        <v>67.4221428571429</v>
      </c>
      <c r="U603">
        <f t="shared" si="65"/>
        <v>1646.4</v>
      </c>
      <c r="V603">
        <f t="shared" si="66"/>
        <v>137.2</v>
      </c>
      <c r="W603">
        <f t="shared" si="67"/>
        <v>1196.62333333333</v>
      </c>
      <c r="X603">
        <f t="shared" si="63"/>
        <v>1.57302480386718</v>
      </c>
      <c r="AH603" t="str">
        <f t="shared" si="69"/>
        <v>3rd Quality</v>
      </c>
      <c r="AJ603">
        <f>((T603-X603)*2)/21.2</f>
        <v>6.21218094842224</v>
      </c>
      <c r="AK603">
        <f t="shared" si="68"/>
        <v>80299.7721428571</v>
      </c>
    </row>
    <row r="604" spans="1:37">
      <c r="A604" t="s">
        <v>667</v>
      </c>
      <c r="B604">
        <v>37</v>
      </c>
      <c r="C604" t="s">
        <v>56</v>
      </c>
      <c r="D604" t="s">
        <v>45</v>
      </c>
      <c r="E604">
        <v>1294</v>
      </c>
      <c r="F604">
        <v>365</v>
      </c>
      <c r="G604">
        <v>1</v>
      </c>
      <c r="H604">
        <v>2430.13</v>
      </c>
      <c r="I604">
        <v>2604.88</v>
      </c>
      <c r="J604">
        <v>16</v>
      </c>
      <c r="K604">
        <v>0</v>
      </c>
      <c r="L604">
        <v>14.6</v>
      </c>
      <c r="M604">
        <v>43.1</v>
      </c>
      <c r="N604" t="s">
        <v>78</v>
      </c>
      <c r="O604" t="s">
        <v>75</v>
      </c>
      <c r="P604" t="s">
        <v>58</v>
      </c>
      <c r="R604">
        <f>SUMIF(A604:A5603,"C00604",I604:I5603)</f>
        <v>4516.91</v>
      </c>
      <c r="S604" s="1">
        <v>4516.91</v>
      </c>
      <c r="T604">
        <f t="shared" si="64"/>
        <v>162.805</v>
      </c>
      <c r="U604">
        <f t="shared" si="65"/>
        <v>689.6</v>
      </c>
      <c r="V604">
        <f t="shared" si="66"/>
        <v>57.4666666666667</v>
      </c>
      <c r="W604">
        <f t="shared" si="67"/>
        <v>1678.67</v>
      </c>
      <c r="X604">
        <f t="shared" si="63"/>
        <v>0.532481801385111</v>
      </c>
      <c r="AH604" t="str">
        <f t="shared" si="69"/>
        <v>3rd Quality</v>
      </c>
      <c r="AJ604">
        <f>((T604-X604)*2)/14.6</f>
        <v>22.229112082002</v>
      </c>
      <c r="AK604">
        <f t="shared" si="68"/>
        <v>210669.67</v>
      </c>
    </row>
    <row r="605" spans="1:37">
      <c r="A605" t="s">
        <v>668</v>
      </c>
      <c r="B605">
        <v>39</v>
      </c>
      <c r="C605" t="s">
        <v>50</v>
      </c>
      <c r="D605" t="s">
        <v>45</v>
      </c>
      <c r="E605">
        <v>535</v>
      </c>
      <c r="F605">
        <v>79</v>
      </c>
      <c r="G605">
        <v>4</v>
      </c>
      <c r="H605">
        <v>1071.75</v>
      </c>
      <c r="I605">
        <v>4516.91</v>
      </c>
      <c r="J605">
        <v>18</v>
      </c>
      <c r="K605">
        <v>0</v>
      </c>
      <c r="L605">
        <v>35.2</v>
      </c>
      <c r="M605">
        <v>26.5</v>
      </c>
      <c r="N605" t="s">
        <v>61</v>
      </c>
      <c r="O605" t="s">
        <v>47</v>
      </c>
      <c r="P605" t="s">
        <v>48</v>
      </c>
      <c r="R605">
        <f>SUMIF(A605:A5604,"C00604",I605:I5604)</f>
        <v>4516.91</v>
      </c>
      <c r="S605" s="1">
        <v>1318.48</v>
      </c>
      <c r="T605">
        <f t="shared" si="64"/>
        <v>250.939444444444</v>
      </c>
      <c r="U605">
        <f t="shared" si="65"/>
        <v>477</v>
      </c>
      <c r="V605">
        <f t="shared" si="66"/>
        <v>39.75</v>
      </c>
      <c r="W605">
        <f t="shared" si="67"/>
        <v>1863.22</v>
      </c>
      <c r="X605">
        <f t="shared" si="63"/>
        <v>0.499183578259855</v>
      </c>
      <c r="AH605" t="str">
        <f t="shared" si="69"/>
        <v>3rd Quality</v>
      </c>
      <c r="AJ605">
        <f>((T605-X605)*2)/35.2</f>
        <v>14.2295602764877</v>
      </c>
      <c r="AK605">
        <f t="shared" si="68"/>
        <v>134252.602777778</v>
      </c>
    </row>
    <row r="606" spans="1:37">
      <c r="A606" t="s">
        <v>669</v>
      </c>
      <c r="B606">
        <v>28</v>
      </c>
      <c r="C606" t="s">
        <v>50</v>
      </c>
      <c r="D606" t="s">
        <v>45</v>
      </c>
      <c r="E606">
        <v>1458</v>
      </c>
      <c r="F606">
        <v>179</v>
      </c>
      <c r="G606">
        <v>1</v>
      </c>
      <c r="H606">
        <v>1425.13</v>
      </c>
      <c r="I606">
        <v>1318.48</v>
      </c>
      <c r="J606">
        <v>10</v>
      </c>
      <c r="K606">
        <v>0</v>
      </c>
      <c r="L606">
        <v>24.8</v>
      </c>
      <c r="M606">
        <v>50.4</v>
      </c>
      <c r="N606" t="s">
        <v>57</v>
      </c>
      <c r="O606" t="s">
        <v>53</v>
      </c>
      <c r="P606" t="s">
        <v>54</v>
      </c>
      <c r="R606">
        <f>SUMIF(A606:A5605,"C00605",I606:I5605)</f>
        <v>1318.48</v>
      </c>
      <c r="S606" s="1">
        <v>602.99</v>
      </c>
      <c r="T606">
        <f t="shared" si="64"/>
        <v>131.848</v>
      </c>
      <c r="U606">
        <f t="shared" si="65"/>
        <v>504</v>
      </c>
      <c r="V606">
        <f t="shared" si="66"/>
        <v>42</v>
      </c>
      <c r="W606">
        <f t="shared" si="67"/>
        <v>914.87</v>
      </c>
      <c r="X606">
        <f t="shared" si="63"/>
        <v>1.02306456253114</v>
      </c>
      <c r="AH606" t="str">
        <f t="shared" si="69"/>
        <v>3rd Quality</v>
      </c>
      <c r="AJ606">
        <f>((T606-X606)*2)/24.8</f>
        <v>10.5503980191507</v>
      </c>
      <c r="AK606">
        <f t="shared" si="68"/>
        <v>192234.384</v>
      </c>
    </row>
    <row r="607" spans="1:37">
      <c r="A607" t="s">
        <v>670</v>
      </c>
      <c r="B607">
        <v>29</v>
      </c>
      <c r="C607" t="s">
        <v>50</v>
      </c>
      <c r="D607" t="s">
        <v>51</v>
      </c>
      <c r="E607">
        <v>1275</v>
      </c>
      <c r="F607">
        <v>78</v>
      </c>
      <c r="G607">
        <v>1</v>
      </c>
      <c r="H607">
        <v>651.8</v>
      </c>
      <c r="I607">
        <v>602.99</v>
      </c>
      <c r="J607">
        <v>17</v>
      </c>
      <c r="K607">
        <v>0</v>
      </c>
      <c r="L607">
        <v>22.1</v>
      </c>
      <c r="M607">
        <v>46.3</v>
      </c>
      <c r="N607" t="s">
        <v>61</v>
      </c>
      <c r="O607" t="s">
        <v>47</v>
      </c>
      <c r="P607" t="s">
        <v>58</v>
      </c>
      <c r="R607">
        <f>SUMIF(A607:A5606,"C00606",I607:I5606)</f>
        <v>602.99</v>
      </c>
      <c r="S607" s="1">
        <v>1692.26</v>
      </c>
      <c r="T607">
        <f t="shared" si="64"/>
        <v>35.47</v>
      </c>
      <c r="U607">
        <f t="shared" si="65"/>
        <v>787.1</v>
      </c>
      <c r="V607">
        <f t="shared" si="66"/>
        <v>65.5916666666667</v>
      </c>
      <c r="W607">
        <f t="shared" si="67"/>
        <v>418.596666666667</v>
      </c>
      <c r="X607">
        <f t="shared" si="63"/>
        <v>1.95612150966554</v>
      </c>
      <c r="AH607" t="str">
        <f t="shared" si="69"/>
        <v>3rd Quality</v>
      </c>
      <c r="AJ607">
        <f>((T607-X607)*2)/22.1</f>
        <v>3.03293018012076</v>
      </c>
      <c r="AK607">
        <f t="shared" si="68"/>
        <v>45224.25</v>
      </c>
    </row>
    <row r="608" spans="1:37">
      <c r="A608" t="s">
        <v>671</v>
      </c>
      <c r="B608">
        <v>25</v>
      </c>
      <c r="C608" t="s">
        <v>50</v>
      </c>
      <c r="D608" t="s">
        <v>45</v>
      </c>
      <c r="E608">
        <v>1306</v>
      </c>
      <c r="F608">
        <v>52</v>
      </c>
      <c r="G608">
        <v>1</v>
      </c>
      <c r="H608">
        <v>1556.01</v>
      </c>
      <c r="I608">
        <v>1692.26</v>
      </c>
      <c r="J608">
        <v>13</v>
      </c>
      <c r="K608">
        <v>0</v>
      </c>
      <c r="L608">
        <v>0.2</v>
      </c>
      <c r="M608">
        <v>22.9</v>
      </c>
      <c r="N608" t="s">
        <v>57</v>
      </c>
      <c r="O608" t="s">
        <v>47</v>
      </c>
      <c r="P608" t="s">
        <v>58</v>
      </c>
      <c r="R608">
        <f>SUMIF(A608:A5607,"C00607",I608:I5607)</f>
        <v>1692.26</v>
      </c>
      <c r="S608" s="1">
        <v>66889.14</v>
      </c>
      <c r="T608">
        <f t="shared" si="64"/>
        <v>130.173846153846</v>
      </c>
      <c r="U608">
        <f t="shared" si="65"/>
        <v>297.7</v>
      </c>
      <c r="V608">
        <f t="shared" si="66"/>
        <v>24.8083333333333</v>
      </c>
      <c r="W608">
        <f t="shared" si="67"/>
        <v>1083.09</v>
      </c>
      <c r="X608">
        <f t="shared" si="63"/>
        <v>0.839326225409862</v>
      </c>
      <c r="AH608" t="str">
        <f t="shared" si="69"/>
        <v>3rd Quality</v>
      </c>
      <c r="AJ608">
        <f>((T608-X608)*2)/0.2</f>
        <v>1293.34519928436</v>
      </c>
      <c r="AK608">
        <f t="shared" si="68"/>
        <v>170007.043076923</v>
      </c>
    </row>
    <row r="609" spans="1:37">
      <c r="A609" t="s">
        <v>672</v>
      </c>
      <c r="B609">
        <v>38</v>
      </c>
      <c r="C609" t="s">
        <v>44</v>
      </c>
      <c r="D609" t="s">
        <v>45</v>
      </c>
      <c r="E609">
        <v>422</v>
      </c>
      <c r="F609">
        <v>17</v>
      </c>
      <c r="G609">
        <v>31</v>
      </c>
      <c r="H609">
        <v>1960.5</v>
      </c>
      <c r="I609">
        <v>66889.14</v>
      </c>
      <c r="J609">
        <v>258</v>
      </c>
      <c r="K609">
        <v>1</v>
      </c>
      <c r="L609">
        <v>3.4</v>
      </c>
      <c r="M609">
        <v>5.7</v>
      </c>
      <c r="N609" t="s">
        <v>52</v>
      </c>
      <c r="O609" t="s">
        <v>47</v>
      </c>
      <c r="P609" t="s">
        <v>48</v>
      </c>
      <c r="R609">
        <f>SUMIF(A609:A5608,"C00608",I609:I5608)</f>
        <v>66889.14</v>
      </c>
      <c r="S609" s="1">
        <v>2740.39</v>
      </c>
      <c r="T609">
        <f t="shared" si="64"/>
        <v>259.26023255814</v>
      </c>
      <c r="U609">
        <f t="shared" si="65"/>
        <v>1470.6</v>
      </c>
      <c r="V609">
        <f>U609*1</f>
        <v>1470.6</v>
      </c>
      <c r="W609">
        <f t="shared" si="67"/>
        <v>22950.2133333333</v>
      </c>
      <c r="X609">
        <f t="shared" si="63"/>
        <v>0.215251211425657</v>
      </c>
      <c r="AH609" t="str">
        <f t="shared" si="69"/>
        <v>3rd Quality</v>
      </c>
      <c r="AJ609">
        <f>((T609-X609)*2)/3.4</f>
        <v>152.379400792185</v>
      </c>
      <c r="AK609">
        <f t="shared" si="68"/>
        <v>109407.818139535</v>
      </c>
    </row>
    <row r="610" spans="1:37">
      <c r="A610" t="s">
        <v>673</v>
      </c>
      <c r="B610">
        <v>47</v>
      </c>
      <c r="C610" t="s">
        <v>44</v>
      </c>
      <c r="D610" t="s">
        <v>45</v>
      </c>
      <c r="E610">
        <v>660</v>
      </c>
      <c r="F610">
        <v>205</v>
      </c>
      <c r="G610">
        <v>3</v>
      </c>
      <c r="H610">
        <v>818.3</v>
      </c>
      <c r="I610">
        <v>2740.39</v>
      </c>
      <c r="J610">
        <v>34</v>
      </c>
      <c r="K610">
        <v>0</v>
      </c>
      <c r="L610">
        <v>30.4</v>
      </c>
      <c r="M610">
        <v>39</v>
      </c>
      <c r="N610" t="s">
        <v>52</v>
      </c>
      <c r="O610" t="s">
        <v>47</v>
      </c>
      <c r="P610" t="s">
        <v>48</v>
      </c>
      <c r="R610">
        <f>SUMIF(A610:A5609,"C00609",I610:I5609)</f>
        <v>2740.39</v>
      </c>
      <c r="S610" s="1">
        <v>12300.01</v>
      </c>
      <c r="T610">
        <f t="shared" si="64"/>
        <v>80.5997058823529</v>
      </c>
      <c r="U610">
        <f t="shared" si="65"/>
        <v>1326</v>
      </c>
      <c r="V610">
        <f t="shared" si="66"/>
        <v>110.5</v>
      </c>
      <c r="W610">
        <f t="shared" si="67"/>
        <v>1186.56333333333</v>
      </c>
      <c r="X610">
        <f t="shared" si="63"/>
        <v>0.80655016497617</v>
      </c>
      <c r="AH610" t="str">
        <f t="shared" si="69"/>
        <v>3rd Quality</v>
      </c>
      <c r="AJ610">
        <f>((T610-X610)*2)/30.4</f>
        <v>5.24954971824847</v>
      </c>
      <c r="AK610">
        <f t="shared" si="68"/>
        <v>53195.8058823529</v>
      </c>
    </row>
    <row r="611" spans="1:37">
      <c r="A611" t="s">
        <v>674</v>
      </c>
      <c r="B611">
        <v>39</v>
      </c>
      <c r="C611" t="s">
        <v>50</v>
      </c>
      <c r="D611" t="s">
        <v>60</v>
      </c>
      <c r="E611">
        <v>932</v>
      </c>
      <c r="F611">
        <v>102</v>
      </c>
      <c r="G611">
        <v>9</v>
      </c>
      <c r="H611">
        <v>1308.15</v>
      </c>
      <c r="I611">
        <v>12300.01</v>
      </c>
      <c r="J611">
        <v>84</v>
      </c>
      <c r="K611">
        <v>1</v>
      </c>
      <c r="L611">
        <v>26.7</v>
      </c>
      <c r="M611">
        <v>23.8</v>
      </c>
      <c r="N611" t="s">
        <v>46</v>
      </c>
      <c r="O611" t="s">
        <v>47</v>
      </c>
      <c r="P611" t="s">
        <v>66</v>
      </c>
      <c r="R611">
        <f>SUMIF(A611:A5610,"C00610",I611:I5610)</f>
        <v>12300.01</v>
      </c>
      <c r="S611" s="1">
        <v>44696.26</v>
      </c>
      <c r="T611">
        <f t="shared" si="64"/>
        <v>146.42869047619</v>
      </c>
      <c r="U611">
        <f t="shared" si="65"/>
        <v>1999.2</v>
      </c>
      <c r="V611">
        <f>U611*1</f>
        <v>1999.2</v>
      </c>
      <c r="W611">
        <f t="shared" si="67"/>
        <v>4536.38666666667</v>
      </c>
      <c r="X611">
        <f t="shared" si="63"/>
        <v>0.712456522570042</v>
      </c>
      <c r="AH611" t="str">
        <f t="shared" si="69"/>
        <v>3rd Quality</v>
      </c>
      <c r="AJ611">
        <f>((T611-X611)*2)/26.7</f>
        <v>10.915073704391</v>
      </c>
      <c r="AK611">
        <f t="shared" si="68"/>
        <v>136471.53952381</v>
      </c>
    </row>
    <row r="612" spans="1:37">
      <c r="A612" t="s">
        <v>675</v>
      </c>
      <c r="B612">
        <v>22</v>
      </c>
      <c r="C612" t="s">
        <v>50</v>
      </c>
      <c r="D612" t="s">
        <v>45</v>
      </c>
      <c r="E612">
        <v>1057</v>
      </c>
      <c r="F612">
        <v>22</v>
      </c>
      <c r="G612">
        <v>5</v>
      </c>
      <c r="H612">
        <v>8104.92</v>
      </c>
      <c r="I612">
        <v>44696.26</v>
      </c>
      <c r="J612">
        <v>44</v>
      </c>
      <c r="K612">
        <v>0</v>
      </c>
      <c r="L612">
        <v>0</v>
      </c>
      <c r="M612">
        <v>44</v>
      </c>
      <c r="N612" t="s">
        <v>78</v>
      </c>
      <c r="O612" t="s">
        <v>47</v>
      </c>
      <c r="P612" t="s">
        <v>58</v>
      </c>
      <c r="R612">
        <f>SUMIF(A612:A5611,"C00611",I612:I5611)</f>
        <v>44696.26</v>
      </c>
      <c r="S612" s="1">
        <v>63607.46</v>
      </c>
      <c r="T612">
        <f t="shared" si="64"/>
        <v>1015.82409090909</v>
      </c>
      <c r="U612">
        <f t="shared" si="65"/>
        <v>1936</v>
      </c>
      <c r="V612">
        <f t="shared" si="66"/>
        <v>161.333333333333</v>
      </c>
      <c r="W612">
        <f t="shared" si="67"/>
        <v>17600.7266666667</v>
      </c>
      <c r="X612">
        <f t="shared" si="63"/>
        <v>0.130414612358913</v>
      </c>
      <c r="AH612" t="str">
        <f t="shared" si="69"/>
        <v>1st Quality</v>
      </c>
      <c r="AJ612">
        <f>((T612-X612)*2)</f>
        <v>2031.38735259346</v>
      </c>
      <c r="AK612">
        <f t="shared" si="68"/>
        <v>1073726.06409091</v>
      </c>
    </row>
    <row r="613" spans="1:37">
      <c r="A613" t="s">
        <v>676</v>
      </c>
      <c r="B613">
        <v>23</v>
      </c>
      <c r="C613" t="s">
        <v>44</v>
      </c>
      <c r="D613" t="s">
        <v>60</v>
      </c>
      <c r="E613">
        <v>1078</v>
      </c>
      <c r="F613">
        <v>82</v>
      </c>
      <c r="G613">
        <v>5</v>
      </c>
      <c r="H613">
        <v>13893.54</v>
      </c>
      <c r="I613">
        <v>63607.46</v>
      </c>
      <c r="J613">
        <v>30</v>
      </c>
      <c r="K613">
        <v>1</v>
      </c>
      <c r="L613">
        <v>0</v>
      </c>
      <c r="M613">
        <v>41.2</v>
      </c>
      <c r="N613" t="s">
        <v>81</v>
      </c>
      <c r="O613" t="s">
        <v>47</v>
      </c>
      <c r="P613" t="s">
        <v>68</v>
      </c>
      <c r="R613">
        <f>SUMIF(A613:A5612,"C00612",I613:I5612)</f>
        <v>63607.46</v>
      </c>
      <c r="S613" s="1">
        <v>1038.32</v>
      </c>
      <c r="T613">
        <f t="shared" si="64"/>
        <v>2120.24866666667</v>
      </c>
      <c r="U613">
        <f t="shared" si="65"/>
        <v>1236</v>
      </c>
      <c r="V613">
        <f>U613*1</f>
        <v>1236</v>
      </c>
      <c r="W613">
        <f t="shared" si="67"/>
        <v>25834</v>
      </c>
      <c r="X613">
        <f t="shared" si="63"/>
        <v>0.0775900166552225</v>
      </c>
      <c r="AH613" t="str">
        <f t="shared" si="69"/>
        <v>1st Quality</v>
      </c>
      <c r="AJ613">
        <f>((T613-X613)*2)</f>
        <v>4240.34215330003</v>
      </c>
      <c r="AK613">
        <f t="shared" si="68"/>
        <v>2285628.06266667</v>
      </c>
    </row>
    <row r="614" spans="1:37">
      <c r="A614" t="s">
        <v>677</v>
      </c>
      <c r="B614">
        <v>20</v>
      </c>
      <c r="C614" t="s">
        <v>56</v>
      </c>
      <c r="D614" t="s">
        <v>51</v>
      </c>
      <c r="E614">
        <v>1437</v>
      </c>
      <c r="F614">
        <v>365</v>
      </c>
      <c r="G614">
        <v>1</v>
      </c>
      <c r="H614">
        <v>1131.84</v>
      </c>
      <c r="I614">
        <v>1038.32</v>
      </c>
      <c r="J614">
        <v>13</v>
      </c>
      <c r="K614">
        <v>0</v>
      </c>
      <c r="L614">
        <v>10.6</v>
      </c>
      <c r="M614">
        <v>36.1</v>
      </c>
      <c r="N614" t="s">
        <v>57</v>
      </c>
      <c r="O614" t="s">
        <v>47</v>
      </c>
      <c r="P614" t="s">
        <v>68</v>
      </c>
      <c r="R614">
        <f>SUMIF(A614:A5613,"C00613",I614:I5613)</f>
        <v>1038.32</v>
      </c>
      <c r="S614" s="1">
        <v>791.67</v>
      </c>
      <c r="T614">
        <f t="shared" si="64"/>
        <v>79.8707692307692</v>
      </c>
      <c r="U614">
        <f t="shared" si="65"/>
        <v>469.3</v>
      </c>
      <c r="V614">
        <f t="shared" si="66"/>
        <v>39.1083333333333</v>
      </c>
      <c r="W614">
        <f t="shared" si="67"/>
        <v>723.72</v>
      </c>
      <c r="X614">
        <f t="shared" si="63"/>
        <v>1.26961407972858</v>
      </c>
      <c r="AH614" t="str">
        <f t="shared" si="69"/>
        <v>3rd Quality</v>
      </c>
      <c r="AJ614">
        <f>((T614-X614)*2)/10.6</f>
        <v>14.8304066322718</v>
      </c>
      <c r="AK614">
        <f t="shared" si="68"/>
        <v>114774.295384615</v>
      </c>
    </row>
    <row r="615" spans="1:37">
      <c r="A615" t="s">
        <v>678</v>
      </c>
      <c r="B615">
        <v>21</v>
      </c>
      <c r="C615" t="s">
        <v>44</v>
      </c>
      <c r="D615" t="s">
        <v>60</v>
      </c>
      <c r="E615">
        <v>385</v>
      </c>
      <c r="F615">
        <v>75</v>
      </c>
      <c r="G615">
        <v>1</v>
      </c>
      <c r="H615">
        <v>889.55</v>
      </c>
      <c r="I615">
        <v>791.67</v>
      </c>
      <c r="J615">
        <v>13</v>
      </c>
      <c r="K615">
        <v>0</v>
      </c>
      <c r="L615">
        <v>13.4</v>
      </c>
      <c r="M615">
        <v>29.2</v>
      </c>
      <c r="N615" t="s">
        <v>61</v>
      </c>
      <c r="O615" t="s">
        <v>47</v>
      </c>
      <c r="P615" t="s">
        <v>66</v>
      </c>
      <c r="R615">
        <f>SUMIF(A615:A5614,"C00614",I615:I5614)</f>
        <v>791.67</v>
      </c>
      <c r="S615" s="1">
        <v>12275.27</v>
      </c>
      <c r="T615">
        <f t="shared" si="64"/>
        <v>60.8976923076923</v>
      </c>
      <c r="U615">
        <f t="shared" si="65"/>
        <v>379.6</v>
      </c>
      <c r="V615">
        <f t="shared" si="66"/>
        <v>31.6333333333333</v>
      </c>
      <c r="W615">
        <f t="shared" si="67"/>
        <v>560.74</v>
      </c>
      <c r="X615">
        <f t="shared" si="63"/>
        <v>0.432803102692373</v>
      </c>
      <c r="AH615" t="str">
        <f t="shared" si="69"/>
        <v>3rd Quality</v>
      </c>
      <c r="AJ615">
        <f>((T615-X615)*2)/13.4</f>
        <v>9.02461032910447</v>
      </c>
      <c r="AK615">
        <f t="shared" si="68"/>
        <v>23445.6115384615</v>
      </c>
    </row>
    <row r="616" spans="1:37">
      <c r="A616" t="s">
        <v>679</v>
      </c>
      <c r="B616">
        <v>35</v>
      </c>
      <c r="C616" t="s">
        <v>50</v>
      </c>
      <c r="D616" t="s">
        <v>60</v>
      </c>
      <c r="E616">
        <v>642</v>
      </c>
      <c r="F616">
        <v>17</v>
      </c>
      <c r="G616">
        <v>11</v>
      </c>
      <c r="H616">
        <v>1105.71</v>
      </c>
      <c r="I616">
        <v>12275.27</v>
      </c>
      <c r="J616">
        <v>74</v>
      </c>
      <c r="K616">
        <v>0</v>
      </c>
      <c r="L616">
        <v>36.6</v>
      </c>
      <c r="M616">
        <v>46.8</v>
      </c>
      <c r="N616" t="s">
        <v>52</v>
      </c>
      <c r="O616" t="s">
        <v>47</v>
      </c>
      <c r="P616" t="s">
        <v>66</v>
      </c>
      <c r="R616">
        <f>SUMIF(A616:A5615,"C00615",I616:I5615)</f>
        <v>12275.27</v>
      </c>
      <c r="S616" s="1">
        <v>2494.22</v>
      </c>
      <c r="T616">
        <f t="shared" si="64"/>
        <v>165.882027027027</v>
      </c>
      <c r="U616">
        <f t="shared" si="65"/>
        <v>3463.2</v>
      </c>
      <c r="V616">
        <f t="shared" si="66"/>
        <v>288.6</v>
      </c>
      <c r="W616">
        <f t="shared" si="67"/>
        <v>4460.66</v>
      </c>
      <c r="X616">
        <f t="shared" si="63"/>
        <v>0.5806224055132</v>
      </c>
      <c r="AH616" t="str">
        <f t="shared" si="69"/>
        <v>3rd Quality</v>
      </c>
      <c r="AJ616">
        <f>((T616-X616)*2)/36.6</f>
        <v>9.03286364051988</v>
      </c>
      <c r="AK616">
        <f t="shared" si="68"/>
        <v>106496.261351351</v>
      </c>
    </row>
    <row r="617" spans="1:37">
      <c r="A617" t="s">
        <v>680</v>
      </c>
      <c r="B617">
        <v>21</v>
      </c>
      <c r="C617" t="s">
        <v>50</v>
      </c>
      <c r="D617" t="s">
        <v>60</v>
      </c>
      <c r="E617">
        <v>445</v>
      </c>
      <c r="F617">
        <v>103</v>
      </c>
      <c r="G617">
        <v>3</v>
      </c>
      <c r="H617">
        <v>891.01</v>
      </c>
      <c r="I617">
        <v>2494.22</v>
      </c>
      <c r="J617">
        <v>12</v>
      </c>
      <c r="K617">
        <v>0</v>
      </c>
      <c r="L617">
        <v>29.8</v>
      </c>
      <c r="M617">
        <v>10.7</v>
      </c>
      <c r="N617" t="s">
        <v>46</v>
      </c>
      <c r="O617" t="s">
        <v>53</v>
      </c>
      <c r="P617" t="s">
        <v>48</v>
      </c>
      <c r="R617">
        <f>SUMIF(A617:A5616,"C00616",I617:I5616)</f>
        <v>2494.22</v>
      </c>
      <c r="S617" s="1">
        <v>2489.1</v>
      </c>
      <c r="T617">
        <f t="shared" si="64"/>
        <v>207.851666666667</v>
      </c>
      <c r="U617">
        <f t="shared" si="65"/>
        <v>128.4</v>
      </c>
      <c r="V617">
        <f t="shared" si="66"/>
        <v>10.7</v>
      </c>
      <c r="W617">
        <f t="shared" si="67"/>
        <v>1128.74333333333</v>
      </c>
      <c r="X617">
        <f t="shared" si="63"/>
        <v>0.499433227460971</v>
      </c>
      <c r="AH617" t="str">
        <f t="shared" si="69"/>
        <v>3rd Quality</v>
      </c>
      <c r="AJ617">
        <f>((T617-X617)*2)/29.8</f>
        <v>13.9162572777991</v>
      </c>
      <c r="AK617">
        <f t="shared" si="68"/>
        <v>92493.9916666667</v>
      </c>
    </row>
    <row r="618" spans="1:37">
      <c r="A618" t="s">
        <v>681</v>
      </c>
      <c r="B618">
        <v>26</v>
      </c>
      <c r="C618" t="s">
        <v>44</v>
      </c>
      <c r="D618" t="s">
        <v>60</v>
      </c>
      <c r="E618">
        <v>951</v>
      </c>
      <c r="F618">
        <v>80</v>
      </c>
      <c r="G618">
        <v>3</v>
      </c>
      <c r="H618">
        <v>816.22</v>
      </c>
      <c r="I618">
        <v>2489.1</v>
      </c>
      <c r="J618">
        <v>28</v>
      </c>
      <c r="K618">
        <v>0</v>
      </c>
      <c r="L618">
        <v>33.5</v>
      </c>
      <c r="M618">
        <v>58.9</v>
      </c>
      <c r="N618" t="s">
        <v>61</v>
      </c>
      <c r="O618" t="s">
        <v>47</v>
      </c>
      <c r="P618" t="s">
        <v>66</v>
      </c>
      <c r="R618">
        <f>SUMIF(A618:A5617,"C00617",I618:I5617)</f>
        <v>2489.1</v>
      </c>
      <c r="S618" s="1">
        <v>12364.36</v>
      </c>
      <c r="T618">
        <f t="shared" si="64"/>
        <v>88.8964285714286</v>
      </c>
      <c r="U618">
        <f t="shared" si="65"/>
        <v>1649.2</v>
      </c>
      <c r="V618">
        <f t="shared" si="66"/>
        <v>137.433333333333</v>
      </c>
      <c r="W618">
        <f t="shared" si="67"/>
        <v>1102.10666666667</v>
      </c>
      <c r="X618">
        <f t="shared" si="63"/>
        <v>1.1651270490799</v>
      </c>
      <c r="AH618" t="str">
        <f t="shared" si="69"/>
        <v>3rd Quality</v>
      </c>
      <c r="AJ618">
        <f>((T618-X618)*2)/33.5</f>
        <v>5.2376896431253</v>
      </c>
      <c r="AK618">
        <f t="shared" si="68"/>
        <v>84540.5035714286</v>
      </c>
    </row>
    <row r="619" spans="1:37">
      <c r="A619" t="s">
        <v>682</v>
      </c>
      <c r="B619">
        <v>43</v>
      </c>
      <c r="C619" t="s">
        <v>50</v>
      </c>
      <c r="D619" t="s">
        <v>45</v>
      </c>
      <c r="E619">
        <v>668</v>
      </c>
      <c r="F619">
        <v>10</v>
      </c>
      <c r="G619">
        <v>11</v>
      </c>
      <c r="H619">
        <v>1274.64</v>
      </c>
      <c r="I619">
        <v>12364.36</v>
      </c>
      <c r="J619">
        <v>78</v>
      </c>
      <c r="K619">
        <v>0</v>
      </c>
      <c r="L619">
        <v>29.7</v>
      </c>
      <c r="M619">
        <v>57.6</v>
      </c>
      <c r="N619" t="s">
        <v>81</v>
      </c>
      <c r="O619" t="s">
        <v>47</v>
      </c>
      <c r="P619" t="s">
        <v>66</v>
      </c>
      <c r="R619">
        <f>SUMIF(A619:A5618,"C00618",I619:I5618)</f>
        <v>12364.36</v>
      </c>
      <c r="S619" s="1">
        <v>44105.38</v>
      </c>
      <c r="T619">
        <f t="shared" si="64"/>
        <v>158.517435897436</v>
      </c>
      <c r="U619">
        <f t="shared" si="65"/>
        <v>4492.8</v>
      </c>
      <c r="V619">
        <f t="shared" si="66"/>
        <v>374.4</v>
      </c>
      <c r="W619">
        <f t="shared" si="67"/>
        <v>4546.66666666667</v>
      </c>
      <c r="X619">
        <f t="shared" si="63"/>
        <v>0.524069541203791</v>
      </c>
      <c r="AH619" t="str">
        <f t="shared" si="69"/>
        <v>3rd Quality</v>
      </c>
      <c r="AJ619">
        <f>((T619-X619)*2)/29.7</f>
        <v>10.6392839297126</v>
      </c>
      <c r="AK619">
        <f t="shared" si="68"/>
        <v>105889.647179487</v>
      </c>
    </row>
    <row r="620" spans="1:37">
      <c r="A620" t="s">
        <v>683</v>
      </c>
      <c r="B620">
        <v>29</v>
      </c>
      <c r="C620" t="s">
        <v>44</v>
      </c>
      <c r="D620" t="s">
        <v>60</v>
      </c>
      <c r="E620">
        <v>1042</v>
      </c>
      <c r="F620">
        <v>11</v>
      </c>
      <c r="G620">
        <v>21</v>
      </c>
      <c r="H620">
        <v>2085.76</v>
      </c>
      <c r="I620">
        <v>44105.38</v>
      </c>
      <c r="J620">
        <v>174</v>
      </c>
      <c r="K620">
        <v>1</v>
      </c>
      <c r="L620">
        <v>5.9</v>
      </c>
      <c r="M620">
        <v>34.3</v>
      </c>
      <c r="N620" t="s">
        <v>61</v>
      </c>
      <c r="O620" t="s">
        <v>47</v>
      </c>
      <c r="P620" t="s">
        <v>58</v>
      </c>
      <c r="R620">
        <f>SUMIF(A620:A5619,"C00619",I620:I5619)</f>
        <v>44105.38</v>
      </c>
      <c r="S620" s="1">
        <v>55396.37</v>
      </c>
      <c r="T620">
        <f t="shared" si="64"/>
        <v>253.479195402299</v>
      </c>
      <c r="U620">
        <f t="shared" si="65"/>
        <v>5968.2</v>
      </c>
      <c r="V620">
        <f>U620*1</f>
        <v>5968.2</v>
      </c>
      <c r="W620">
        <f t="shared" si="67"/>
        <v>15397.38</v>
      </c>
      <c r="X620">
        <f t="shared" si="63"/>
        <v>0.499578091439092</v>
      </c>
      <c r="AH620" t="str">
        <f t="shared" si="69"/>
        <v>1st Quality</v>
      </c>
      <c r="AJ620">
        <f>((T620-X620)*2)/5.9</f>
        <v>85.7558024782576</v>
      </c>
      <c r="AK620">
        <f t="shared" si="68"/>
        <v>264125.321609195</v>
      </c>
    </row>
    <row r="621" spans="1:37">
      <c r="A621" t="s">
        <v>684</v>
      </c>
      <c r="B621">
        <v>31</v>
      </c>
      <c r="C621" t="s">
        <v>50</v>
      </c>
      <c r="D621" t="s">
        <v>51</v>
      </c>
      <c r="E621">
        <v>786</v>
      </c>
      <c r="F621">
        <v>11</v>
      </c>
      <c r="G621">
        <v>23</v>
      </c>
      <c r="H621">
        <v>2202.92</v>
      </c>
      <c r="I621">
        <v>55396.37</v>
      </c>
      <c r="J621">
        <v>56</v>
      </c>
      <c r="K621">
        <v>1</v>
      </c>
      <c r="L621">
        <v>9.7</v>
      </c>
      <c r="M621">
        <v>32.3</v>
      </c>
      <c r="N621" t="s">
        <v>57</v>
      </c>
      <c r="O621" t="s">
        <v>53</v>
      </c>
      <c r="P621" t="s">
        <v>58</v>
      </c>
      <c r="R621">
        <f>SUMIF(A621:A5620,"C00620",I621:I5620)</f>
        <v>55396.37</v>
      </c>
      <c r="S621" s="1">
        <v>1488.62</v>
      </c>
      <c r="T621">
        <f t="shared" si="64"/>
        <v>989.220892857143</v>
      </c>
      <c r="U621">
        <f t="shared" si="65"/>
        <v>1808.8</v>
      </c>
      <c r="V621">
        <f>U621*1</f>
        <v>1808.8</v>
      </c>
      <c r="W621">
        <f t="shared" si="67"/>
        <v>19200.0966666667</v>
      </c>
      <c r="X621">
        <f t="shared" si="63"/>
        <v>0.356799157481888</v>
      </c>
      <c r="AH621" t="str">
        <f t="shared" si="69"/>
        <v>2nd Quality</v>
      </c>
      <c r="AJ621">
        <f>((T621-X621)*2)/9.7</f>
        <v>203.8895038556</v>
      </c>
      <c r="AK621">
        <f t="shared" si="68"/>
        <v>777527.621785714</v>
      </c>
    </row>
    <row r="622" spans="1:37">
      <c r="A622" t="s">
        <v>685</v>
      </c>
      <c r="B622">
        <v>32</v>
      </c>
      <c r="C622" t="s">
        <v>50</v>
      </c>
      <c r="D622" t="s">
        <v>45</v>
      </c>
      <c r="E622">
        <v>647</v>
      </c>
      <c r="F622">
        <v>177</v>
      </c>
      <c r="G622">
        <v>2</v>
      </c>
      <c r="H622">
        <v>706.03</v>
      </c>
      <c r="I622">
        <v>1488.62</v>
      </c>
      <c r="J622">
        <v>24</v>
      </c>
      <c r="K622">
        <v>0</v>
      </c>
      <c r="L622">
        <v>30.8</v>
      </c>
      <c r="M622">
        <v>14</v>
      </c>
      <c r="N622" t="s">
        <v>61</v>
      </c>
      <c r="O622" t="s">
        <v>47</v>
      </c>
      <c r="P622" t="s">
        <v>58</v>
      </c>
      <c r="R622">
        <f>SUMIF(A622:A5621,"C00621",I622:I5621)</f>
        <v>1488.62</v>
      </c>
      <c r="S622" s="1">
        <v>13695.69</v>
      </c>
      <c r="T622">
        <f t="shared" si="64"/>
        <v>62.0258333333333</v>
      </c>
      <c r="U622">
        <f t="shared" si="65"/>
        <v>336</v>
      </c>
      <c r="V622">
        <f t="shared" si="66"/>
        <v>28</v>
      </c>
      <c r="W622">
        <f t="shared" si="67"/>
        <v>731.883333333333</v>
      </c>
      <c r="X622">
        <f t="shared" si="63"/>
        <v>0.916391654745549</v>
      </c>
      <c r="AH622" t="str">
        <f t="shared" si="69"/>
        <v>3rd Quality</v>
      </c>
      <c r="AJ622">
        <f>((T622-X622)*2)/30.8</f>
        <v>3.96814556354466</v>
      </c>
      <c r="AK622">
        <f t="shared" si="68"/>
        <v>40130.7141666667</v>
      </c>
    </row>
    <row r="623" spans="1:37">
      <c r="A623" t="s">
        <v>686</v>
      </c>
      <c r="B623">
        <v>38</v>
      </c>
      <c r="C623" t="s">
        <v>50</v>
      </c>
      <c r="D623" t="s">
        <v>45</v>
      </c>
      <c r="E623">
        <v>748</v>
      </c>
      <c r="F623">
        <v>23</v>
      </c>
      <c r="G623">
        <v>13</v>
      </c>
      <c r="H623">
        <v>1088.25</v>
      </c>
      <c r="I623">
        <v>13695.69</v>
      </c>
      <c r="J623">
        <v>35</v>
      </c>
      <c r="K623">
        <v>0</v>
      </c>
      <c r="L623">
        <v>26.2</v>
      </c>
      <c r="M623">
        <v>11.2</v>
      </c>
      <c r="N623" t="s">
        <v>61</v>
      </c>
      <c r="O623" t="s">
        <v>47</v>
      </c>
      <c r="P623" t="s">
        <v>58</v>
      </c>
      <c r="R623">
        <f>SUMIF(A623:A5622,"C00622",I623:I5622)</f>
        <v>13695.69</v>
      </c>
      <c r="S623" s="1">
        <v>2312.92</v>
      </c>
      <c r="T623">
        <f t="shared" si="64"/>
        <v>391.305428571429</v>
      </c>
      <c r="U623">
        <f t="shared" si="65"/>
        <v>392</v>
      </c>
      <c r="V623">
        <f t="shared" si="66"/>
        <v>32.6666666666667</v>
      </c>
      <c r="W623">
        <f t="shared" si="67"/>
        <v>4928.31333333333</v>
      </c>
      <c r="X623">
        <f t="shared" ref="X623:X686" si="70">E623/H623</f>
        <v>0.687342062945095</v>
      </c>
      <c r="AH623" t="str">
        <f t="shared" si="69"/>
        <v>3rd Quality</v>
      </c>
      <c r="AJ623">
        <f>((T623-X623)*2)/26.2</f>
        <v>29.8181745426324</v>
      </c>
      <c r="AK623">
        <f t="shared" si="68"/>
        <v>292696.460571429</v>
      </c>
    </row>
    <row r="624" spans="1:37">
      <c r="A624" t="s">
        <v>687</v>
      </c>
      <c r="B624">
        <v>29</v>
      </c>
      <c r="C624" t="s">
        <v>44</v>
      </c>
      <c r="D624" t="s">
        <v>60</v>
      </c>
      <c r="E624">
        <v>1058</v>
      </c>
      <c r="F624">
        <v>107</v>
      </c>
      <c r="G624">
        <v>1</v>
      </c>
      <c r="H624">
        <v>2580.29</v>
      </c>
      <c r="I624">
        <v>2312.92</v>
      </c>
      <c r="J624">
        <v>10</v>
      </c>
      <c r="K624">
        <v>0</v>
      </c>
      <c r="L624">
        <v>16.1</v>
      </c>
      <c r="M624">
        <v>6.5</v>
      </c>
      <c r="N624" t="s">
        <v>78</v>
      </c>
      <c r="O624" t="s">
        <v>47</v>
      </c>
      <c r="P624" t="s">
        <v>58</v>
      </c>
      <c r="R624">
        <f>SUMIF(A624:A5623,"C00623",I624:I5623)</f>
        <v>2312.92</v>
      </c>
      <c r="S624" s="1">
        <v>15412.32</v>
      </c>
      <c r="T624">
        <f t="shared" si="64"/>
        <v>231.292</v>
      </c>
      <c r="U624">
        <f t="shared" si="65"/>
        <v>65</v>
      </c>
      <c r="V624">
        <f t="shared" si="66"/>
        <v>5.41666666666667</v>
      </c>
      <c r="W624">
        <f t="shared" si="67"/>
        <v>1631.40333333333</v>
      </c>
      <c r="X624">
        <f t="shared" si="70"/>
        <v>0.410031430575633</v>
      </c>
      <c r="AH624" t="str">
        <f t="shared" si="69"/>
        <v>3rd Quality</v>
      </c>
      <c r="AJ624">
        <f>((T624-X624)*2)/16.1</f>
        <v>28.6809898844005</v>
      </c>
      <c r="AK624">
        <f t="shared" si="68"/>
        <v>244706.936</v>
      </c>
    </row>
    <row r="625" spans="1:37">
      <c r="A625" t="s">
        <v>688</v>
      </c>
      <c r="B625">
        <v>18</v>
      </c>
      <c r="C625" t="s">
        <v>50</v>
      </c>
      <c r="D625" t="s">
        <v>45</v>
      </c>
      <c r="E625">
        <v>1429</v>
      </c>
      <c r="F625">
        <v>8</v>
      </c>
      <c r="G625">
        <v>11</v>
      </c>
      <c r="H625">
        <v>1492.41</v>
      </c>
      <c r="I625">
        <v>15412.32</v>
      </c>
      <c r="J625">
        <v>64</v>
      </c>
      <c r="K625">
        <v>3</v>
      </c>
      <c r="L625">
        <v>29.3</v>
      </c>
      <c r="M625">
        <v>34.7</v>
      </c>
      <c r="N625" t="s">
        <v>78</v>
      </c>
      <c r="O625" t="s">
        <v>75</v>
      </c>
      <c r="P625" t="s">
        <v>58</v>
      </c>
      <c r="R625">
        <f>SUMIF(A625:A5624,"C00624",I625:I5624)</f>
        <v>15412.32</v>
      </c>
      <c r="S625" s="1">
        <v>4168.98</v>
      </c>
      <c r="T625">
        <f t="shared" si="64"/>
        <v>240.8175</v>
      </c>
      <c r="U625">
        <f t="shared" si="65"/>
        <v>2220.8</v>
      </c>
      <c r="V625">
        <f>U625*3</f>
        <v>6662.4</v>
      </c>
      <c r="W625">
        <f t="shared" si="67"/>
        <v>5635.24333333333</v>
      </c>
      <c r="X625">
        <f t="shared" si="70"/>
        <v>0.957511675745941</v>
      </c>
      <c r="AH625" t="str">
        <f t="shared" si="69"/>
        <v>3rd Quality</v>
      </c>
      <c r="AJ625">
        <f>((T625-X625)*2)/29.3</f>
        <v>16.3726954487545</v>
      </c>
      <c r="AK625">
        <f t="shared" si="68"/>
        <v>344128.2075</v>
      </c>
    </row>
    <row r="626" spans="1:37">
      <c r="A626" t="s">
        <v>689</v>
      </c>
      <c r="B626">
        <v>32</v>
      </c>
      <c r="C626" t="s">
        <v>50</v>
      </c>
      <c r="D626" t="s">
        <v>45</v>
      </c>
      <c r="E626">
        <v>556</v>
      </c>
      <c r="F626">
        <v>263</v>
      </c>
      <c r="G626">
        <v>3</v>
      </c>
      <c r="H626">
        <v>1388.54</v>
      </c>
      <c r="I626">
        <v>4168.98</v>
      </c>
      <c r="J626">
        <v>29</v>
      </c>
      <c r="K626">
        <v>0</v>
      </c>
      <c r="L626">
        <v>24.7</v>
      </c>
      <c r="M626">
        <v>15.9</v>
      </c>
      <c r="N626" t="s">
        <v>52</v>
      </c>
      <c r="O626" t="s">
        <v>75</v>
      </c>
      <c r="P626" t="s">
        <v>48</v>
      </c>
      <c r="R626">
        <f>SUMIF(A626:A5625,"C00625",I626:I5625)</f>
        <v>4168.98</v>
      </c>
      <c r="S626" s="1">
        <v>9637.39</v>
      </c>
      <c r="T626">
        <f t="shared" si="64"/>
        <v>143.757931034483</v>
      </c>
      <c r="U626">
        <f t="shared" si="65"/>
        <v>461.1</v>
      </c>
      <c r="V626">
        <f t="shared" si="66"/>
        <v>38.425</v>
      </c>
      <c r="W626">
        <f t="shared" si="67"/>
        <v>1852.84</v>
      </c>
      <c r="X626">
        <f t="shared" si="70"/>
        <v>0.400420585651116</v>
      </c>
      <c r="AH626" t="str">
        <f t="shared" si="69"/>
        <v>3rd Quality</v>
      </c>
      <c r="AJ626">
        <f>((T626-X626)*2)/24.7</f>
        <v>11.6078955829014</v>
      </c>
      <c r="AK626">
        <f t="shared" si="68"/>
        <v>79929.4096551724</v>
      </c>
    </row>
    <row r="627" spans="1:37">
      <c r="A627" t="s">
        <v>690</v>
      </c>
      <c r="B627">
        <v>27</v>
      </c>
      <c r="C627" t="s">
        <v>44</v>
      </c>
      <c r="D627" t="s">
        <v>51</v>
      </c>
      <c r="E627">
        <v>552</v>
      </c>
      <c r="F627">
        <v>41</v>
      </c>
      <c r="G627">
        <v>5</v>
      </c>
      <c r="H627">
        <v>2046.66</v>
      </c>
      <c r="I627">
        <v>9637.39</v>
      </c>
      <c r="J627">
        <v>22</v>
      </c>
      <c r="K627">
        <v>0</v>
      </c>
      <c r="L627">
        <v>20</v>
      </c>
      <c r="M627">
        <v>10.6</v>
      </c>
      <c r="N627" t="s">
        <v>61</v>
      </c>
      <c r="O627" t="s">
        <v>47</v>
      </c>
      <c r="P627" t="s">
        <v>58</v>
      </c>
      <c r="R627">
        <f>SUMIF(A627:A5626,"C00626",I627:I5626)</f>
        <v>9637.39</v>
      </c>
      <c r="S627" s="1">
        <v>3221.68</v>
      </c>
      <c r="T627">
        <f t="shared" si="64"/>
        <v>438.063181818182</v>
      </c>
      <c r="U627">
        <f t="shared" si="65"/>
        <v>233.2</v>
      </c>
      <c r="V627">
        <f t="shared" si="66"/>
        <v>19.4333333333333</v>
      </c>
      <c r="W627">
        <f t="shared" si="67"/>
        <v>3895.01666666667</v>
      </c>
      <c r="X627">
        <f t="shared" si="70"/>
        <v>0.269707718917651</v>
      </c>
      <c r="AH627" t="str">
        <f t="shared" si="69"/>
        <v>3rd Quality</v>
      </c>
      <c r="AJ627">
        <f>((T627-X627)*2)/20</f>
        <v>43.7793474099264</v>
      </c>
      <c r="AK627">
        <f t="shared" si="68"/>
        <v>241810.876363636</v>
      </c>
    </row>
    <row r="628" spans="1:37">
      <c r="A628" t="s">
        <v>691</v>
      </c>
      <c r="B628">
        <v>53</v>
      </c>
      <c r="C628" t="s">
        <v>44</v>
      </c>
      <c r="D628" t="s">
        <v>51</v>
      </c>
      <c r="E628">
        <v>1420</v>
      </c>
      <c r="F628">
        <v>293</v>
      </c>
      <c r="G628">
        <v>3</v>
      </c>
      <c r="H628">
        <v>1007.09</v>
      </c>
      <c r="I628">
        <v>3221.68</v>
      </c>
      <c r="J628">
        <v>18</v>
      </c>
      <c r="K628">
        <v>0</v>
      </c>
      <c r="L628">
        <v>34.3</v>
      </c>
      <c r="M628">
        <v>12.5</v>
      </c>
      <c r="N628" t="s">
        <v>78</v>
      </c>
      <c r="O628" t="s">
        <v>47</v>
      </c>
      <c r="P628" t="s">
        <v>58</v>
      </c>
      <c r="R628">
        <f>SUMIF(A628:A5627,"C00627",I628:I5627)</f>
        <v>3221.68</v>
      </c>
      <c r="S628" s="1">
        <v>46417.11</v>
      </c>
      <c r="T628">
        <f t="shared" si="64"/>
        <v>178.982222222222</v>
      </c>
      <c r="U628">
        <f t="shared" si="65"/>
        <v>225</v>
      </c>
      <c r="V628">
        <f t="shared" si="66"/>
        <v>18.75</v>
      </c>
      <c r="W628">
        <f t="shared" si="67"/>
        <v>1409.92333333333</v>
      </c>
      <c r="X628">
        <f t="shared" si="70"/>
        <v>1.41000307817573</v>
      </c>
      <c r="AH628" t="str">
        <f t="shared" si="69"/>
        <v>3rd Quality</v>
      </c>
      <c r="AJ628">
        <f>((T628-X628)*2)/34.3</f>
        <v>10.3540652562126</v>
      </c>
      <c r="AK628">
        <f t="shared" si="68"/>
        <v>254154.755555556</v>
      </c>
    </row>
    <row r="629" spans="1:37">
      <c r="A629" t="s">
        <v>692</v>
      </c>
      <c r="B629">
        <v>19</v>
      </c>
      <c r="C629" t="s">
        <v>50</v>
      </c>
      <c r="D629" t="s">
        <v>60</v>
      </c>
      <c r="E629">
        <v>1341</v>
      </c>
      <c r="F629">
        <v>18</v>
      </c>
      <c r="G629">
        <v>22</v>
      </c>
      <c r="H629">
        <v>1910.35</v>
      </c>
      <c r="I629">
        <v>46417.11</v>
      </c>
      <c r="J629">
        <v>160</v>
      </c>
      <c r="K629">
        <v>1</v>
      </c>
      <c r="L629">
        <v>11.7</v>
      </c>
      <c r="M629">
        <v>53.6</v>
      </c>
      <c r="N629" t="s">
        <v>57</v>
      </c>
      <c r="O629" t="s">
        <v>47</v>
      </c>
      <c r="P629" t="s">
        <v>66</v>
      </c>
      <c r="R629">
        <f>SUMIF(A629:A5628,"C00628",I629:I5628)</f>
        <v>46417.11</v>
      </c>
      <c r="S629" s="1">
        <v>15337.85</v>
      </c>
      <c r="T629">
        <f t="shared" si="64"/>
        <v>290.1069375</v>
      </c>
      <c r="U629">
        <f t="shared" si="65"/>
        <v>8576</v>
      </c>
      <c r="V629">
        <f>U629*1</f>
        <v>8576</v>
      </c>
      <c r="W629">
        <f t="shared" si="67"/>
        <v>16109.4866666667</v>
      </c>
      <c r="X629">
        <f t="shared" si="70"/>
        <v>0.701965608396367</v>
      </c>
      <c r="AH629" t="str">
        <f t="shared" si="69"/>
        <v>1st Quality</v>
      </c>
      <c r="AJ629">
        <f>((T629-X629)*2)/11.7</f>
        <v>49.4709353660861</v>
      </c>
      <c r="AK629">
        <f t="shared" si="68"/>
        <v>389033.4031875</v>
      </c>
    </row>
    <row r="630" spans="1:37">
      <c r="A630" t="s">
        <v>693</v>
      </c>
      <c r="B630">
        <v>40</v>
      </c>
      <c r="C630" t="s">
        <v>44</v>
      </c>
      <c r="D630" t="s">
        <v>60</v>
      </c>
      <c r="E630">
        <v>1342</v>
      </c>
      <c r="F630">
        <v>19</v>
      </c>
      <c r="G630">
        <v>6</v>
      </c>
      <c r="H630">
        <v>2771.69</v>
      </c>
      <c r="I630">
        <v>15337.85</v>
      </c>
      <c r="J630">
        <v>56</v>
      </c>
      <c r="K630">
        <v>0</v>
      </c>
      <c r="L630">
        <v>24.6</v>
      </c>
      <c r="M630">
        <v>6.1</v>
      </c>
      <c r="N630" t="s">
        <v>63</v>
      </c>
      <c r="O630" t="s">
        <v>47</v>
      </c>
      <c r="P630" t="s">
        <v>68</v>
      </c>
      <c r="R630">
        <f>SUMIF(A630:A5629,"C00629",I630:I5629)</f>
        <v>15337.85</v>
      </c>
      <c r="S630" s="1">
        <v>2262.88</v>
      </c>
      <c r="T630">
        <f t="shared" si="64"/>
        <v>273.890178571429</v>
      </c>
      <c r="U630">
        <f t="shared" si="65"/>
        <v>341.6</v>
      </c>
      <c r="V630">
        <f t="shared" si="66"/>
        <v>28.4666666666667</v>
      </c>
      <c r="W630">
        <f t="shared" si="67"/>
        <v>6036.84666666667</v>
      </c>
      <c r="X630">
        <f t="shared" si="70"/>
        <v>0.484181131367505</v>
      </c>
      <c r="AH630" t="str">
        <f t="shared" si="69"/>
        <v>3rd Quality</v>
      </c>
      <c r="AJ630">
        <f>((T630-X630)*2)/24.6</f>
        <v>22.2281298731757</v>
      </c>
      <c r="AK630">
        <f t="shared" si="68"/>
        <v>367560.619642857</v>
      </c>
    </row>
    <row r="631" spans="1:37">
      <c r="A631" t="s">
        <v>694</v>
      </c>
      <c r="B631">
        <v>31</v>
      </c>
      <c r="C631" t="s">
        <v>44</v>
      </c>
      <c r="D631" t="s">
        <v>45</v>
      </c>
      <c r="E631">
        <v>1400</v>
      </c>
      <c r="F631">
        <v>97</v>
      </c>
      <c r="G631">
        <v>5</v>
      </c>
      <c r="H631">
        <v>513.51</v>
      </c>
      <c r="I631">
        <v>2262.88</v>
      </c>
      <c r="J631">
        <v>36</v>
      </c>
      <c r="K631">
        <v>1</v>
      </c>
      <c r="L631">
        <v>35.3</v>
      </c>
      <c r="M631">
        <v>6.1</v>
      </c>
      <c r="N631" t="s">
        <v>46</v>
      </c>
      <c r="O631" t="s">
        <v>47</v>
      </c>
      <c r="P631" t="s">
        <v>48</v>
      </c>
      <c r="R631">
        <f>SUMIF(A631:A5630,"C00630",I631:I5630)</f>
        <v>2262.88</v>
      </c>
      <c r="S631" s="1">
        <v>1918.49</v>
      </c>
      <c r="T631">
        <f t="shared" si="64"/>
        <v>62.8577777777778</v>
      </c>
      <c r="U631">
        <f t="shared" si="65"/>
        <v>219.6</v>
      </c>
      <c r="V631">
        <f>U631*1</f>
        <v>219.6</v>
      </c>
      <c r="W631">
        <f t="shared" si="67"/>
        <v>925.796666666667</v>
      </c>
      <c r="X631">
        <f t="shared" si="70"/>
        <v>2.72633444334093</v>
      </c>
      <c r="AH631" t="str">
        <f t="shared" si="69"/>
        <v>3rd Quality</v>
      </c>
      <c r="AJ631">
        <f>((T631-X631)*2)/35.3</f>
        <v>3.40688064217773</v>
      </c>
      <c r="AK631">
        <f t="shared" si="68"/>
        <v>88000.8888888889</v>
      </c>
    </row>
    <row r="632" spans="1:37">
      <c r="A632" t="s">
        <v>695</v>
      </c>
      <c r="B632">
        <v>60</v>
      </c>
      <c r="C632" t="s">
        <v>56</v>
      </c>
      <c r="D632" t="s">
        <v>60</v>
      </c>
      <c r="E632">
        <v>603</v>
      </c>
      <c r="F632">
        <v>61</v>
      </c>
      <c r="G632">
        <v>1</v>
      </c>
      <c r="H632">
        <v>2131.24</v>
      </c>
      <c r="I632">
        <v>1918.49</v>
      </c>
      <c r="J632">
        <v>12</v>
      </c>
      <c r="K632">
        <v>0</v>
      </c>
      <c r="L632">
        <v>19.7</v>
      </c>
      <c r="M632">
        <v>51.8</v>
      </c>
      <c r="N632" t="s">
        <v>78</v>
      </c>
      <c r="O632" t="s">
        <v>47</v>
      </c>
      <c r="P632" t="s">
        <v>68</v>
      </c>
      <c r="R632">
        <f>SUMIF(A632:A5631,"C00631",I632:I5631)</f>
        <v>1918.49</v>
      </c>
      <c r="S632" s="1">
        <v>2558.85</v>
      </c>
      <c r="T632">
        <f t="shared" si="64"/>
        <v>159.874166666667</v>
      </c>
      <c r="U632">
        <f t="shared" si="65"/>
        <v>621.6</v>
      </c>
      <c r="V632">
        <f t="shared" si="66"/>
        <v>51.8</v>
      </c>
      <c r="W632">
        <f t="shared" si="67"/>
        <v>1350.24333333333</v>
      </c>
      <c r="X632">
        <f t="shared" si="70"/>
        <v>0.28293387886864</v>
      </c>
      <c r="AH632" t="str">
        <f t="shared" si="69"/>
        <v>3rd Quality</v>
      </c>
      <c r="AJ632">
        <f>((T632-X632)*2)/19.7</f>
        <v>16.2021556129745</v>
      </c>
      <c r="AK632">
        <f t="shared" si="68"/>
        <v>96404.1225</v>
      </c>
    </row>
    <row r="633" spans="1:37">
      <c r="A633" t="s">
        <v>696</v>
      </c>
      <c r="B633">
        <v>39</v>
      </c>
      <c r="C633" t="s">
        <v>44</v>
      </c>
      <c r="D633" t="s">
        <v>60</v>
      </c>
      <c r="E633">
        <v>561</v>
      </c>
      <c r="F633">
        <v>69</v>
      </c>
      <c r="G633">
        <v>2</v>
      </c>
      <c r="H633">
        <v>1192.73</v>
      </c>
      <c r="I633">
        <v>2558.85</v>
      </c>
      <c r="J633">
        <v>22</v>
      </c>
      <c r="K633">
        <v>1</v>
      </c>
      <c r="L633">
        <v>25</v>
      </c>
      <c r="M633">
        <v>49.9</v>
      </c>
      <c r="N633" t="s">
        <v>63</v>
      </c>
      <c r="O633" t="s">
        <v>47</v>
      </c>
      <c r="P633" t="s">
        <v>68</v>
      </c>
      <c r="R633">
        <f>SUMIF(A633:A5632,"C00632",I633:I5632)</f>
        <v>2558.85</v>
      </c>
      <c r="S633" s="1">
        <v>42571.06</v>
      </c>
      <c r="T633">
        <f t="shared" si="64"/>
        <v>116.311363636364</v>
      </c>
      <c r="U633">
        <f t="shared" si="65"/>
        <v>1097.8</v>
      </c>
      <c r="V633">
        <f>U633*1</f>
        <v>1097.8</v>
      </c>
      <c r="W633">
        <f t="shared" si="67"/>
        <v>1250.86</v>
      </c>
      <c r="X633">
        <f t="shared" si="70"/>
        <v>0.470349534261736</v>
      </c>
      <c r="AH633" t="str">
        <f t="shared" si="69"/>
        <v>3rd Quality</v>
      </c>
      <c r="AJ633">
        <f>((T633-X633)*2)/25</f>
        <v>9.26728112816818</v>
      </c>
      <c r="AK633">
        <f t="shared" si="68"/>
        <v>65250.675</v>
      </c>
    </row>
    <row r="634" spans="1:37">
      <c r="A634" t="s">
        <v>697</v>
      </c>
      <c r="B634">
        <v>52</v>
      </c>
      <c r="C634" t="s">
        <v>44</v>
      </c>
      <c r="D634" t="s">
        <v>60</v>
      </c>
      <c r="E634">
        <v>1083</v>
      </c>
      <c r="F634">
        <v>12</v>
      </c>
      <c r="G634">
        <v>28</v>
      </c>
      <c r="H634">
        <v>1702.78</v>
      </c>
      <c r="I634">
        <v>42571.06</v>
      </c>
      <c r="J634">
        <v>147</v>
      </c>
      <c r="K634">
        <v>1</v>
      </c>
      <c r="L634">
        <v>1.8</v>
      </c>
      <c r="M634">
        <v>64.3</v>
      </c>
      <c r="N634" t="s">
        <v>52</v>
      </c>
      <c r="O634" t="s">
        <v>47</v>
      </c>
      <c r="P634" t="s">
        <v>58</v>
      </c>
      <c r="R634">
        <f>SUMIF(A634:A5633,"C00633",I634:I5633)</f>
        <v>42571.06</v>
      </c>
      <c r="S634" s="1">
        <v>22037.14</v>
      </c>
      <c r="T634">
        <f t="shared" si="64"/>
        <v>289.599047619048</v>
      </c>
      <c r="U634">
        <f t="shared" si="65"/>
        <v>9452.1</v>
      </c>
      <c r="V634">
        <f>U634*1</f>
        <v>9452.1</v>
      </c>
      <c r="W634">
        <f t="shared" si="67"/>
        <v>14758.28</v>
      </c>
      <c r="X634">
        <f t="shared" si="70"/>
        <v>0.636018745815666</v>
      </c>
      <c r="AH634" t="str">
        <f t="shared" si="69"/>
        <v>3rd Quality</v>
      </c>
      <c r="AJ634">
        <f>((T634-X634)*2)/1.8</f>
        <v>321.070032081369</v>
      </c>
      <c r="AK634">
        <f t="shared" si="68"/>
        <v>313635.768571429</v>
      </c>
    </row>
    <row r="635" spans="1:37">
      <c r="A635" t="s">
        <v>698</v>
      </c>
      <c r="B635">
        <v>18</v>
      </c>
      <c r="C635" t="s">
        <v>44</v>
      </c>
      <c r="D635" t="s">
        <v>45</v>
      </c>
      <c r="E635">
        <v>1197</v>
      </c>
      <c r="F635">
        <v>115</v>
      </c>
      <c r="G635">
        <v>12</v>
      </c>
      <c r="H635">
        <v>1733.93</v>
      </c>
      <c r="I635">
        <v>22037.14</v>
      </c>
      <c r="J635">
        <v>56</v>
      </c>
      <c r="K635">
        <v>2</v>
      </c>
      <c r="L635">
        <v>25.7</v>
      </c>
      <c r="M635">
        <v>9.3</v>
      </c>
      <c r="N635" t="s">
        <v>78</v>
      </c>
      <c r="O635" t="s">
        <v>47</v>
      </c>
      <c r="P635" t="s">
        <v>66</v>
      </c>
      <c r="R635">
        <f>SUMIF(A635:A5634,"C00634",I635:I5634)</f>
        <v>22037.14</v>
      </c>
      <c r="S635" s="1">
        <v>91059.61</v>
      </c>
      <c r="T635">
        <f t="shared" si="64"/>
        <v>393.520357142857</v>
      </c>
      <c r="U635">
        <f t="shared" si="65"/>
        <v>520.8</v>
      </c>
      <c r="V635">
        <f>U635*2</f>
        <v>1041.6</v>
      </c>
      <c r="W635">
        <f t="shared" si="67"/>
        <v>7924.02333333333</v>
      </c>
      <c r="X635">
        <f t="shared" si="70"/>
        <v>0.690339287053111</v>
      </c>
      <c r="AH635" t="str">
        <f t="shared" si="69"/>
        <v>2nd Quality</v>
      </c>
      <c r="AJ635">
        <f>((T635-X635)*2)/25.7</f>
        <v>30.5704294051209</v>
      </c>
      <c r="AK635">
        <f t="shared" si="68"/>
        <v>471043.8675</v>
      </c>
    </row>
    <row r="636" spans="1:37">
      <c r="A636" t="s">
        <v>699</v>
      </c>
      <c r="B636">
        <v>32</v>
      </c>
      <c r="C636" t="s">
        <v>44</v>
      </c>
      <c r="D636" t="s">
        <v>60</v>
      </c>
      <c r="E636">
        <v>1278</v>
      </c>
      <c r="F636">
        <v>4</v>
      </c>
      <c r="G636">
        <v>23</v>
      </c>
      <c r="H636">
        <v>4051.28</v>
      </c>
      <c r="I636">
        <v>91059.61</v>
      </c>
      <c r="J636">
        <v>79</v>
      </c>
      <c r="K636">
        <v>1</v>
      </c>
      <c r="L636">
        <v>0</v>
      </c>
      <c r="M636">
        <v>26.5</v>
      </c>
      <c r="N636" t="s">
        <v>46</v>
      </c>
      <c r="O636" t="s">
        <v>75</v>
      </c>
      <c r="P636" t="s">
        <v>58</v>
      </c>
      <c r="R636">
        <f>SUMIF(A636:A5635,"C00635",I636:I5635)</f>
        <v>91059.61</v>
      </c>
      <c r="S636" s="1">
        <v>101473.85</v>
      </c>
      <c r="T636">
        <f t="shared" si="64"/>
        <v>1152.65329113924</v>
      </c>
      <c r="U636">
        <f t="shared" si="65"/>
        <v>2093.5</v>
      </c>
      <c r="V636">
        <f>U636*1</f>
        <v>2093.5</v>
      </c>
      <c r="W636">
        <f t="shared" si="67"/>
        <v>31703.9633333333</v>
      </c>
      <c r="X636">
        <f t="shared" si="70"/>
        <v>0.315455855927016</v>
      </c>
      <c r="AH636" t="str">
        <f t="shared" si="69"/>
        <v>1st Quality</v>
      </c>
      <c r="AJ636">
        <f>((T636-X636)*2)</f>
        <v>2304.67567056663</v>
      </c>
      <c r="AK636">
        <f t="shared" si="68"/>
        <v>1473090.90607595</v>
      </c>
    </row>
    <row r="637" spans="1:37">
      <c r="A637" t="s">
        <v>700</v>
      </c>
      <c r="B637">
        <v>26</v>
      </c>
      <c r="C637" t="s">
        <v>44</v>
      </c>
      <c r="D637" t="s">
        <v>60</v>
      </c>
      <c r="E637">
        <v>1459</v>
      </c>
      <c r="F637">
        <v>26</v>
      </c>
      <c r="G637">
        <v>19</v>
      </c>
      <c r="H637">
        <v>5437.21</v>
      </c>
      <c r="I637">
        <v>101473.85</v>
      </c>
      <c r="J637">
        <v>159</v>
      </c>
      <c r="K637">
        <v>3</v>
      </c>
      <c r="L637">
        <v>20.4</v>
      </c>
      <c r="M637">
        <v>16.9</v>
      </c>
      <c r="N637" t="s">
        <v>57</v>
      </c>
      <c r="O637" t="s">
        <v>47</v>
      </c>
      <c r="P637" t="s">
        <v>68</v>
      </c>
      <c r="R637">
        <f>SUMIF(A637:A5636,"C00636",I637:I5636)</f>
        <v>101473.85</v>
      </c>
      <c r="S637" s="1">
        <v>1287.28</v>
      </c>
      <c r="T637">
        <f t="shared" si="64"/>
        <v>638.200314465409</v>
      </c>
      <c r="U637">
        <f t="shared" si="65"/>
        <v>2687.1</v>
      </c>
      <c r="V637">
        <f>U637*3</f>
        <v>8061.3</v>
      </c>
      <c r="W637">
        <f t="shared" si="67"/>
        <v>35637.3533333333</v>
      </c>
      <c r="X637">
        <f t="shared" si="70"/>
        <v>0.268336150341811</v>
      </c>
      <c r="AH637" t="str">
        <f t="shared" si="69"/>
        <v>1st Quality</v>
      </c>
      <c r="AJ637">
        <f>((T637-X637)*2)/20.4</f>
        <v>62.5423508152027</v>
      </c>
      <c r="AK637">
        <f t="shared" si="68"/>
        <v>931134.258805032</v>
      </c>
    </row>
    <row r="638" spans="1:37">
      <c r="A638" t="s">
        <v>701</v>
      </c>
      <c r="B638">
        <v>42</v>
      </c>
      <c r="C638" t="s">
        <v>50</v>
      </c>
      <c r="D638" t="s">
        <v>60</v>
      </c>
      <c r="E638">
        <v>1349</v>
      </c>
      <c r="F638">
        <v>117</v>
      </c>
      <c r="G638">
        <v>1</v>
      </c>
      <c r="H638">
        <v>1219.73</v>
      </c>
      <c r="I638">
        <v>1287.28</v>
      </c>
      <c r="J638">
        <v>13</v>
      </c>
      <c r="K638">
        <v>1</v>
      </c>
      <c r="L638">
        <v>14.6</v>
      </c>
      <c r="M638">
        <v>31.8</v>
      </c>
      <c r="N638" t="s">
        <v>63</v>
      </c>
      <c r="O638" t="s">
        <v>75</v>
      </c>
      <c r="P638" t="s">
        <v>48</v>
      </c>
      <c r="R638">
        <f>SUMIF(A638:A5637,"C00637",I638:I5637)</f>
        <v>1287.28</v>
      </c>
      <c r="S638" s="1">
        <v>1359.4</v>
      </c>
      <c r="T638">
        <f t="shared" si="64"/>
        <v>99.0215384615385</v>
      </c>
      <c r="U638">
        <f t="shared" si="65"/>
        <v>413.4</v>
      </c>
      <c r="V638">
        <f>U638*1</f>
        <v>413.4</v>
      </c>
      <c r="W638">
        <f t="shared" si="67"/>
        <v>836.003333333333</v>
      </c>
      <c r="X638">
        <f t="shared" si="70"/>
        <v>1.10598247153058</v>
      </c>
      <c r="AH638" t="str">
        <f t="shared" si="69"/>
        <v>3rd Quality</v>
      </c>
      <c r="AJ638">
        <f>((T638-X638)*2)/14.6</f>
        <v>13.4130898616449</v>
      </c>
      <c r="AK638">
        <f t="shared" si="68"/>
        <v>133580.055384615</v>
      </c>
    </row>
    <row r="639" spans="1:37">
      <c r="A639" t="s">
        <v>702</v>
      </c>
      <c r="B639">
        <v>37</v>
      </c>
      <c r="C639" t="s">
        <v>50</v>
      </c>
      <c r="D639" t="s">
        <v>45</v>
      </c>
      <c r="E639">
        <v>640</v>
      </c>
      <c r="F639">
        <v>166</v>
      </c>
      <c r="G639">
        <v>1</v>
      </c>
      <c r="H639">
        <v>1420.77</v>
      </c>
      <c r="I639">
        <v>1359.4</v>
      </c>
      <c r="J639">
        <v>21</v>
      </c>
      <c r="K639">
        <v>1</v>
      </c>
      <c r="L639">
        <v>21.8</v>
      </c>
      <c r="M639">
        <v>43.6</v>
      </c>
      <c r="N639" t="s">
        <v>81</v>
      </c>
      <c r="O639" t="s">
        <v>53</v>
      </c>
      <c r="P639" t="s">
        <v>68</v>
      </c>
      <c r="R639">
        <f>SUMIF(A639:A5638,"C00638",I639:I5638)</f>
        <v>1359.4</v>
      </c>
      <c r="S639" s="1">
        <v>4398.34</v>
      </c>
      <c r="T639">
        <f t="shared" si="64"/>
        <v>64.7333333333333</v>
      </c>
      <c r="U639">
        <f t="shared" si="65"/>
        <v>915.6</v>
      </c>
      <c r="V639">
        <f>U639*1</f>
        <v>915.6</v>
      </c>
      <c r="W639">
        <f t="shared" si="67"/>
        <v>927.056666666667</v>
      </c>
      <c r="X639">
        <f t="shared" si="70"/>
        <v>0.450459961851672</v>
      </c>
      <c r="AH639" t="str">
        <f t="shared" si="69"/>
        <v>3rd Quality</v>
      </c>
      <c r="AJ639">
        <f>((T639-X639)*2)/21.8</f>
        <v>5.89751131848455</v>
      </c>
      <c r="AK639">
        <f t="shared" si="68"/>
        <v>41429.3333333333</v>
      </c>
    </row>
    <row r="640" spans="1:37">
      <c r="A640" t="s">
        <v>703</v>
      </c>
      <c r="B640">
        <v>40</v>
      </c>
      <c r="C640" t="s">
        <v>50</v>
      </c>
      <c r="D640" t="s">
        <v>45</v>
      </c>
      <c r="E640">
        <v>690</v>
      </c>
      <c r="F640">
        <v>95</v>
      </c>
      <c r="G640">
        <v>4</v>
      </c>
      <c r="H640">
        <v>1023.33</v>
      </c>
      <c r="I640">
        <v>4398.34</v>
      </c>
      <c r="J640">
        <v>19</v>
      </c>
      <c r="K640">
        <v>1</v>
      </c>
      <c r="L640">
        <v>36</v>
      </c>
      <c r="M640">
        <v>15.8</v>
      </c>
      <c r="N640" t="s">
        <v>57</v>
      </c>
      <c r="O640" t="s">
        <v>53</v>
      </c>
      <c r="P640" t="s">
        <v>48</v>
      </c>
      <c r="R640">
        <f>SUMIF(A640:A5639,"C00639",I640:I5639)</f>
        <v>4398.34</v>
      </c>
      <c r="S640" s="1">
        <v>1824.08</v>
      </c>
      <c r="T640">
        <f t="shared" si="64"/>
        <v>231.491578947368</v>
      </c>
      <c r="U640">
        <f t="shared" si="65"/>
        <v>300.2</v>
      </c>
      <c r="V640">
        <f>U640*1</f>
        <v>300.2</v>
      </c>
      <c r="W640">
        <f t="shared" si="67"/>
        <v>1807.55666666667</v>
      </c>
      <c r="X640">
        <f t="shared" si="70"/>
        <v>0.674269297294128</v>
      </c>
      <c r="AH640" t="str">
        <f t="shared" si="69"/>
        <v>3rd Quality</v>
      </c>
      <c r="AJ640">
        <f>((T640-X640)*2)/36</f>
        <v>12.8231838694485</v>
      </c>
      <c r="AK640">
        <f t="shared" si="68"/>
        <v>159729.189473684</v>
      </c>
    </row>
    <row r="641" spans="1:37">
      <c r="A641" t="s">
        <v>704</v>
      </c>
      <c r="B641">
        <v>33</v>
      </c>
      <c r="C641" t="s">
        <v>44</v>
      </c>
      <c r="D641" t="s">
        <v>60</v>
      </c>
      <c r="E641">
        <v>918</v>
      </c>
      <c r="F641">
        <v>116</v>
      </c>
      <c r="G641">
        <v>1</v>
      </c>
      <c r="H641">
        <v>2020.81</v>
      </c>
      <c r="I641">
        <v>1824.08</v>
      </c>
      <c r="J641">
        <v>10</v>
      </c>
      <c r="K641">
        <v>0</v>
      </c>
      <c r="L641">
        <v>16.8</v>
      </c>
      <c r="M641">
        <v>16.3</v>
      </c>
      <c r="N641" t="s">
        <v>46</v>
      </c>
      <c r="O641" t="s">
        <v>47</v>
      </c>
      <c r="P641" t="s">
        <v>68</v>
      </c>
      <c r="R641">
        <f>SUMIF(A641:A5640,"C00640",I641:I5640)</f>
        <v>1824.08</v>
      </c>
      <c r="S641" s="1">
        <v>2360.97</v>
      </c>
      <c r="T641">
        <f t="shared" si="64"/>
        <v>182.408</v>
      </c>
      <c r="U641">
        <f t="shared" si="65"/>
        <v>163</v>
      </c>
      <c r="V641">
        <f t="shared" si="66"/>
        <v>13.5833333333333</v>
      </c>
      <c r="W641">
        <f t="shared" si="67"/>
        <v>1281.96333333333</v>
      </c>
      <c r="X641">
        <f t="shared" si="70"/>
        <v>0.454273286454442</v>
      </c>
      <c r="AH641" t="str">
        <f t="shared" si="69"/>
        <v>3rd Quality</v>
      </c>
      <c r="AJ641">
        <f>((T641-X641)*2)/16.8</f>
        <v>21.6611579420888</v>
      </c>
      <c r="AK641">
        <f t="shared" si="68"/>
        <v>167450.544</v>
      </c>
    </row>
    <row r="642" spans="1:37">
      <c r="A642" t="s">
        <v>705</v>
      </c>
      <c r="B642">
        <v>44</v>
      </c>
      <c r="C642" t="s">
        <v>44</v>
      </c>
      <c r="D642" t="s">
        <v>60</v>
      </c>
      <c r="E642">
        <v>695</v>
      </c>
      <c r="F642">
        <v>229</v>
      </c>
      <c r="G642">
        <v>3</v>
      </c>
      <c r="H642">
        <v>747.75</v>
      </c>
      <c r="I642">
        <v>2360.97</v>
      </c>
      <c r="J642">
        <v>18</v>
      </c>
      <c r="K642">
        <v>0</v>
      </c>
      <c r="L642">
        <v>30.3</v>
      </c>
      <c r="M642">
        <v>15.1</v>
      </c>
      <c r="N642" t="s">
        <v>61</v>
      </c>
      <c r="O642" t="s">
        <v>75</v>
      </c>
      <c r="P642" t="s">
        <v>68</v>
      </c>
      <c r="R642">
        <f>SUMIF(A642:A5641,"C00641",I642:I5641)</f>
        <v>2360.97</v>
      </c>
      <c r="S642" s="1">
        <v>8913.45</v>
      </c>
      <c r="T642">
        <f t="shared" si="64"/>
        <v>131.165</v>
      </c>
      <c r="U642">
        <f t="shared" si="65"/>
        <v>271.8</v>
      </c>
      <c r="V642">
        <f t="shared" si="66"/>
        <v>22.65</v>
      </c>
      <c r="W642">
        <f t="shared" si="67"/>
        <v>1036.57333333333</v>
      </c>
      <c r="X642">
        <f t="shared" si="70"/>
        <v>0.929455031761953</v>
      </c>
      <c r="AH642" t="str">
        <f t="shared" si="69"/>
        <v>3rd Quality</v>
      </c>
      <c r="AJ642">
        <f>((T642-X642)*2)/30.3</f>
        <v>8.59640560846456</v>
      </c>
      <c r="AK642">
        <f t="shared" si="68"/>
        <v>91159.675</v>
      </c>
    </row>
    <row r="643" spans="1:37">
      <c r="A643" t="s">
        <v>706</v>
      </c>
      <c r="B643">
        <v>34</v>
      </c>
      <c r="C643" t="s">
        <v>44</v>
      </c>
      <c r="D643" t="s">
        <v>51</v>
      </c>
      <c r="E643">
        <v>1197</v>
      </c>
      <c r="F643">
        <v>65</v>
      </c>
      <c r="G643">
        <v>7</v>
      </c>
      <c r="H643">
        <v>1160.88</v>
      </c>
      <c r="I643">
        <v>8913.45</v>
      </c>
      <c r="J643">
        <v>25</v>
      </c>
      <c r="K643">
        <v>1</v>
      </c>
      <c r="L643">
        <v>24.2</v>
      </c>
      <c r="M643">
        <v>13.4</v>
      </c>
      <c r="N643" t="s">
        <v>81</v>
      </c>
      <c r="O643" t="s">
        <v>47</v>
      </c>
      <c r="P643" t="s">
        <v>58</v>
      </c>
      <c r="R643">
        <f>SUMIF(A643:A5642,"C00642",I643:I5642)</f>
        <v>8913.45</v>
      </c>
      <c r="S643" s="1">
        <v>44331.71</v>
      </c>
      <c r="T643">
        <f t="shared" ref="T643:T706" si="71">I643/J643</f>
        <v>356.538</v>
      </c>
      <c r="U643">
        <f t="shared" ref="U643:U706" si="72">J643*M643</f>
        <v>335</v>
      </c>
      <c r="V643">
        <f>U643*1</f>
        <v>335</v>
      </c>
      <c r="W643">
        <f t="shared" ref="W643:W706" si="73">(H643+I643+1)/3</f>
        <v>3358.44333333333</v>
      </c>
      <c r="X643">
        <f t="shared" si="70"/>
        <v>1.03111432706223</v>
      </c>
      <c r="AH643" t="str">
        <f t="shared" si="69"/>
        <v>3rd Quality</v>
      </c>
      <c r="AJ643">
        <f>((T643-X643)*2)/24.2</f>
        <v>29.3807343531354</v>
      </c>
      <c r="AK643">
        <f t="shared" ref="AK643:AK706" si="74">I643/J643*E643</f>
        <v>426775.986</v>
      </c>
    </row>
    <row r="644" spans="1:37">
      <c r="A644" t="s">
        <v>707</v>
      </c>
      <c r="B644">
        <v>27</v>
      </c>
      <c r="C644" t="s">
        <v>50</v>
      </c>
      <c r="D644" t="s">
        <v>45</v>
      </c>
      <c r="E644">
        <v>1267</v>
      </c>
      <c r="F644">
        <v>17</v>
      </c>
      <c r="G644">
        <v>25</v>
      </c>
      <c r="H644">
        <v>1928.68</v>
      </c>
      <c r="I644">
        <v>44331.71</v>
      </c>
      <c r="J644">
        <v>206</v>
      </c>
      <c r="K644">
        <v>2</v>
      </c>
      <c r="L644">
        <v>8.1</v>
      </c>
      <c r="M644">
        <v>49.3</v>
      </c>
      <c r="N644" t="s">
        <v>46</v>
      </c>
      <c r="O644" t="s">
        <v>53</v>
      </c>
      <c r="P644" t="s">
        <v>58</v>
      </c>
      <c r="R644">
        <f>SUMIF(A644:A5643,"C00643",I644:I5643)</f>
        <v>44331.71</v>
      </c>
      <c r="S644" s="1">
        <v>15570.74</v>
      </c>
      <c r="T644">
        <f t="shared" si="71"/>
        <v>215.202475728155</v>
      </c>
      <c r="U644">
        <f t="shared" si="72"/>
        <v>10155.8</v>
      </c>
      <c r="V644">
        <f>U644*2</f>
        <v>20311.6</v>
      </c>
      <c r="W644">
        <f t="shared" si="73"/>
        <v>15420.4633333333</v>
      </c>
      <c r="X644">
        <f t="shared" si="70"/>
        <v>0.656925980463322</v>
      </c>
      <c r="AH644" t="str">
        <f t="shared" si="69"/>
        <v>1st Quality</v>
      </c>
      <c r="AJ644">
        <f>((T644-X644)*2)/8.1</f>
        <v>52.9742098142449</v>
      </c>
      <c r="AK644">
        <f t="shared" si="74"/>
        <v>272661.536747573</v>
      </c>
    </row>
    <row r="645" spans="1:37">
      <c r="A645" t="s">
        <v>708</v>
      </c>
      <c r="B645">
        <v>34</v>
      </c>
      <c r="C645" t="s">
        <v>44</v>
      </c>
      <c r="D645" t="s">
        <v>51</v>
      </c>
      <c r="E645">
        <v>1171</v>
      </c>
      <c r="F645">
        <v>11</v>
      </c>
      <c r="G645">
        <v>12</v>
      </c>
      <c r="H645">
        <v>1280.7</v>
      </c>
      <c r="I645">
        <v>15570.74</v>
      </c>
      <c r="J645">
        <v>29</v>
      </c>
      <c r="K645">
        <v>0</v>
      </c>
      <c r="L645">
        <v>26.8</v>
      </c>
      <c r="M645">
        <v>5.3</v>
      </c>
      <c r="N645" t="s">
        <v>81</v>
      </c>
      <c r="O645" t="s">
        <v>53</v>
      </c>
      <c r="P645" t="s">
        <v>66</v>
      </c>
      <c r="R645">
        <f>SUMIF(A645:A5644,"C00644",I645:I5644)</f>
        <v>15570.74</v>
      </c>
      <c r="S645" s="1">
        <v>48231.7</v>
      </c>
      <c r="T645">
        <f t="shared" si="71"/>
        <v>536.922068965517</v>
      </c>
      <c r="U645">
        <f t="shared" si="72"/>
        <v>153.7</v>
      </c>
      <c r="V645">
        <f t="shared" ref="V643:V706" si="75">U645/12</f>
        <v>12.8083333333333</v>
      </c>
      <c r="W645">
        <f t="shared" si="73"/>
        <v>5617.48</v>
      </c>
      <c r="X645">
        <f t="shared" si="70"/>
        <v>0.914343718279066</v>
      </c>
      <c r="AH645" t="str">
        <f t="shared" si="69"/>
        <v>3rd Quality</v>
      </c>
      <c r="AJ645">
        <f>((T645-X645)*2)/26.8</f>
        <v>40.0005765109879</v>
      </c>
      <c r="AK645">
        <f t="shared" si="74"/>
        <v>628735.742758621</v>
      </c>
    </row>
    <row r="646" spans="1:37">
      <c r="A646" t="s">
        <v>709</v>
      </c>
      <c r="B646">
        <v>47</v>
      </c>
      <c r="C646" t="s">
        <v>44</v>
      </c>
      <c r="D646" t="s">
        <v>60</v>
      </c>
      <c r="E646">
        <v>379</v>
      </c>
      <c r="F646">
        <v>12</v>
      </c>
      <c r="G646">
        <v>4</v>
      </c>
      <c r="H646">
        <v>11663.3</v>
      </c>
      <c r="I646">
        <v>48231.7</v>
      </c>
      <c r="J646">
        <v>13</v>
      </c>
      <c r="K646">
        <v>0</v>
      </c>
      <c r="L646">
        <v>0.2</v>
      </c>
      <c r="M646">
        <v>7.1</v>
      </c>
      <c r="N646" t="s">
        <v>63</v>
      </c>
      <c r="O646" t="s">
        <v>47</v>
      </c>
      <c r="P646" t="s">
        <v>58</v>
      </c>
      <c r="R646">
        <f>SUMIF(A646:A5645,"C00645",I646:I5645)</f>
        <v>48231.7</v>
      </c>
      <c r="S646" s="1">
        <v>3970.73</v>
      </c>
      <c r="T646">
        <f t="shared" si="71"/>
        <v>3710.13076923077</v>
      </c>
      <c r="U646">
        <f t="shared" si="72"/>
        <v>92.3</v>
      </c>
      <c r="V646">
        <f t="shared" si="75"/>
        <v>7.69166666666667</v>
      </c>
      <c r="W646">
        <f t="shared" si="73"/>
        <v>19965.3333333333</v>
      </c>
      <c r="X646">
        <f t="shared" si="70"/>
        <v>0.0324950914406729</v>
      </c>
      <c r="AH646" t="str">
        <f t="shared" si="69"/>
        <v>3rd Quality</v>
      </c>
      <c r="AJ646">
        <f>((T646-X646)*2)/0.2</f>
        <v>37100.9827413933</v>
      </c>
      <c r="AK646">
        <f t="shared" si="74"/>
        <v>1406139.56153846</v>
      </c>
    </row>
    <row r="647" spans="1:37">
      <c r="A647" t="s">
        <v>710</v>
      </c>
      <c r="B647">
        <v>39</v>
      </c>
      <c r="C647" t="s">
        <v>50</v>
      </c>
      <c r="D647" t="s">
        <v>60</v>
      </c>
      <c r="E647">
        <v>1278</v>
      </c>
      <c r="F647">
        <v>12</v>
      </c>
      <c r="G647">
        <v>3</v>
      </c>
      <c r="H647">
        <v>1451.51</v>
      </c>
      <c r="I647">
        <v>3970.73</v>
      </c>
      <c r="J647">
        <v>32</v>
      </c>
      <c r="K647">
        <v>0</v>
      </c>
      <c r="L647">
        <v>27.2</v>
      </c>
      <c r="M647">
        <v>65.7</v>
      </c>
      <c r="N647" t="s">
        <v>63</v>
      </c>
      <c r="O647" t="s">
        <v>47</v>
      </c>
      <c r="P647" t="s">
        <v>58</v>
      </c>
      <c r="R647">
        <f>SUMIF(A647:A5646,"C00646",I647:I5646)</f>
        <v>3970.73</v>
      </c>
      <c r="S647" s="1">
        <v>75495.16</v>
      </c>
      <c r="T647">
        <f t="shared" si="71"/>
        <v>124.0853125</v>
      </c>
      <c r="U647">
        <f t="shared" si="72"/>
        <v>2102.4</v>
      </c>
      <c r="V647">
        <f t="shared" si="75"/>
        <v>175.2</v>
      </c>
      <c r="W647">
        <f t="shared" si="73"/>
        <v>1807.74666666667</v>
      </c>
      <c r="X647">
        <f t="shared" si="70"/>
        <v>0.880462415002308</v>
      </c>
      <c r="AH647" t="str">
        <f t="shared" si="69"/>
        <v>3rd Quality</v>
      </c>
      <c r="AJ647">
        <f>((T647-X647)*2)/27.2</f>
        <v>9.05918015330865</v>
      </c>
      <c r="AK647">
        <f t="shared" si="74"/>
        <v>158581.029375</v>
      </c>
    </row>
    <row r="648" spans="1:37">
      <c r="A648" t="s">
        <v>711</v>
      </c>
      <c r="B648">
        <v>37</v>
      </c>
      <c r="C648" t="s">
        <v>44</v>
      </c>
      <c r="D648" t="s">
        <v>45</v>
      </c>
      <c r="E648">
        <v>683</v>
      </c>
      <c r="F648">
        <v>9</v>
      </c>
      <c r="G648">
        <v>28</v>
      </c>
      <c r="H648">
        <v>2668.55</v>
      </c>
      <c r="I648">
        <v>75495.16</v>
      </c>
      <c r="J648">
        <v>92</v>
      </c>
      <c r="K648">
        <v>2</v>
      </c>
      <c r="L648">
        <v>9</v>
      </c>
      <c r="M648">
        <v>51.8</v>
      </c>
      <c r="N648" t="s">
        <v>57</v>
      </c>
      <c r="O648" t="s">
        <v>47</v>
      </c>
      <c r="P648" t="s">
        <v>66</v>
      </c>
      <c r="R648">
        <f>SUMIF(A648:A5647,"C00647",I648:I5647)</f>
        <v>75495.16</v>
      </c>
      <c r="S648" s="1">
        <v>25801.97</v>
      </c>
      <c r="T648">
        <f t="shared" si="71"/>
        <v>820.599565217391</v>
      </c>
      <c r="U648">
        <f t="shared" si="72"/>
        <v>4765.6</v>
      </c>
      <c r="V648">
        <f>U648*2</f>
        <v>9531.2</v>
      </c>
      <c r="W648">
        <f t="shared" si="73"/>
        <v>26054.9033333333</v>
      </c>
      <c r="X648">
        <f t="shared" si="70"/>
        <v>0.255944239380937</v>
      </c>
      <c r="AH648" t="str">
        <f t="shared" si="69"/>
        <v>2nd Quality</v>
      </c>
      <c r="AJ648">
        <f>((T648-X648)*2)/9</f>
        <v>182.298582439558</v>
      </c>
      <c r="AK648">
        <f t="shared" si="74"/>
        <v>560469.503043478</v>
      </c>
    </row>
    <row r="649" spans="1:37">
      <c r="A649" t="s">
        <v>712</v>
      </c>
      <c r="B649">
        <v>40</v>
      </c>
      <c r="C649" t="s">
        <v>44</v>
      </c>
      <c r="D649" t="s">
        <v>60</v>
      </c>
      <c r="E649">
        <v>749</v>
      </c>
      <c r="F649">
        <v>37</v>
      </c>
      <c r="G649">
        <v>2</v>
      </c>
      <c r="H649">
        <v>13716.41</v>
      </c>
      <c r="I649">
        <v>25801.97</v>
      </c>
      <c r="J649">
        <v>19</v>
      </c>
      <c r="K649">
        <v>0</v>
      </c>
      <c r="L649">
        <v>4.1</v>
      </c>
      <c r="M649">
        <v>33.3</v>
      </c>
      <c r="N649" t="s">
        <v>61</v>
      </c>
      <c r="O649" t="s">
        <v>47</v>
      </c>
      <c r="P649" t="s">
        <v>68</v>
      </c>
      <c r="R649">
        <f>SUMIF(A649:A5648,"C00648",I649:I5648)</f>
        <v>25801.97</v>
      </c>
      <c r="S649" s="1">
        <v>2509.91</v>
      </c>
      <c r="T649">
        <f t="shared" si="71"/>
        <v>1357.99842105263</v>
      </c>
      <c r="U649">
        <f t="shared" si="72"/>
        <v>632.7</v>
      </c>
      <c r="V649">
        <f t="shared" si="75"/>
        <v>52.725</v>
      </c>
      <c r="W649">
        <f t="shared" si="73"/>
        <v>13173.1266666667</v>
      </c>
      <c r="X649">
        <f t="shared" si="70"/>
        <v>0.0546061250720852</v>
      </c>
      <c r="AH649" t="str">
        <f t="shared" si="69"/>
        <v>2nd Quality</v>
      </c>
      <c r="AJ649">
        <f>((T649-X649)*2)/4.1</f>
        <v>662.411617037833</v>
      </c>
      <c r="AK649">
        <f t="shared" si="74"/>
        <v>1017140.81736842</v>
      </c>
    </row>
    <row r="650" spans="1:37">
      <c r="A650" t="s">
        <v>713</v>
      </c>
      <c r="B650">
        <v>36</v>
      </c>
      <c r="C650" t="s">
        <v>50</v>
      </c>
      <c r="D650" t="s">
        <v>60</v>
      </c>
      <c r="E650">
        <v>980</v>
      </c>
      <c r="F650">
        <v>97</v>
      </c>
      <c r="G650">
        <v>3</v>
      </c>
      <c r="H650">
        <v>788.64</v>
      </c>
      <c r="I650">
        <v>2509.91</v>
      </c>
      <c r="J650">
        <v>16</v>
      </c>
      <c r="K650">
        <v>0</v>
      </c>
      <c r="L650">
        <v>34.3</v>
      </c>
      <c r="M650">
        <v>31.2</v>
      </c>
      <c r="N650" t="s">
        <v>81</v>
      </c>
      <c r="O650" t="s">
        <v>47</v>
      </c>
      <c r="P650" t="s">
        <v>58</v>
      </c>
      <c r="R650">
        <f>SUMIF(A650:A5649,"C00649",I650:I5649)</f>
        <v>2509.91</v>
      </c>
      <c r="S650" s="1">
        <v>113577.04</v>
      </c>
      <c r="T650">
        <f t="shared" si="71"/>
        <v>156.869375</v>
      </c>
      <c r="U650">
        <f t="shared" si="72"/>
        <v>499.2</v>
      </c>
      <c r="V650">
        <f t="shared" si="75"/>
        <v>41.6</v>
      </c>
      <c r="W650">
        <f t="shared" si="73"/>
        <v>1099.85</v>
      </c>
      <c r="X650">
        <f t="shared" si="70"/>
        <v>1.24264556705214</v>
      </c>
      <c r="AH650" t="str">
        <f t="shared" si="69"/>
        <v>3rd Quality</v>
      </c>
      <c r="AJ650">
        <f>((T650-X650)*2)/34.3</f>
        <v>9.07444486489492</v>
      </c>
      <c r="AK650">
        <f t="shared" si="74"/>
        <v>153731.9875</v>
      </c>
    </row>
    <row r="651" spans="1:37">
      <c r="A651" t="s">
        <v>714</v>
      </c>
      <c r="B651">
        <v>29</v>
      </c>
      <c r="C651" t="s">
        <v>50</v>
      </c>
      <c r="D651" t="s">
        <v>60</v>
      </c>
      <c r="E651">
        <v>501</v>
      </c>
      <c r="F651">
        <v>2</v>
      </c>
      <c r="G651">
        <v>24</v>
      </c>
      <c r="H651">
        <v>4656.36</v>
      </c>
      <c r="I651">
        <v>113577.04</v>
      </c>
      <c r="J651">
        <v>83</v>
      </c>
      <c r="K651">
        <v>3</v>
      </c>
      <c r="L651">
        <v>12.2</v>
      </c>
      <c r="M651">
        <v>38.2</v>
      </c>
      <c r="N651" t="s">
        <v>57</v>
      </c>
      <c r="O651" t="s">
        <v>47</v>
      </c>
      <c r="P651" t="s">
        <v>48</v>
      </c>
      <c r="R651">
        <f>SUMIF(A651:A5650,"C00650",I651:I5650)</f>
        <v>113577.04</v>
      </c>
      <c r="S651" s="1">
        <v>7793.85</v>
      </c>
      <c r="T651">
        <f t="shared" si="71"/>
        <v>1368.39807228916</v>
      </c>
      <c r="U651">
        <f t="shared" si="72"/>
        <v>3170.6</v>
      </c>
      <c r="V651">
        <f>U651*3</f>
        <v>9511.8</v>
      </c>
      <c r="W651">
        <f t="shared" si="73"/>
        <v>39411.4666666667</v>
      </c>
      <c r="X651">
        <f t="shared" si="70"/>
        <v>0.107594773599979</v>
      </c>
      <c r="AH651" t="str">
        <f t="shared" si="69"/>
        <v>2nd Quality</v>
      </c>
      <c r="AJ651">
        <f>((T651-X651)*2)/12.2</f>
        <v>224.309914346813</v>
      </c>
      <c r="AK651">
        <f t="shared" si="74"/>
        <v>685567.434216867</v>
      </c>
    </row>
    <row r="652" spans="1:37">
      <c r="A652" t="s">
        <v>715</v>
      </c>
      <c r="B652">
        <v>35</v>
      </c>
      <c r="C652" t="s">
        <v>50</v>
      </c>
      <c r="D652" t="s">
        <v>51</v>
      </c>
      <c r="E652">
        <v>1168</v>
      </c>
      <c r="F652">
        <v>14</v>
      </c>
      <c r="G652">
        <v>8</v>
      </c>
      <c r="H652">
        <v>995.6</v>
      </c>
      <c r="I652">
        <v>7793.85</v>
      </c>
      <c r="J652">
        <v>66</v>
      </c>
      <c r="K652">
        <v>0</v>
      </c>
      <c r="L652">
        <v>21.3</v>
      </c>
      <c r="M652">
        <v>24.6</v>
      </c>
      <c r="N652" t="s">
        <v>78</v>
      </c>
      <c r="O652" t="s">
        <v>47</v>
      </c>
      <c r="P652" t="s">
        <v>68</v>
      </c>
      <c r="R652">
        <f>SUMIF(A652:A5651,"C00651",I652:I5651)</f>
        <v>7793.85</v>
      </c>
      <c r="S652" s="1">
        <v>2370.44</v>
      </c>
      <c r="T652">
        <f t="shared" si="71"/>
        <v>118.088636363636</v>
      </c>
      <c r="U652">
        <f t="shared" si="72"/>
        <v>1623.6</v>
      </c>
      <c r="V652">
        <f t="shared" si="75"/>
        <v>135.3</v>
      </c>
      <c r="W652">
        <f t="shared" si="73"/>
        <v>2930.15</v>
      </c>
      <c r="X652">
        <f t="shared" si="70"/>
        <v>1.17316191241462</v>
      </c>
      <c r="AH652" t="str">
        <f t="shared" si="69"/>
        <v>3rd Quality</v>
      </c>
      <c r="AJ652">
        <f>((T652-X652)*2)/21.3</f>
        <v>10.9779788217109</v>
      </c>
      <c r="AK652">
        <f t="shared" si="74"/>
        <v>137927.527272727</v>
      </c>
    </row>
    <row r="653" spans="1:37">
      <c r="A653" t="s">
        <v>716</v>
      </c>
      <c r="B653">
        <v>18</v>
      </c>
      <c r="C653" t="s">
        <v>44</v>
      </c>
      <c r="D653" t="s">
        <v>60</v>
      </c>
      <c r="E653">
        <v>1107</v>
      </c>
      <c r="F653">
        <v>365</v>
      </c>
      <c r="G653">
        <v>1</v>
      </c>
      <c r="H653">
        <v>2240.05</v>
      </c>
      <c r="I653">
        <v>2370.44</v>
      </c>
      <c r="J653">
        <v>11</v>
      </c>
      <c r="K653">
        <v>0</v>
      </c>
      <c r="L653">
        <v>5.1</v>
      </c>
      <c r="M653">
        <v>6</v>
      </c>
      <c r="N653" t="s">
        <v>63</v>
      </c>
      <c r="O653" t="s">
        <v>47</v>
      </c>
      <c r="P653" t="s">
        <v>58</v>
      </c>
      <c r="R653">
        <f>SUMIF(A653:A5652,"C00652",I653:I5652)</f>
        <v>2370.44</v>
      </c>
      <c r="S653" s="1">
        <v>4326.85</v>
      </c>
      <c r="T653">
        <f t="shared" si="71"/>
        <v>215.494545454545</v>
      </c>
      <c r="U653">
        <f t="shared" si="72"/>
        <v>66</v>
      </c>
      <c r="V653">
        <f t="shared" si="75"/>
        <v>5.5</v>
      </c>
      <c r="W653">
        <f t="shared" si="73"/>
        <v>1537.16333333333</v>
      </c>
      <c r="X653">
        <f t="shared" si="70"/>
        <v>0.494185397647374</v>
      </c>
      <c r="AH653" t="str">
        <f t="shared" si="69"/>
        <v>3rd Quality</v>
      </c>
      <c r="AJ653">
        <f>((T653-X653)*2)/5.1</f>
        <v>84.3138666889795</v>
      </c>
      <c r="AK653">
        <f t="shared" si="74"/>
        <v>238552.461818182</v>
      </c>
    </row>
    <row r="654" spans="1:37">
      <c r="A654" t="s">
        <v>717</v>
      </c>
      <c r="B654">
        <v>18</v>
      </c>
      <c r="C654" t="s">
        <v>50</v>
      </c>
      <c r="D654" t="s">
        <v>45</v>
      </c>
      <c r="E654">
        <v>858</v>
      </c>
      <c r="F654">
        <v>59</v>
      </c>
      <c r="G654">
        <v>5</v>
      </c>
      <c r="H654">
        <v>819.76</v>
      </c>
      <c r="I654">
        <v>4326.85</v>
      </c>
      <c r="J654">
        <v>47</v>
      </c>
      <c r="K654">
        <v>0</v>
      </c>
      <c r="L654">
        <v>37.3</v>
      </c>
      <c r="M654">
        <v>35.6</v>
      </c>
      <c r="N654" t="s">
        <v>81</v>
      </c>
      <c r="O654" t="s">
        <v>75</v>
      </c>
      <c r="P654" t="s">
        <v>54</v>
      </c>
      <c r="R654">
        <f>SUMIF(A654:A5653,"C00653",I654:I5653)</f>
        <v>4326.85</v>
      </c>
      <c r="S654" s="1">
        <v>8007.17</v>
      </c>
      <c r="T654">
        <f t="shared" si="71"/>
        <v>92.0606382978723</v>
      </c>
      <c r="U654">
        <f t="shared" si="72"/>
        <v>1673.2</v>
      </c>
      <c r="V654">
        <f t="shared" si="75"/>
        <v>139.433333333333</v>
      </c>
      <c r="W654">
        <f t="shared" si="73"/>
        <v>1715.87</v>
      </c>
      <c r="X654">
        <f t="shared" si="70"/>
        <v>1.04664779935591</v>
      </c>
      <c r="AH654" t="str">
        <f t="shared" ref="AH654:AH717" si="76">IF(AND(W654&gt;=12550,B654&lt;=33,E654&gt;=915),"1st Quality",IF(AND(W654&gt;=6275,B654&lt;=43,E654&gt;=457),"2nd Quality","3rd Quality"))</f>
        <v>3rd Quality</v>
      </c>
      <c r="AJ654">
        <f>((T654-X654)*2)/37.3</f>
        <v>4.88010672914297</v>
      </c>
      <c r="AK654">
        <f t="shared" si="74"/>
        <v>78988.0276595745</v>
      </c>
    </row>
    <row r="655" spans="1:37">
      <c r="A655" t="s">
        <v>718</v>
      </c>
      <c r="B655">
        <v>41</v>
      </c>
      <c r="C655" t="s">
        <v>44</v>
      </c>
      <c r="D655" t="s">
        <v>45</v>
      </c>
      <c r="E655">
        <v>740</v>
      </c>
      <c r="F655">
        <v>38</v>
      </c>
      <c r="G655">
        <v>10</v>
      </c>
      <c r="H655">
        <v>860.51</v>
      </c>
      <c r="I655">
        <v>8007.17</v>
      </c>
      <c r="J655">
        <v>90</v>
      </c>
      <c r="K655">
        <v>0</v>
      </c>
      <c r="L655">
        <v>15.5</v>
      </c>
      <c r="M655">
        <v>57.5</v>
      </c>
      <c r="N655" t="s">
        <v>57</v>
      </c>
      <c r="O655" t="s">
        <v>53</v>
      </c>
      <c r="P655" t="s">
        <v>68</v>
      </c>
      <c r="R655">
        <f>SUMIF(A655:A5654,"C00654",I655:I5654)</f>
        <v>8007.17</v>
      </c>
      <c r="S655" s="1">
        <v>710.6</v>
      </c>
      <c r="T655">
        <f t="shared" si="71"/>
        <v>88.9685555555556</v>
      </c>
      <c r="U655">
        <f t="shared" si="72"/>
        <v>5175</v>
      </c>
      <c r="V655">
        <f t="shared" si="75"/>
        <v>431.25</v>
      </c>
      <c r="W655">
        <f t="shared" si="73"/>
        <v>2956.22666666667</v>
      </c>
      <c r="X655">
        <f t="shared" si="70"/>
        <v>0.859955142880385</v>
      </c>
      <c r="AH655" t="str">
        <f t="shared" si="76"/>
        <v>3rd Quality</v>
      </c>
      <c r="AJ655">
        <f>((T655-X655)*2)/15.5</f>
        <v>11.3688516661516</v>
      </c>
      <c r="AK655">
        <f t="shared" si="74"/>
        <v>65836.7311111111</v>
      </c>
    </row>
    <row r="656" spans="1:37">
      <c r="A656" t="s">
        <v>719</v>
      </c>
      <c r="B656">
        <v>21</v>
      </c>
      <c r="C656" t="s">
        <v>44</v>
      </c>
      <c r="D656" t="s">
        <v>51</v>
      </c>
      <c r="E656">
        <v>680</v>
      </c>
      <c r="F656">
        <v>56</v>
      </c>
      <c r="G656">
        <v>1</v>
      </c>
      <c r="H656">
        <v>801.9</v>
      </c>
      <c r="I656">
        <v>710.6</v>
      </c>
      <c r="J656">
        <v>13</v>
      </c>
      <c r="K656">
        <v>0</v>
      </c>
      <c r="L656">
        <v>41.4</v>
      </c>
      <c r="M656">
        <v>22.2</v>
      </c>
      <c r="N656" t="s">
        <v>63</v>
      </c>
      <c r="O656" t="s">
        <v>47</v>
      </c>
      <c r="P656" t="s">
        <v>68</v>
      </c>
      <c r="R656">
        <f>SUMIF(A656:A5655,"C00655",I656:I5655)</f>
        <v>710.6</v>
      </c>
      <c r="S656" s="1">
        <v>18864.25</v>
      </c>
      <c r="T656">
        <f t="shared" si="71"/>
        <v>54.6615384615385</v>
      </c>
      <c r="U656">
        <f t="shared" si="72"/>
        <v>288.6</v>
      </c>
      <c r="V656">
        <f t="shared" si="75"/>
        <v>24.05</v>
      </c>
      <c r="W656">
        <f t="shared" si="73"/>
        <v>504.5</v>
      </c>
      <c r="X656">
        <f t="shared" si="70"/>
        <v>0.847986033171218</v>
      </c>
      <c r="AH656" t="str">
        <f t="shared" si="76"/>
        <v>3rd Quality</v>
      </c>
      <c r="AJ656">
        <f>((T656-X656)*2)/41.4</f>
        <v>2.59968852310953</v>
      </c>
      <c r="AK656">
        <f t="shared" si="74"/>
        <v>37169.8461538462</v>
      </c>
    </row>
    <row r="657" spans="1:37">
      <c r="A657" t="s">
        <v>720</v>
      </c>
      <c r="B657">
        <v>20</v>
      </c>
      <c r="C657" t="s">
        <v>44</v>
      </c>
      <c r="D657" t="s">
        <v>45</v>
      </c>
      <c r="E657">
        <v>1074</v>
      </c>
      <c r="F657">
        <v>57</v>
      </c>
      <c r="G657">
        <v>9</v>
      </c>
      <c r="H657">
        <v>2230.79</v>
      </c>
      <c r="I657">
        <v>18864.25</v>
      </c>
      <c r="J657">
        <v>82</v>
      </c>
      <c r="K657">
        <v>0</v>
      </c>
      <c r="L657">
        <v>16.1</v>
      </c>
      <c r="M657">
        <v>50</v>
      </c>
      <c r="N657" t="s">
        <v>57</v>
      </c>
      <c r="O657" t="s">
        <v>75</v>
      </c>
      <c r="P657" t="s">
        <v>58</v>
      </c>
      <c r="R657">
        <f>SUMIF(A657:A5656,"C00656",I657:I5656)</f>
        <v>18864.25</v>
      </c>
      <c r="S657" s="1">
        <v>1890.14</v>
      </c>
      <c r="T657">
        <f t="shared" si="71"/>
        <v>230.051829268293</v>
      </c>
      <c r="U657">
        <f t="shared" si="72"/>
        <v>4100</v>
      </c>
      <c r="V657">
        <f t="shared" si="75"/>
        <v>341.666666666667</v>
      </c>
      <c r="W657">
        <f t="shared" si="73"/>
        <v>7032.01333333333</v>
      </c>
      <c r="X657">
        <f t="shared" si="70"/>
        <v>0.481443793454337</v>
      </c>
      <c r="AH657" t="str">
        <f t="shared" si="76"/>
        <v>2nd Quality</v>
      </c>
      <c r="AJ657">
        <f>((T657-X657)*2)/16.1</f>
        <v>28.5180603074334</v>
      </c>
      <c r="AK657">
        <f t="shared" si="74"/>
        <v>247075.664634146</v>
      </c>
    </row>
    <row r="658" spans="1:37">
      <c r="A658" t="s">
        <v>721</v>
      </c>
      <c r="B658">
        <v>36</v>
      </c>
      <c r="C658" t="s">
        <v>44</v>
      </c>
      <c r="D658" t="s">
        <v>60</v>
      </c>
      <c r="E658">
        <v>1449</v>
      </c>
      <c r="F658">
        <v>56</v>
      </c>
      <c r="G658">
        <v>3</v>
      </c>
      <c r="H658">
        <v>577.06</v>
      </c>
      <c r="I658">
        <v>1890.14</v>
      </c>
      <c r="J658">
        <v>18</v>
      </c>
      <c r="K658">
        <v>0</v>
      </c>
      <c r="L658">
        <v>30.8</v>
      </c>
      <c r="M658">
        <v>37.1</v>
      </c>
      <c r="N658" t="s">
        <v>46</v>
      </c>
      <c r="O658" t="s">
        <v>75</v>
      </c>
      <c r="P658" t="s">
        <v>58</v>
      </c>
      <c r="R658">
        <f>SUMIF(A658:A5657,"C00657",I658:I5657)</f>
        <v>1890.14</v>
      </c>
      <c r="S658" s="1">
        <v>4494.03</v>
      </c>
      <c r="T658">
        <f t="shared" si="71"/>
        <v>105.007777777778</v>
      </c>
      <c r="U658">
        <f t="shared" si="72"/>
        <v>667.8</v>
      </c>
      <c r="V658">
        <f t="shared" si="75"/>
        <v>55.65</v>
      </c>
      <c r="W658">
        <f t="shared" si="73"/>
        <v>822.733333333333</v>
      </c>
      <c r="X658">
        <f t="shared" si="70"/>
        <v>2.5110040550376</v>
      </c>
      <c r="AH658" t="str">
        <f t="shared" si="76"/>
        <v>3rd Quality</v>
      </c>
      <c r="AJ658">
        <f>((T658-X658)*2)/30.8</f>
        <v>6.6556346573208</v>
      </c>
      <c r="AK658">
        <f t="shared" si="74"/>
        <v>152156.27</v>
      </c>
    </row>
    <row r="659" spans="1:37">
      <c r="A659" t="s">
        <v>722</v>
      </c>
      <c r="B659">
        <v>32</v>
      </c>
      <c r="C659" t="s">
        <v>44</v>
      </c>
      <c r="D659" t="s">
        <v>60</v>
      </c>
      <c r="E659">
        <v>886</v>
      </c>
      <c r="F659">
        <v>30</v>
      </c>
      <c r="G659">
        <v>6</v>
      </c>
      <c r="H659">
        <v>768.02</v>
      </c>
      <c r="I659">
        <v>4494.03</v>
      </c>
      <c r="J659">
        <v>29</v>
      </c>
      <c r="K659">
        <v>1</v>
      </c>
      <c r="L659">
        <v>26.5</v>
      </c>
      <c r="M659">
        <v>41.3</v>
      </c>
      <c r="N659" t="s">
        <v>78</v>
      </c>
      <c r="O659" t="s">
        <v>47</v>
      </c>
      <c r="P659" t="s">
        <v>58</v>
      </c>
      <c r="R659">
        <f>SUMIF(A659:A5658,"C00658",I659:I5658)</f>
        <v>4494.03</v>
      </c>
      <c r="S659" s="1">
        <v>41048.84</v>
      </c>
      <c r="T659">
        <f t="shared" si="71"/>
        <v>154.966551724138</v>
      </c>
      <c r="U659">
        <f t="shared" si="72"/>
        <v>1197.7</v>
      </c>
      <c r="V659">
        <f>U659*1</f>
        <v>1197.7</v>
      </c>
      <c r="W659">
        <f t="shared" si="73"/>
        <v>1754.35</v>
      </c>
      <c r="X659">
        <f t="shared" si="70"/>
        <v>1.15361579125544</v>
      </c>
      <c r="AH659" t="str">
        <f t="shared" si="76"/>
        <v>3rd Quality</v>
      </c>
      <c r="AJ659">
        <f>((T659-X659)*2)/26.5</f>
        <v>11.6085234666326</v>
      </c>
      <c r="AK659">
        <f t="shared" si="74"/>
        <v>137300.364827586</v>
      </c>
    </row>
    <row r="660" spans="1:37">
      <c r="A660" t="s">
        <v>723</v>
      </c>
      <c r="B660">
        <v>36</v>
      </c>
      <c r="C660" t="s">
        <v>44</v>
      </c>
      <c r="D660" t="s">
        <v>60</v>
      </c>
      <c r="E660">
        <v>1433</v>
      </c>
      <c r="F660">
        <v>62</v>
      </c>
      <c r="G660">
        <v>4</v>
      </c>
      <c r="H660">
        <v>11054.24</v>
      </c>
      <c r="I660">
        <v>41048.84</v>
      </c>
      <c r="J660">
        <v>38</v>
      </c>
      <c r="K660">
        <v>0</v>
      </c>
      <c r="L660">
        <v>4.6</v>
      </c>
      <c r="M660">
        <v>8.8</v>
      </c>
      <c r="N660" t="s">
        <v>57</v>
      </c>
      <c r="O660" t="s">
        <v>47</v>
      </c>
      <c r="P660" t="s">
        <v>68</v>
      </c>
      <c r="R660">
        <f>SUMIF(A660:A5659,"C00659",I660:I5659)</f>
        <v>41048.84</v>
      </c>
      <c r="S660" s="1">
        <v>6220.09</v>
      </c>
      <c r="T660">
        <f t="shared" si="71"/>
        <v>1080.23263157895</v>
      </c>
      <c r="U660">
        <f t="shared" si="72"/>
        <v>334.4</v>
      </c>
      <c r="V660">
        <f t="shared" si="75"/>
        <v>27.8666666666667</v>
      </c>
      <c r="W660">
        <f t="shared" si="73"/>
        <v>17368.0266666667</v>
      </c>
      <c r="X660">
        <f t="shared" si="70"/>
        <v>0.129633516189263</v>
      </c>
      <c r="AH660" t="str">
        <f t="shared" si="76"/>
        <v>2nd Quality</v>
      </c>
      <c r="AJ660">
        <f>((T660-X660)*2)/4.6</f>
        <v>469.609999157722</v>
      </c>
      <c r="AK660">
        <f t="shared" si="74"/>
        <v>1547973.36105263</v>
      </c>
    </row>
    <row r="661" spans="1:37">
      <c r="A661" t="s">
        <v>724</v>
      </c>
      <c r="B661">
        <v>22</v>
      </c>
      <c r="C661" t="s">
        <v>50</v>
      </c>
      <c r="D661" t="s">
        <v>51</v>
      </c>
      <c r="E661">
        <v>870</v>
      </c>
      <c r="F661">
        <v>37</v>
      </c>
      <c r="G661">
        <v>9</v>
      </c>
      <c r="H661">
        <v>713.58</v>
      </c>
      <c r="I661">
        <v>6220.09</v>
      </c>
      <c r="J661">
        <v>52</v>
      </c>
      <c r="K661">
        <v>0</v>
      </c>
      <c r="L661">
        <v>24.2</v>
      </c>
      <c r="M661">
        <v>32.5</v>
      </c>
      <c r="N661" t="s">
        <v>57</v>
      </c>
      <c r="O661" t="s">
        <v>47</v>
      </c>
      <c r="P661" t="s">
        <v>58</v>
      </c>
      <c r="R661">
        <f>SUMIF(A661:A5660,"C00660",I661:I5660)</f>
        <v>6220.09</v>
      </c>
      <c r="S661" s="1">
        <v>28521.06</v>
      </c>
      <c r="T661">
        <f t="shared" si="71"/>
        <v>119.617115384615</v>
      </c>
      <c r="U661">
        <f t="shared" si="72"/>
        <v>1690</v>
      </c>
      <c r="V661">
        <f t="shared" si="75"/>
        <v>140.833333333333</v>
      </c>
      <c r="W661">
        <f t="shared" si="73"/>
        <v>2311.55666666667</v>
      </c>
      <c r="X661">
        <f t="shared" si="70"/>
        <v>1.21920457411923</v>
      </c>
      <c r="AH661" t="str">
        <f t="shared" si="76"/>
        <v>3rd Quality</v>
      </c>
      <c r="AJ661">
        <f>((T661-X661)*2)/24.2</f>
        <v>9.78495130665254</v>
      </c>
      <c r="AK661">
        <f t="shared" si="74"/>
        <v>104066.890384615</v>
      </c>
    </row>
    <row r="662" spans="1:37">
      <c r="A662" t="s">
        <v>725</v>
      </c>
      <c r="B662">
        <v>38</v>
      </c>
      <c r="C662" t="s">
        <v>44</v>
      </c>
      <c r="D662" t="s">
        <v>45</v>
      </c>
      <c r="E662">
        <v>374</v>
      </c>
      <c r="F662">
        <v>16</v>
      </c>
      <c r="G662">
        <v>12</v>
      </c>
      <c r="H662">
        <v>2445.33</v>
      </c>
      <c r="I662">
        <v>28521.06</v>
      </c>
      <c r="J662">
        <v>44</v>
      </c>
      <c r="K662">
        <v>0</v>
      </c>
      <c r="L662">
        <v>20</v>
      </c>
      <c r="M662">
        <v>39.2</v>
      </c>
      <c r="N662" t="s">
        <v>52</v>
      </c>
      <c r="O662" t="s">
        <v>47</v>
      </c>
      <c r="P662" t="s">
        <v>58</v>
      </c>
      <c r="R662">
        <f>SUMIF(A662:A5661,"C00661",I662:I5661)</f>
        <v>28521.06</v>
      </c>
      <c r="S662" s="1">
        <v>3016.34</v>
      </c>
      <c r="T662">
        <f t="shared" si="71"/>
        <v>648.205909090909</v>
      </c>
      <c r="U662">
        <f t="shared" si="72"/>
        <v>1724.8</v>
      </c>
      <c r="V662">
        <f t="shared" si="75"/>
        <v>143.733333333333</v>
      </c>
      <c r="W662">
        <f t="shared" si="73"/>
        <v>10322.4633333333</v>
      </c>
      <c r="X662">
        <f t="shared" si="70"/>
        <v>0.152944592345409</v>
      </c>
      <c r="AH662" t="str">
        <f t="shared" si="76"/>
        <v>3rd Quality</v>
      </c>
      <c r="AJ662">
        <f>((T662-X662)*2)/20</f>
        <v>64.8052964498564</v>
      </c>
      <c r="AK662">
        <f t="shared" si="74"/>
        <v>242429.01</v>
      </c>
    </row>
    <row r="663" spans="1:37">
      <c r="A663" t="s">
        <v>726</v>
      </c>
      <c r="B663">
        <v>28</v>
      </c>
      <c r="C663" t="s">
        <v>44</v>
      </c>
      <c r="D663" t="s">
        <v>60</v>
      </c>
      <c r="E663">
        <v>1331</v>
      </c>
      <c r="F663">
        <v>298</v>
      </c>
      <c r="G663">
        <v>1</v>
      </c>
      <c r="H663">
        <v>3049.96</v>
      </c>
      <c r="I663">
        <v>3016.34</v>
      </c>
      <c r="J663">
        <v>17</v>
      </c>
      <c r="K663">
        <v>0</v>
      </c>
      <c r="L663">
        <v>30.2</v>
      </c>
      <c r="M663">
        <v>13.2</v>
      </c>
      <c r="N663" t="s">
        <v>57</v>
      </c>
      <c r="O663" t="s">
        <v>75</v>
      </c>
      <c r="P663" t="s">
        <v>66</v>
      </c>
      <c r="R663">
        <f>SUMIF(A663:A5662,"C00662",I663:I5662)</f>
        <v>3016.34</v>
      </c>
      <c r="S663" s="1">
        <v>89127.85</v>
      </c>
      <c r="T663">
        <f t="shared" si="71"/>
        <v>177.431764705882</v>
      </c>
      <c r="U663">
        <f t="shared" si="72"/>
        <v>224.4</v>
      </c>
      <c r="V663">
        <f t="shared" si="75"/>
        <v>18.7</v>
      </c>
      <c r="W663">
        <f t="shared" si="73"/>
        <v>2022.43333333333</v>
      </c>
      <c r="X663">
        <f t="shared" si="70"/>
        <v>0.4363991658907</v>
      </c>
      <c r="AH663" t="str">
        <f t="shared" si="76"/>
        <v>3rd Quality</v>
      </c>
      <c r="AJ663">
        <f>((T663-X663)*2)/30.2</f>
        <v>11.7215473867544</v>
      </c>
      <c r="AK663">
        <f t="shared" si="74"/>
        <v>236161.678823529</v>
      </c>
    </row>
    <row r="664" spans="1:37">
      <c r="A664" t="s">
        <v>727</v>
      </c>
      <c r="B664">
        <v>47</v>
      </c>
      <c r="C664" t="s">
        <v>44</v>
      </c>
      <c r="D664" t="s">
        <v>60</v>
      </c>
      <c r="E664">
        <v>753</v>
      </c>
      <c r="F664">
        <v>2</v>
      </c>
      <c r="G664">
        <v>19</v>
      </c>
      <c r="H664">
        <v>4747.88</v>
      </c>
      <c r="I664">
        <v>89127.85</v>
      </c>
      <c r="J664">
        <v>156</v>
      </c>
      <c r="K664">
        <v>0</v>
      </c>
      <c r="L664">
        <v>10.4</v>
      </c>
      <c r="M664">
        <v>43.2</v>
      </c>
      <c r="N664" t="s">
        <v>78</v>
      </c>
      <c r="O664" t="s">
        <v>47</v>
      </c>
      <c r="P664" t="s">
        <v>68</v>
      </c>
      <c r="R664">
        <f>SUMIF(A664:A5663,"C00663",I664:I5663)</f>
        <v>89127.85</v>
      </c>
      <c r="S664" s="1">
        <v>72767.17</v>
      </c>
      <c r="T664">
        <f t="shared" si="71"/>
        <v>571.332371794872</v>
      </c>
      <c r="U664">
        <f t="shared" si="72"/>
        <v>6739.2</v>
      </c>
      <c r="V664">
        <f t="shared" si="75"/>
        <v>561.6</v>
      </c>
      <c r="W664">
        <f t="shared" si="73"/>
        <v>31292.2433333333</v>
      </c>
      <c r="X664">
        <f t="shared" si="70"/>
        <v>0.158597100179449</v>
      </c>
      <c r="AH664" t="str">
        <f t="shared" si="76"/>
        <v>3rd Quality</v>
      </c>
      <c r="AJ664">
        <f>((T664-X664)*2)/10.4</f>
        <v>109.84111051821</v>
      </c>
      <c r="AK664">
        <f t="shared" si="74"/>
        <v>430213.275961538</v>
      </c>
    </row>
    <row r="665" spans="1:37">
      <c r="A665" t="s">
        <v>728</v>
      </c>
      <c r="B665">
        <v>28</v>
      </c>
      <c r="C665" t="s">
        <v>44</v>
      </c>
      <c r="D665" t="s">
        <v>60</v>
      </c>
      <c r="E665">
        <v>1068</v>
      </c>
      <c r="F665">
        <v>4</v>
      </c>
      <c r="G665">
        <v>24</v>
      </c>
      <c r="H665">
        <v>3186.37</v>
      </c>
      <c r="I665">
        <v>72767.17</v>
      </c>
      <c r="J665">
        <v>172</v>
      </c>
      <c r="K665">
        <v>4</v>
      </c>
      <c r="L665">
        <v>8.2</v>
      </c>
      <c r="M665">
        <v>57.9</v>
      </c>
      <c r="N665" t="s">
        <v>46</v>
      </c>
      <c r="O665" t="s">
        <v>75</v>
      </c>
      <c r="P665" t="s">
        <v>68</v>
      </c>
      <c r="R665">
        <f>SUMIF(A665:A5664,"C00664",I665:I5664)</f>
        <v>72767.17</v>
      </c>
      <c r="S665" s="1">
        <v>26609.03</v>
      </c>
      <c r="T665">
        <f t="shared" si="71"/>
        <v>423.064941860465</v>
      </c>
      <c r="U665">
        <f t="shared" si="72"/>
        <v>9958.8</v>
      </c>
      <c r="V665">
        <f>U665*4</f>
        <v>39835.2</v>
      </c>
      <c r="W665">
        <f t="shared" si="73"/>
        <v>25318.18</v>
      </c>
      <c r="X665">
        <f t="shared" si="70"/>
        <v>0.335177647291432</v>
      </c>
      <c r="AH665" t="str">
        <f t="shared" si="76"/>
        <v>1st Quality</v>
      </c>
      <c r="AJ665">
        <f>((T665-X665)*2)/8.2</f>
        <v>103.104820539798</v>
      </c>
      <c r="AK665">
        <f t="shared" si="74"/>
        <v>451833.357906977</v>
      </c>
    </row>
    <row r="666" spans="1:37">
      <c r="A666" t="s">
        <v>729</v>
      </c>
      <c r="B666">
        <v>38</v>
      </c>
      <c r="C666" t="s">
        <v>44</v>
      </c>
      <c r="D666" t="s">
        <v>45</v>
      </c>
      <c r="E666">
        <v>882</v>
      </c>
      <c r="F666">
        <v>9</v>
      </c>
      <c r="G666">
        <v>11</v>
      </c>
      <c r="H666">
        <v>2541.3</v>
      </c>
      <c r="I666">
        <v>26609.03</v>
      </c>
      <c r="J666">
        <v>62</v>
      </c>
      <c r="K666">
        <v>1</v>
      </c>
      <c r="L666">
        <v>23.7</v>
      </c>
      <c r="M666">
        <v>38</v>
      </c>
      <c r="N666" t="s">
        <v>46</v>
      </c>
      <c r="O666" t="s">
        <v>47</v>
      </c>
      <c r="P666" t="s">
        <v>58</v>
      </c>
      <c r="R666">
        <f>SUMIF(A666:A5665,"C00665",I666:I5665)</f>
        <v>26609.03</v>
      </c>
      <c r="S666" s="1">
        <v>9115.57</v>
      </c>
      <c r="T666">
        <f t="shared" si="71"/>
        <v>429.177903225806</v>
      </c>
      <c r="U666">
        <f t="shared" si="72"/>
        <v>2356</v>
      </c>
      <c r="V666">
        <f>U666*1</f>
        <v>2356</v>
      </c>
      <c r="W666">
        <f t="shared" si="73"/>
        <v>9717.11</v>
      </c>
      <c r="X666">
        <f t="shared" si="70"/>
        <v>0.347066462046984</v>
      </c>
      <c r="AH666" t="str">
        <f t="shared" si="76"/>
        <v>2nd Quality</v>
      </c>
      <c r="AJ666">
        <f>((T666-X666)*2)/23.7</f>
        <v>36.1882562669839</v>
      </c>
      <c r="AK666">
        <f t="shared" si="74"/>
        <v>378534.910645161</v>
      </c>
    </row>
    <row r="667" spans="1:37">
      <c r="A667" t="s">
        <v>730</v>
      </c>
      <c r="B667">
        <v>25</v>
      </c>
      <c r="C667" t="s">
        <v>44</v>
      </c>
      <c r="D667" t="s">
        <v>45</v>
      </c>
      <c r="E667">
        <v>1051</v>
      </c>
      <c r="F667">
        <v>154</v>
      </c>
      <c r="G667">
        <v>6</v>
      </c>
      <c r="H667">
        <v>1417.3</v>
      </c>
      <c r="I667">
        <v>9115.57</v>
      </c>
      <c r="J667">
        <v>43</v>
      </c>
      <c r="K667">
        <v>1</v>
      </c>
      <c r="L667">
        <v>36.9</v>
      </c>
      <c r="M667">
        <v>21</v>
      </c>
      <c r="N667" t="s">
        <v>61</v>
      </c>
      <c r="O667" t="s">
        <v>47</v>
      </c>
      <c r="P667" t="s">
        <v>58</v>
      </c>
      <c r="R667">
        <f>SUMIF(A667:A5666,"C00666",I667:I5666)</f>
        <v>9115.57</v>
      </c>
      <c r="S667" s="1">
        <v>2885.57</v>
      </c>
      <c r="T667">
        <f t="shared" si="71"/>
        <v>211.99</v>
      </c>
      <c r="U667">
        <f t="shared" si="72"/>
        <v>903</v>
      </c>
      <c r="V667">
        <f>U667*1</f>
        <v>903</v>
      </c>
      <c r="W667">
        <f t="shared" si="73"/>
        <v>3511.29</v>
      </c>
      <c r="X667">
        <f t="shared" si="70"/>
        <v>0.741550836096804</v>
      </c>
      <c r="AH667" t="str">
        <f t="shared" si="76"/>
        <v>3rd Quality</v>
      </c>
      <c r="AJ667">
        <f>((T667-X667)*2)/36.9</f>
        <v>11.449780442488</v>
      </c>
      <c r="AK667">
        <f t="shared" si="74"/>
        <v>222801.49</v>
      </c>
    </row>
    <row r="668" spans="1:37">
      <c r="A668" t="s">
        <v>731</v>
      </c>
      <c r="B668">
        <v>55</v>
      </c>
      <c r="C668" t="s">
        <v>44</v>
      </c>
      <c r="D668" t="s">
        <v>45</v>
      </c>
      <c r="E668">
        <v>1202</v>
      </c>
      <c r="F668">
        <v>127</v>
      </c>
      <c r="G668">
        <v>4</v>
      </c>
      <c r="H668">
        <v>694.23</v>
      </c>
      <c r="I668">
        <v>2885.57</v>
      </c>
      <c r="J668">
        <v>11</v>
      </c>
      <c r="K668">
        <v>0</v>
      </c>
      <c r="L668">
        <v>31.7</v>
      </c>
      <c r="M668">
        <v>14.2</v>
      </c>
      <c r="N668" t="s">
        <v>57</v>
      </c>
      <c r="O668" t="s">
        <v>53</v>
      </c>
      <c r="P668" t="s">
        <v>58</v>
      </c>
      <c r="R668">
        <f>SUMIF(A668:A5667,"C00667",I668:I5667)</f>
        <v>2885.57</v>
      </c>
      <c r="S668" s="1">
        <v>3063.44</v>
      </c>
      <c r="T668">
        <f t="shared" si="71"/>
        <v>262.324545454545</v>
      </c>
      <c r="U668">
        <f t="shared" si="72"/>
        <v>156.2</v>
      </c>
      <c r="V668">
        <f t="shared" si="75"/>
        <v>13.0166666666667</v>
      </c>
      <c r="W668">
        <f t="shared" si="73"/>
        <v>1193.6</v>
      </c>
      <c r="X668">
        <f t="shared" si="70"/>
        <v>1.73141466084727</v>
      </c>
      <c r="AH668" t="str">
        <f t="shared" si="76"/>
        <v>3rd Quality</v>
      </c>
      <c r="AJ668">
        <f>((T668-X668)*2)/31.7</f>
        <v>16.4412069901387</v>
      </c>
      <c r="AK668">
        <f t="shared" si="74"/>
        <v>315314.103636364</v>
      </c>
    </row>
    <row r="669" spans="1:37">
      <c r="A669" t="s">
        <v>732</v>
      </c>
      <c r="B669">
        <v>32</v>
      </c>
      <c r="C669" t="s">
        <v>50</v>
      </c>
      <c r="D669" t="s">
        <v>51</v>
      </c>
      <c r="E669">
        <v>1429</v>
      </c>
      <c r="F669">
        <v>317</v>
      </c>
      <c r="G669">
        <v>1</v>
      </c>
      <c r="H669">
        <v>2936.99</v>
      </c>
      <c r="I669">
        <v>3063.44</v>
      </c>
      <c r="J669">
        <v>14</v>
      </c>
      <c r="K669">
        <v>0</v>
      </c>
      <c r="L669">
        <v>18.3</v>
      </c>
      <c r="M669">
        <v>36.6</v>
      </c>
      <c r="N669" t="s">
        <v>52</v>
      </c>
      <c r="O669" t="s">
        <v>47</v>
      </c>
      <c r="P669" t="s">
        <v>58</v>
      </c>
      <c r="R669">
        <f>SUMIF(A669:A5668,"C00668",I669:I5668)</f>
        <v>3063.44</v>
      </c>
      <c r="S669" s="1">
        <v>10605.8</v>
      </c>
      <c r="T669">
        <f t="shared" si="71"/>
        <v>218.817142857143</v>
      </c>
      <c r="U669">
        <f t="shared" si="72"/>
        <v>512.4</v>
      </c>
      <c r="V669">
        <f t="shared" si="75"/>
        <v>42.7</v>
      </c>
      <c r="W669">
        <f t="shared" si="73"/>
        <v>2000.47666666667</v>
      </c>
      <c r="X669">
        <f t="shared" si="70"/>
        <v>0.486552558912356</v>
      </c>
      <c r="AH669" t="str">
        <f t="shared" si="76"/>
        <v>3rd Quality</v>
      </c>
      <c r="AJ669">
        <f>((T669-X669)*2)/18.3</f>
        <v>23.8612666992602</v>
      </c>
      <c r="AK669">
        <f t="shared" si="74"/>
        <v>312689.697142857</v>
      </c>
    </row>
    <row r="670" spans="1:37">
      <c r="A670" t="s">
        <v>733</v>
      </c>
      <c r="B670">
        <v>36</v>
      </c>
      <c r="C670" t="s">
        <v>50</v>
      </c>
      <c r="D670" t="s">
        <v>60</v>
      </c>
      <c r="E670">
        <v>1416</v>
      </c>
      <c r="F670">
        <v>43</v>
      </c>
      <c r="G670">
        <v>12</v>
      </c>
      <c r="H670">
        <v>954.73</v>
      </c>
      <c r="I670">
        <v>10605.8</v>
      </c>
      <c r="J670">
        <v>102</v>
      </c>
      <c r="K670">
        <v>0</v>
      </c>
      <c r="L670">
        <v>12</v>
      </c>
      <c r="M670">
        <v>4.4</v>
      </c>
      <c r="N670" t="s">
        <v>46</v>
      </c>
      <c r="O670" t="s">
        <v>47</v>
      </c>
      <c r="P670" t="s">
        <v>54</v>
      </c>
      <c r="R670">
        <f>SUMIF(A670:A5669,"C00669",I670:I5669)</f>
        <v>10605.8</v>
      </c>
      <c r="S670" s="1">
        <v>4201.43</v>
      </c>
      <c r="T670">
        <f t="shared" si="71"/>
        <v>103.978431372549</v>
      </c>
      <c r="U670">
        <f t="shared" si="72"/>
        <v>448.8</v>
      </c>
      <c r="V670">
        <f t="shared" si="75"/>
        <v>37.4</v>
      </c>
      <c r="W670">
        <f t="shared" si="73"/>
        <v>3853.84333333333</v>
      </c>
      <c r="X670">
        <f t="shared" si="70"/>
        <v>1.48314183067464</v>
      </c>
      <c r="AH670" t="str">
        <f t="shared" si="76"/>
        <v>3rd Quality</v>
      </c>
      <c r="AJ670">
        <f>((T670-X670)*2)/12</f>
        <v>17.0825482569791</v>
      </c>
      <c r="AK670">
        <f t="shared" si="74"/>
        <v>147233.458823529</v>
      </c>
    </row>
    <row r="671" spans="1:37">
      <c r="A671" t="s">
        <v>734</v>
      </c>
      <c r="B671">
        <v>43</v>
      </c>
      <c r="C671" t="s">
        <v>50</v>
      </c>
      <c r="D671" t="s">
        <v>45</v>
      </c>
      <c r="E671">
        <v>664</v>
      </c>
      <c r="F671">
        <v>86</v>
      </c>
      <c r="G671">
        <v>3</v>
      </c>
      <c r="H671">
        <v>1252.61</v>
      </c>
      <c r="I671">
        <v>4201.43</v>
      </c>
      <c r="J671">
        <v>31</v>
      </c>
      <c r="K671">
        <v>0</v>
      </c>
      <c r="L671">
        <v>30.1</v>
      </c>
      <c r="M671">
        <v>53</v>
      </c>
      <c r="N671" t="s">
        <v>61</v>
      </c>
      <c r="O671" t="s">
        <v>47</v>
      </c>
      <c r="P671" t="s">
        <v>66</v>
      </c>
      <c r="R671">
        <f>SUMIF(A671:A5670,"C00670",I671:I5670)</f>
        <v>4201.43</v>
      </c>
      <c r="S671" s="1">
        <v>46663.81</v>
      </c>
      <c r="T671">
        <f t="shared" si="71"/>
        <v>135.53</v>
      </c>
      <c r="U671">
        <f t="shared" si="72"/>
        <v>1643</v>
      </c>
      <c r="V671">
        <f t="shared" si="75"/>
        <v>136.916666666667</v>
      </c>
      <c r="W671">
        <f t="shared" si="73"/>
        <v>1818.34666666667</v>
      </c>
      <c r="X671">
        <f t="shared" si="70"/>
        <v>0.530093165470498</v>
      </c>
      <c r="AH671" t="str">
        <f t="shared" si="76"/>
        <v>3rd Quality</v>
      </c>
      <c r="AJ671">
        <f>((T671-X671)*2)/30.1</f>
        <v>8.97009347737738</v>
      </c>
      <c r="AK671">
        <f t="shared" si="74"/>
        <v>89991.92</v>
      </c>
    </row>
    <row r="672" spans="1:37">
      <c r="A672" t="s">
        <v>735</v>
      </c>
      <c r="B672">
        <v>30</v>
      </c>
      <c r="C672" t="s">
        <v>44</v>
      </c>
      <c r="D672" t="s">
        <v>60</v>
      </c>
      <c r="E672">
        <v>394</v>
      </c>
      <c r="F672">
        <v>12</v>
      </c>
      <c r="G672">
        <v>32</v>
      </c>
      <c r="H672">
        <v>1618.72</v>
      </c>
      <c r="I672">
        <v>46663.81</v>
      </c>
      <c r="J672">
        <v>164</v>
      </c>
      <c r="K672">
        <v>2</v>
      </c>
      <c r="L672">
        <v>11.5</v>
      </c>
      <c r="M672">
        <v>74.2</v>
      </c>
      <c r="N672" t="s">
        <v>57</v>
      </c>
      <c r="O672" t="s">
        <v>53</v>
      </c>
      <c r="P672" t="s">
        <v>68</v>
      </c>
      <c r="R672">
        <f>SUMIF(A672:A5671,"C00671",I672:I5671)</f>
        <v>46663.81</v>
      </c>
      <c r="S672" s="1">
        <v>73370.88</v>
      </c>
      <c r="T672">
        <f t="shared" si="71"/>
        <v>284.535426829268</v>
      </c>
      <c r="U672">
        <f t="shared" si="72"/>
        <v>12168.8</v>
      </c>
      <c r="V672">
        <f>U672*2</f>
        <v>24337.6</v>
      </c>
      <c r="W672">
        <f t="shared" si="73"/>
        <v>16094.51</v>
      </c>
      <c r="X672">
        <f t="shared" si="70"/>
        <v>0.243402194326381</v>
      </c>
      <c r="AH672" t="str">
        <f t="shared" si="76"/>
        <v>3rd Quality</v>
      </c>
      <c r="AJ672">
        <f>((T672-X672)*2)/11.5</f>
        <v>49.4420912408594</v>
      </c>
      <c r="AK672">
        <f t="shared" si="74"/>
        <v>112106.958170732</v>
      </c>
    </row>
    <row r="673" spans="1:37">
      <c r="A673" t="s">
        <v>736</v>
      </c>
      <c r="B673">
        <v>59</v>
      </c>
      <c r="C673" t="s">
        <v>50</v>
      </c>
      <c r="D673" t="s">
        <v>51</v>
      </c>
      <c r="E673">
        <v>1121</v>
      </c>
      <c r="F673">
        <v>18</v>
      </c>
      <c r="G673">
        <v>7</v>
      </c>
      <c r="H673">
        <v>10041.66</v>
      </c>
      <c r="I673">
        <v>73370.88</v>
      </c>
      <c r="J673">
        <v>55</v>
      </c>
      <c r="K673">
        <v>1</v>
      </c>
      <c r="L673">
        <v>2.9</v>
      </c>
      <c r="M673">
        <v>14.3</v>
      </c>
      <c r="N673" t="s">
        <v>78</v>
      </c>
      <c r="O673" t="s">
        <v>47</v>
      </c>
      <c r="P673" t="s">
        <v>58</v>
      </c>
      <c r="R673">
        <f>SUMIF(A673:A5672,"C00672",I673:I5672)</f>
        <v>73370.88</v>
      </c>
      <c r="S673" s="1">
        <v>1608.81</v>
      </c>
      <c r="T673">
        <f t="shared" si="71"/>
        <v>1334.016</v>
      </c>
      <c r="U673">
        <f t="shared" si="72"/>
        <v>786.5</v>
      </c>
      <c r="V673">
        <f>U673*1</f>
        <v>786.5</v>
      </c>
      <c r="W673">
        <f t="shared" si="73"/>
        <v>27804.5133333333</v>
      </c>
      <c r="X673">
        <f t="shared" si="70"/>
        <v>0.11163492888626</v>
      </c>
      <c r="AH673" t="str">
        <f t="shared" si="76"/>
        <v>3rd Quality</v>
      </c>
      <c r="AJ673">
        <f>((T673-X673)*2)/2.9</f>
        <v>919.93404487663</v>
      </c>
      <c r="AK673">
        <f t="shared" si="74"/>
        <v>1495431.936</v>
      </c>
    </row>
    <row r="674" spans="1:37">
      <c r="A674" t="s">
        <v>737</v>
      </c>
      <c r="B674">
        <v>44</v>
      </c>
      <c r="C674" t="s">
        <v>50</v>
      </c>
      <c r="D674" t="s">
        <v>45</v>
      </c>
      <c r="E674">
        <v>591</v>
      </c>
      <c r="F674">
        <v>99</v>
      </c>
      <c r="G674">
        <v>1</v>
      </c>
      <c r="H674">
        <v>1520.01</v>
      </c>
      <c r="I674">
        <v>1608.81</v>
      </c>
      <c r="J674">
        <v>7</v>
      </c>
      <c r="K674">
        <v>1</v>
      </c>
      <c r="L674">
        <v>19.3</v>
      </c>
      <c r="M674">
        <v>7.1</v>
      </c>
      <c r="N674" t="s">
        <v>81</v>
      </c>
      <c r="O674" t="s">
        <v>53</v>
      </c>
      <c r="P674" t="s">
        <v>58</v>
      </c>
      <c r="R674">
        <f>SUMIF(A674:A5673,"C00673",I674:I5673)</f>
        <v>1608.81</v>
      </c>
      <c r="S674" s="1">
        <v>1351.61</v>
      </c>
      <c r="T674">
        <f t="shared" si="71"/>
        <v>229.83</v>
      </c>
      <c r="U674">
        <f t="shared" si="72"/>
        <v>49.7</v>
      </c>
      <c r="V674">
        <f>U674*1</f>
        <v>49.7</v>
      </c>
      <c r="W674">
        <f t="shared" si="73"/>
        <v>1043.27333333333</v>
      </c>
      <c r="X674">
        <f t="shared" si="70"/>
        <v>0.388813231491898</v>
      </c>
      <c r="AH674" t="str">
        <f t="shared" si="76"/>
        <v>3rd Quality</v>
      </c>
      <c r="AJ674">
        <f>((T674-X674)*2)/19.3</f>
        <v>23.7762887843014</v>
      </c>
      <c r="AK674">
        <f t="shared" si="74"/>
        <v>135829.53</v>
      </c>
    </row>
    <row r="675" spans="1:37">
      <c r="A675" t="s">
        <v>738</v>
      </c>
      <c r="B675">
        <v>18</v>
      </c>
      <c r="C675" t="s">
        <v>44</v>
      </c>
      <c r="D675" t="s">
        <v>45</v>
      </c>
      <c r="E675">
        <v>757</v>
      </c>
      <c r="F675">
        <v>109</v>
      </c>
      <c r="G675">
        <v>2</v>
      </c>
      <c r="H675">
        <v>715.8</v>
      </c>
      <c r="I675">
        <v>1351.61</v>
      </c>
      <c r="J675">
        <v>22</v>
      </c>
      <c r="K675">
        <v>0</v>
      </c>
      <c r="L675">
        <v>38.7</v>
      </c>
      <c r="M675">
        <v>57.3</v>
      </c>
      <c r="N675" t="s">
        <v>61</v>
      </c>
      <c r="O675" t="s">
        <v>47</v>
      </c>
      <c r="P675" t="s">
        <v>48</v>
      </c>
      <c r="R675">
        <f>SUMIF(A675:A5674,"C00674",I675:I5674)</f>
        <v>1351.61</v>
      </c>
      <c r="S675" s="1">
        <v>40075.08</v>
      </c>
      <c r="T675">
        <f t="shared" si="71"/>
        <v>61.4368181818182</v>
      </c>
      <c r="U675">
        <f t="shared" si="72"/>
        <v>1260.6</v>
      </c>
      <c r="V675">
        <f t="shared" si="75"/>
        <v>105.05</v>
      </c>
      <c r="W675">
        <f t="shared" si="73"/>
        <v>689.47</v>
      </c>
      <c r="X675">
        <f t="shared" si="70"/>
        <v>1.05755797708857</v>
      </c>
      <c r="AH675" t="str">
        <f t="shared" si="76"/>
        <v>3rd Quality</v>
      </c>
      <c r="AJ675">
        <f>((T675-X675)*2)/38.7</f>
        <v>3.12037520437879</v>
      </c>
      <c r="AK675">
        <f t="shared" si="74"/>
        <v>46507.6713636364</v>
      </c>
    </row>
    <row r="676" spans="1:37">
      <c r="A676" t="s">
        <v>739</v>
      </c>
      <c r="B676">
        <v>38</v>
      </c>
      <c r="C676" t="s">
        <v>44</v>
      </c>
      <c r="D676" t="s">
        <v>60</v>
      </c>
      <c r="E676">
        <v>1192</v>
      </c>
      <c r="F676">
        <v>67</v>
      </c>
      <c r="G676">
        <v>5</v>
      </c>
      <c r="H676">
        <v>8920.42</v>
      </c>
      <c r="I676">
        <v>40075.08</v>
      </c>
      <c r="J676">
        <v>40</v>
      </c>
      <c r="K676">
        <v>2</v>
      </c>
      <c r="L676">
        <v>11</v>
      </c>
      <c r="M676">
        <v>32.6</v>
      </c>
      <c r="N676" t="s">
        <v>81</v>
      </c>
      <c r="O676" t="s">
        <v>47</v>
      </c>
      <c r="P676" t="s">
        <v>58</v>
      </c>
      <c r="R676">
        <f>SUMIF(A676:A5675,"C00675",I676:I5675)</f>
        <v>40075.08</v>
      </c>
      <c r="S676" s="1">
        <v>14883.24</v>
      </c>
      <c r="T676">
        <f t="shared" si="71"/>
        <v>1001.877</v>
      </c>
      <c r="U676">
        <f t="shared" si="72"/>
        <v>1304</v>
      </c>
      <c r="V676">
        <f>U676*2</f>
        <v>2608</v>
      </c>
      <c r="W676">
        <f t="shared" si="73"/>
        <v>16332.1666666667</v>
      </c>
      <c r="X676">
        <f t="shared" si="70"/>
        <v>0.133625995188567</v>
      </c>
      <c r="AH676" t="str">
        <f t="shared" si="76"/>
        <v>2nd Quality</v>
      </c>
      <c r="AJ676">
        <f>((T676-X676)*2)/11</f>
        <v>182.135158909966</v>
      </c>
      <c r="AK676">
        <f t="shared" si="74"/>
        <v>1194237.384</v>
      </c>
    </row>
    <row r="677" spans="1:37">
      <c r="A677" t="s">
        <v>740</v>
      </c>
      <c r="B677">
        <v>41</v>
      </c>
      <c r="C677" t="s">
        <v>50</v>
      </c>
      <c r="D677" t="s">
        <v>45</v>
      </c>
      <c r="E677">
        <v>1023</v>
      </c>
      <c r="F677">
        <v>11</v>
      </c>
      <c r="G677">
        <v>13</v>
      </c>
      <c r="H677">
        <v>1083.15</v>
      </c>
      <c r="I677">
        <v>14883.24</v>
      </c>
      <c r="J677">
        <v>98</v>
      </c>
      <c r="K677">
        <v>1</v>
      </c>
      <c r="L677">
        <v>35.8</v>
      </c>
      <c r="M677">
        <v>11</v>
      </c>
      <c r="N677" t="s">
        <v>61</v>
      </c>
      <c r="O677" t="s">
        <v>47</v>
      </c>
      <c r="P677" t="s">
        <v>48</v>
      </c>
      <c r="R677">
        <f>SUMIF(A677:A5676,"C00676",I677:I5676)</f>
        <v>14883.24</v>
      </c>
      <c r="S677" s="1">
        <v>1754.32</v>
      </c>
      <c r="T677">
        <f t="shared" si="71"/>
        <v>151.869795918367</v>
      </c>
      <c r="U677">
        <f t="shared" si="72"/>
        <v>1078</v>
      </c>
      <c r="V677">
        <f>U677*1</f>
        <v>1078</v>
      </c>
      <c r="W677">
        <f t="shared" si="73"/>
        <v>5322.46333333333</v>
      </c>
      <c r="X677">
        <f t="shared" si="70"/>
        <v>0.944467525273508</v>
      </c>
      <c r="AH677" t="str">
        <f t="shared" si="76"/>
        <v>3rd Quality</v>
      </c>
      <c r="AJ677">
        <f>((T677-X677)*2)/35.8</f>
        <v>8.43158259179293</v>
      </c>
      <c r="AK677">
        <f t="shared" si="74"/>
        <v>155362.80122449</v>
      </c>
    </row>
    <row r="678" spans="1:37">
      <c r="A678" t="s">
        <v>741</v>
      </c>
      <c r="B678">
        <v>41</v>
      </c>
      <c r="C678" t="s">
        <v>44</v>
      </c>
      <c r="D678" t="s">
        <v>45</v>
      </c>
      <c r="E678">
        <v>1023</v>
      </c>
      <c r="F678">
        <v>311</v>
      </c>
      <c r="G678">
        <v>1</v>
      </c>
      <c r="H678">
        <v>1727.14</v>
      </c>
      <c r="I678">
        <v>1754.32</v>
      </c>
      <c r="J678">
        <v>15</v>
      </c>
      <c r="K678">
        <v>1</v>
      </c>
      <c r="L678">
        <v>23.1</v>
      </c>
      <c r="M678">
        <v>16.5</v>
      </c>
      <c r="N678" t="s">
        <v>78</v>
      </c>
      <c r="O678" t="s">
        <v>47</v>
      </c>
      <c r="P678" t="s">
        <v>58</v>
      </c>
      <c r="R678">
        <f>SUMIF(A678:A5677,"C00677",I678:I5677)</f>
        <v>1754.32</v>
      </c>
      <c r="S678" s="1">
        <v>86006.42</v>
      </c>
      <c r="T678">
        <f t="shared" si="71"/>
        <v>116.954666666667</v>
      </c>
      <c r="U678">
        <f t="shared" si="72"/>
        <v>247.5</v>
      </c>
      <c r="V678">
        <f>U678*1</f>
        <v>247.5</v>
      </c>
      <c r="W678">
        <f t="shared" si="73"/>
        <v>1160.82</v>
      </c>
      <c r="X678">
        <f t="shared" si="70"/>
        <v>0.59230867214007</v>
      </c>
      <c r="AH678" t="str">
        <f t="shared" si="76"/>
        <v>3rd Quality</v>
      </c>
      <c r="AJ678">
        <f>((T678-X678)*2)/23.1</f>
        <v>10.0746630298292</v>
      </c>
      <c r="AK678">
        <f t="shared" si="74"/>
        <v>119644.624</v>
      </c>
    </row>
    <row r="679" spans="1:37">
      <c r="A679" t="s">
        <v>742</v>
      </c>
      <c r="B679">
        <v>22</v>
      </c>
      <c r="C679" t="s">
        <v>44</v>
      </c>
      <c r="D679" t="s">
        <v>60</v>
      </c>
      <c r="E679">
        <v>1261</v>
      </c>
      <c r="F679">
        <v>25</v>
      </c>
      <c r="G679">
        <v>5</v>
      </c>
      <c r="H679">
        <v>15472.25</v>
      </c>
      <c r="I679">
        <v>86006.42</v>
      </c>
      <c r="J679">
        <v>46</v>
      </c>
      <c r="K679">
        <v>0</v>
      </c>
      <c r="L679">
        <v>0</v>
      </c>
      <c r="M679">
        <v>18.6</v>
      </c>
      <c r="N679" t="s">
        <v>81</v>
      </c>
      <c r="O679" t="s">
        <v>47</v>
      </c>
      <c r="P679" t="s">
        <v>68</v>
      </c>
      <c r="R679">
        <f>SUMIF(A679:A5678,"C00678",I679:I5678)</f>
        <v>86006.42</v>
      </c>
      <c r="S679" s="1">
        <v>49595.15</v>
      </c>
      <c r="T679">
        <f t="shared" si="71"/>
        <v>1869.7047826087</v>
      </c>
      <c r="U679">
        <f t="shared" si="72"/>
        <v>855.6</v>
      </c>
      <c r="V679">
        <f t="shared" si="75"/>
        <v>71.3</v>
      </c>
      <c r="W679">
        <f t="shared" si="73"/>
        <v>33826.5566666667</v>
      </c>
      <c r="X679">
        <f t="shared" si="70"/>
        <v>0.0815007513451502</v>
      </c>
      <c r="AH679" t="str">
        <f t="shared" si="76"/>
        <v>1st Quality</v>
      </c>
      <c r="AJ679">
        <f>((T679-X679)*2)</f>
        <v>3739.24656371471</v>
      </c>
      <c r="AK679">
        <f t="shared" si="74"/>
        <v>2357697.73086957</v>
      </c>
    </row>
    <row r="680" spans="1:37">
      <c r="A680" t="s">
        <v>743</v>
      </c>
      <c r="B680">
        <v>31</v>
      </c>
      <c r="C680" t="s">
        <v>50</v>
      </c>
      <c r="D680" t="s">
        <v>45</v>
      </c>
      <c r="E680">
        <v>1059</v>
      </c>
      <c r="F680">
        <v>20</v>
      </c>
      <c r="G680">
        <v>22</v>
      </c>
      <c r="H680">
        <v>2137.52</v>
      </c>
      <c r="I680">
        <v>49595.15</v>
      </c>
      <c r="J680">
        <v>74</v>
      </c>
      <c r="K680">
        <v>2</v>
      </c>
      <c r="L680">
        <v>17.8</v>
      </c>
      <c r="M680">
        <v>59.4</v>
      </c>
      <c r="N680" t="s">
        <v>63</v>
      </c>
      <c r="O680" t="s">
        <v>47</v>
      </c>
      <c r="P680" t="s">
        <v>58</v>
      </c>
      <c r="R680">
        <f>SUMIF(A680:A5679,"C00679",I680:I5679)</f>
        <v>49595.15</v>
      </c>
      <c r="S680" s="1">
        <v>16534.59</v>
      </c>
      <c r="T680">
        <f t="shared" si="71"/>
        <v>670.20472972973</v>
      </c>
      <c r="U680">
        <f t="shared" si="72"/>
        <v>4395.6</v>
      </c>
      <c r="V680">
        <f>U680*2</f>
        <v>8791.2</v>
      </c>
      <c r="W680">
        <f t="shared" si="73"/>
        <v>17244.5566666667</v>
      </c>
      <c r="X680">
        <f t="shared" si="70"/>
        <v>0.495433960851828</v>
      </c>
      <c r="AH680" t="str">
        <f t="shared" si="76"/>
        <v>1st Quality</v>
      </c>
      <c r="AJ680">
        <f>((T680-X680)*2)/17.8</f>
        <v>75.2482354796492</v>
      </c>
      <c r="AK680">
        <f t="shared" si="74"/>
        <v>709746.808783784</v>
      </c>
    </row>
    <row r="681" spans="1:37">
      <c r="A681" t="s">
        <v>744</v>
      </c>
      <c r="B681">
        <v>44</v>
      </c>
      <c r="C681" t="s">
        <v>50</v>
      </c>
      <c r="D681" t="s">
        <v>60</v>
      </c>
      <c r="E681">
        <v>1376</v>
      </c>
      <c r="F681">
        <v>7</v>
      </c>
      <c r="G681">
        <v>8</v>
      </c>
      <c r="H681">
        <v>1873.61</v>
      </c>
      <c r="I681">
        <v>16534.59</v>
      </c>
      <c r="J681">
        <v>36</v>
      </c>
      <c r="K681">
        <v>1</v>
      </c>
      <c r="L681">
        <v>9.8</v>
      </c>
      <c r="M681">
        <v>44.9</v>
      </c>
      <c r="N681" t="s">
        <v>78</v>
      </c>
      <c r="O681" t="s">
        <v>53</v>
      </c>
      <c r="P681" t="s">
        <v>58</v>
      </c>
      <c r="R681">
        <f>SUMIF(A681:A5680,"C00680",I681:I5680)</f>
        <v>16534.59</v>
      </c>
      <c r="S681" s="1">
        <v>100370.76</v>
      </c>
      <c r="T681">
        <f t="shared" si="71"/>
        <v>459.294166666667</v>
      </c>
      <c r="U681">
        <f t="shared" si="72"/>
        <v>1616.4</v>
      </c>
      <c r="V681">
        <f>U681*1</f>
        <v>1616.4</v>
      </c>
      <c r="W681">
        <f t="shared" si="73"/>
        <v>6136.4</v>
      </c>
      <c r="X681">
        <f t="shared" si="70"/>
        <v>0.734411110102956</v>
      </c>
      <c r="AH681" t="str">
        <f t="shared" si="76"/>
        <v>3rd Quality</v>
      </c>
      <c r="AJ681">
        <f>((T681-X681)*2)/9.8</f>
        <v>93.5836235829723</v>
      </c>
      <c r="AK681">
        <f t="shared" si="74"/>
        <v>631988.773333333</v>
      </c>
    </row>
    <row r="682" spans="1:37">
      <c r="A682" t="s">
        <v>745</v>
      </c>
      <c r="B682">
        <v>27</v>
      </c>
      <c r="C682" t="s">
        <v>50</v>
      </c>
      <c r="D682" t="s">
        <v>51</v>
      </c>
      <c r="E682">
        <v>585</v>
      </c>
      <c r="F682">
        <v>32</v>
      </c>
      <c r="G682">
        <v>28</v>
      </c>
      <c r="H682">
        <v>3472.74</v>
      </c>
      <c r="I682">
        <v>100370.76</v>
      </c>
      <c r="J682">
        <v>228</v>
      </c>
      <c r="K682">
        <v>2</v>
      </c>
      <c r="L682">
        <v>18.5</v>
      </c>
      <c r="M682">
        <v>6.5</v>
      </c>
      <c r="N682" t="s">
        <v>78</v>
      </c>
      <c r="O682" t="s">
        <v>47</v>
      </c>
      <c r="P682" t="s">
        <v>54</v>
      </c>
      <c r="R682">
        <f>SUMIF(A682:A5681,"C00681",I682:I5681)</f>
        <v>100370.76</v>
      </c>
      <c r="S682" s="1">
        <v>125361.7</v>
      </c>
      <c r="T682">
        <f t="shared" si="71"/>
        <v>440.222631578947</v>
      </c>
      <c r="U682">
        <f t="shared" si="72"/>
        <v>1482</v>
      </c>
      <c r="V682">
        <f>U682*2</f>
        <v>2964</v>
      </c>
      <c r="W682">
        <f t="shared" si="73"/>
        <v>34614.8333333333</v>
      </c>
      <c r="X682">
        <f t="shared" si="70"/>
        <v>0.168454880008293</v>
      </c>
      <c r="AH682" t="str">
        <f t="shared" si="76"/>
        <v>2nd Quality</v>
      </c>
      <c r="AJ682">
        <f>((T682-X682)*2)/18.5</f>
        <v>47.5734245079934</v>
      </c>
      <c r="AK682">
        <f t="shared" si="74"/>
        <v>257530.239473684</v>
      </c>
    </row>
    <row r="683" spans="1:37">
      <c r="A683" t="s">
        <v>746</v>
      </c>
      <c r="B683">
        <v>23</v>
      </c>
      <c r="C683" t="s">
        <v>44</v>
      </c>
      <c r="D683" t="s">
        <v>51</v>
      </c>
      <c r="E683">
        <v>835</v>
      </c>
      <c r="F683">
        <v>8</v>
      </c>
      <c r="G683">
        <v>34</v>
      </c>
      <c r="H683">
        <v>3688.87</v>
      </c>
      <c r="I683">
        <v>125361.7</v>
      </c>
      <c r="J683">
        <v>179</v>
      </c>
      <c r="K683">
        <v>6</v>
      </c>
      <c r="L683">
        <v>15.2</v>
      </c>
      <c r="M683">
        <v>49.2</v>
      </c>
      <c r="N683" t="s">
        <v>52</v>
      </c>
      <c r="O683" t="s">
        <v>47</v>
      </c>
      <c r="P683" t="s">
        <v>48</v>
      </c>
      <c r="R683">
        <f>SUMIF(A683:A5682,"C00682",I683:I5682)</f>
        <v>125361.7</v>
      </c>
      <c r="S683" s="1">
        <v>112015.17</v>
      </c>
      <c r="T683">
        <f t="shared" si="71"/>
        <v>700.34469273743</v>
      </c>
      <c r="U683">
        <f t="shared" si="72"/>
        <v>8806.8</v>
      </c>
      <c r="V683">
        <f>U683*6</f>
        <v>52840.8</v>
      </c>
      <c r="W683">
        <f t="shared" si="73"/>
        <v>43017.19</v>
      </c>
      <c r="X683">
        <f t="shared" si="70"/>
        <v>0.226356580741528</v>
      </c>
      <c r="AH683" t="str">
        <f t="shared" si="76"/>
        <v>2nd Quality</v>
      </c>
      <c r="AJ683">
        <f>((T683-X683)*2)/15.2</f>
        <v>92.1208337048274</v>
      </c>
      <c r="AK683">
        <f t="shared" si="74"/>
        <v>584787.818435754</v>
      </c>
    </row>
    <row r="684" spans="1:37">
      <c r="A684" t="s">
        <v>747</v>
      </c>
      <c r="B684">
        <v>23</v>
      </c>
      <c r="C684" t="s">
        <v>44</v>
      </c>
      <c r="D684" t="s">
        <v>60</v>
      </c>
      <c r="E684">
        <v>852</v>
      </c>
      <c r="F684">
        <v>1</v>
      </c>
      <c r="G684">
        <v>32</v>
      </c>
      <c r="H684">
        <v>3162.88</v>
      </c>
      <c r="I684">
        <v>112015.17</v>
      </c>
      <c r="J684">
        <v>233</v>
      </c>
      <c r="K684">
        <v>5</v>
      </c>
      <c r="L684">
        <v>20.8</v>
      </c>
      <c r="M684">
        <v>52.6</v>
      </c>
      <c r="N684" t="s">
        <v>57</v>
      </c>
      <c r="O684" t="s">
        <v>47</v>
      </c>
      <c r="P684" t="s">
        <v>68</v>
      </c>
      <c r="R684">
        <f>SUMIF(A684:A5683,"C00683",I684:I5683)</f>
        <v>112015.17</v>
      </c>
      <c r="S684" s="1">
        <v>5532.63</v>
      </c>
      <c r="T684">
        <f t="shared" si="71"/>
        <v>480.751802575107</v>
      </c>
      <c r="U684">
        <f t="shared" si="72"/>
        <v>12255.8</v>
      </c>
      <c r="V684">
        <f>U684*5</f>
        <v>61279</v>
      </c>
      <c r="W684">
        <f t="shared" si="73"/>
        <v>38393.0166666667</v>
      </c>
      <c r="X684">
        <f t="shared" si="70"/>
        <v>0.269374747065965</v>
      </c>
      <c r="AH684" t="str">
        <f t="shared" si="76"/>
        <v>2nd Quality</v>
      </c>
      <c r="AJ684">
        <f>((T684-X684)*2)/20.8</f>
        <v>46.2002334450039</v>
      </c>
      <c r="AK684">
        <f t="shared" si="74"/>
        <v>409600.535793991</v>
      </c>
    </row>
    <row r="685" spans="1:37">
      <c r="A685" t="s">
        <v>748</v>
      </c>
      <c r="B685">
        <v>26</v>
      </c>
      <c r="C685" t="s">
        <v>50</v>
      </c>
      <c r="D685" t="s">
        <v>60</v>
      </c>
      <c r="E685">
        <v>1277</v>
      </c>
      <c r="F685">
        <v>10</v>
      </c>
      <c r="G685">
        <v>5</v>
      </c>
      <c r="H685">
        <v>1027.87</v>
      </c>
      <c r="I685">
        <v>5532.63</v>
      </c>
      <c r="J685">
        <v>37</v>
      </c>
      <c r="K685">
        <v>0</v>
      </c>
      <c r="L685">
        <v>25.1</v>
      </c>
      <c r="M685">
        <v>40.2</v>
      </c>
      <c r="N685" t="s">
        <v>63</v>
      </c>
      <c r="O685" t="s">
        <v>47</v>
      </c>
      <c r="P685" t="s">
        <v>68</v>
      </c>
      <c r="R685">
        <f>SUMIF(A685:A5684,"C00684",I685:I5684)</f>
        <v>5532.63</v>
      </c>
      <c r="S685" s="1">
        <v>39977.44</v>
      </c>
      <c r="T685">
        <f t="shared" si="71"/>
        <v>149.530540540541</v>
      </c>
      <c r="U685">
        <f t="shared" si="72"/>
        <v>1487.4</v>
      </c>
      <c r="V685">
        <f t="shared" si="75"/>
        <v>123.95</v>
      </c>
      <c r="W685">
        <f t="shared" si="73"/>
        <v>2187.16666666667</v>
      </c>
      <c r="X685">
        <f t="shared" si="70"/>
        <v>1.24237500851275</v>
      </c>
      <c r="AH685" t="str">
        <f t="shared" si="76"/>
        <v>3rd Quality</v>
      </c>
      <c r="AJ685">
        <f>((T685-X685)*2)/25.1</f>
        <v>11.8157900822333</v>
      </c>
      <c r="AK685">
        <f t="shared" si="74"/>
        <v>190950.50027027</v>
      </c>
    </row>
    <row r="686" spans="1:37">
      <c r="A686" t="s">
        <v>749</v>
      </c>
      <c r="B686">
        <v>18</v>
      </c>
      <c r="C686" t="s">
        <v>101</v>
      </c>
      <c r="D686" t="s">
        <v>60</v>
      </c>
      <c r="E686">
        <v>1281</v>
      </c>
      <c r="F686">
        <v>102</v>
      </c>
      <c r="G686">
        <v>4</v>
      </c>
      <c r="H686">
        <v>11249.68</v>
      </c>
      <c r="I686">
        <v>39977.44</v>
      </c>
      <c r="J686">
        <v>14</v>
      </c>
      <c r="K686">
        <v>0</v>
      </c>
      <c r="L686">
        <v>8</v>
      </c>
      <c r="M686">
        <v>9.1</v>
      </c>
      <c r="N686" t="s">
        <v>46</v>
      </c>
      <c r="O686" t="s">
        <v>53</v>
      </c>
      <c r="P686" t="s">
        <v>48</v>
      </c>
      <c r="R686">
        <f>SUMIF(A686:A5685,"C00685",I686:I5685)</f>
        <v>39977.44</v>
      </c>
      <c r="S686" s="1">
        <v>21800.89</v>
      </c>
      <c r="T686">
        <f t="shared" si="71"/>
        <v>2855.53142857143</v>
      </c>
      <c r="U686">
        <f t="shared" si="72"/>
        <v>127.4</v>
      </c>
      <c r="V686">
        <f t="shared" si="75"/>
        <v>10.6166666666667</v>
      </c>
      <c r="W686">
        <f t="shared" si="73"/>
        <v>17076.04</v>
      </c>
      <c r="X686">
        <f t="shared" si="70"/>
        <v>0.113869905632871</v>
      </c>
      <c r="AH686" t="str">
        <f t="shared" si="76"/>
        <v>1st Quality</v>
      </c>
      <c r="AJ686">
        <f>((T686-X686)*2)/8</f>
        <v>713.854389666449</v>
      </c>
      <c r="AK686">
        <f t="shared" si="74"/>
        <v>3657935.76</v>
      </c>
    </row>
    <row r="687" spans="1:37">
      <c r="A687" t="s">
        <v>750</v>
      </c>
      <c r="B687">
        <v>23</v>
      </c>
      <c r="C687" t="s">
        <v>44</v>
      </c>
      <c r="D687" t="s">
        <v>45</v>
      </c>
      <c r="E687">
        <v>735</v>
      </c>
      <c r="F687">
        <v>53</v>
      </c>
      <c r="G687">
        <v>13</v>
      </c>
      <c r="H687">
        <v>1644.22</v>
      </c>
      <c r="I687">
        <v>21800.89</v>
      </c>
      <c r="J687">
        <v>111</v>
      </c>
      <c r="K687">
        <v>0</v>
      </c>
      <c r="L687">
        <v>30.7</v>
      </c>
      <c r="M687">
        <v>32</v>
      </c>
      <c r="N687" t="s">
        <v>52</v>
      </c>
      <c r="O687" t="s">
        <v>53</v>
      </c>
      <c r="P687" t="s">
        <v>54</v>
      </c>
      <c r="R687">
        <f>SUMIF(A687:A5686,"C00686",I687:I5686)</f>
        <v>21800.89</v>
      </c>
      <c r="S687" s="1">
        <v>10033.46</v>
      </c>
      <c r="T687">
        <f t="shared" si="71"/>
        <v>196.404414414414</v>
      </c>
      <c r="U687">
        <f t="shared" si="72"/>
        <v>3552</v>
      </c>
      <c r="V687">
        <f t="shared" si="75"/>
        <v>296</v>
      </c>
      <c r="W687">
        <f t="shared" si="73"/>
        <v>7815.37</v>
      </c>
      <c r="X687">
        <f t="shared" ref="X687:X750" si="77">E687/H687</f>
        <v>0.447020471713031</v>
      </c>
      <c r="AH687" t="str">
        <f t="shared" si="76"/>
        <v>2nd Quality</v>
      </c>
      <c r="AJ687">
        <f>((T687-X687)*2)/30.7</f>
        <v>12.7659540027818</v>
      </c>
      <c r="AK687">
        <f t="shared" si="74"/>
        <v>144357.244594595</v>
      </c>
    </row>
    <row r="688" spans="1:37">
      <c r="A688" t="s">
        <v>751</v>
      </c>
      <c r="B688">
        <v>37</v>
      </c>
      <c r="C688" t="s">
        <v>50</v>
      </c>
      <c r="D688" t="s">
        <v>51</v>
      </c>
      <c r="E688">
        <v>1373</v>
      </c>
      <c r="F688">
        <v>27</v>
      </c>
      <c r="G688">
        <v>11</v>
      </c>
      <c r="H688">
        <v>995.93</v>
      </c>
      <c r="I688">
        <v>10033.46</v>
      </c>
      <c r="J688">
        <v>104</v>
      </c>
      <c r="K688">
        <v>0</v>
      </c>
      <c r="L688">
        <v>13.8</v>
      </c>
      <c r="M688">
        <v>13.1</v>
      </c>
      <c r="N688" t="s">
        <v>46</v>
      </c>
      <c r="O688" t="s">
        <v>47</v>
      </c>
      <c r="P688" t="s">
        <v>48</v>
      </c>
      <c r="R688">
        <f>SUMIF(A688:A5687,"C00687",I688:I5687)</f>
        <v>10033.46</v>
      </c>
      <c r="S688" s="1">
        <v>1132.15</v>
      </c>
      <c r="T688">
        <f t="shared" si="71"/>
        <v>96.4755769230769</v>
      </c>
      <c r="U688">
        <f t="shared" si="72"/>
        <v>1362.4</v>
      </c>
      <c r="V688">
        <f t="shared" si="75"/>
        <v>113.533333333333</v>
      </c>
      <c r="W688">
        <f t="shared" si="73"/>
        <v>3676.79666666667</v>
      </c>
      <c r="X688">
        <f t="shared" si="77"/>
        <v>1.37861094655247</v>
      </c>
      <c r="AH688" t="str">
        <f t="shared" si="76"/>
        <v>3rd Quality</v>
      </c>
      <c r="AJ688">
        <f>((T688-X688)*2)/13.8</f>
        <v>13.782168982105</v>
      </c>
      <c r="AK688">
        <f t="shared" si="74"/>
        <v>132460.967115385</v>
      </c>
    </row>
    <row r="689" spans="1:37">
      <c r="A689" t="s">
        <v>752</v>
      </c>
      <c r="B689">
        <v>45</v>
      </c>
      <c r="C689" t="s">
        <v>50</v>
      </c>
      <c r="D689" t="s">
        <v>60</v>
      </c>
      <c r="E689">
        <v>1091</v>
      </c>
      <c r="F689">
        <v>365</v>
      </c>
      <c r="G689">
        <v>1</v>
      </c>
      <c r="H689">
        <v>1022.24</v>
      </c>
      <c r="I689">
        <v>1132.15</v>
      </c>
      <c r="J689">
        <v>15</v>
      </c>
      <c r="K689">
        <v>0</v>
      </c>
      <c r="L689">
        <v>17.3</v>
      </c>
      <c r="M689">
        <v>26.3</v>
      </c>
      <c r="N689" t="s">
        <v>52</v>
      </c>
      <c r="O689" t="s">
        <v>47</v>
      </c>
      <c r="P689" t="s">
        <v>58</v>
      </c>
      <c r="R689">
        <f>SUMIF(A689:A5688,"C00688",I689:I5688)</f>
        <v>1132.15</v>
      </c>
      <c r="S689" s="1">
        <v>2745.21</v>
      </c>
      <c r="T689">
        <f t="shared" si="71"/>
        <v>75.4766666666667</v>
      </c>
      <c r="U689">
        <f t="shared" si="72"/>
        <v>394.5</v>
      </c>
      <c r="V689">
        <f t="shared" si="75"/>
        <v>32.875</v>
      </c>
      <c r="W689">
        <f t="shared" si="73"/>
        <v>718.463333333333</v>
      </c>
      <c r="X689">
        <f t="shared" si="77"/>
        <v>1.06726404758178</v>
      </c>
      <c r="AH689" t="str">
        <f t="shared" si="76"/>
        <v>3rd Quality</v>
      </c>
      <c r="AJ689">
        <f>((T689-X689)*2)/17.3</f>
        <v>8.60224307735086</v>
      </c>
      <c r="AK689">
        <f t="shared" si="74"/>
        <v>82345.0433333333</v>
      </c>
    </row>
    <row r="690" spans="1:37">
      <c r="A690" t="s">
        <v>753</v>
      </c>
      <c r="B690">
        <v>29</v>
      </c>
      <c r="C690" t="s">
        <v>50</v>
      </c>
      <c r="D690" t="s">
        <v>51</v>
      </c>
      <c r="E690">
        <v>627</v>
      </c>
      <c r="F690">
        <v>107</v>
      </c>
      <c r="G690">
        <v>3</v>
      </c>
      <c r="H690">
        <v>878.01</v>
      </c>
      <c r="I690">
        <v>2745.21</v>
      </c>
      <c r="J690">
        <v>18</v>
      </c>
      <c r="K690">
        <v>0</v>
      </c>
      <c r="L690">
        <v>27.4</v>
      </c>
      <c r="M690">
        <v>22.2</v>
      </c>
      <c r="N690" t="s">
        <v>46</v>
      </c>
      <c r="O690" t="s">
        <v>53</v>
      </c>
      <c r="P690" t="s">
        <v>58</v>
      </c>
      <c r="R690">
        <f>SUMIF(A690:A5689,"C00689",I690:I5689)</f>
        <v>2745.21</v>
      </c>
      <c r="S690" s="1">
        <v>37522.95</v>
      </c>
      <c r="T690">
        <f t="shared" si="71"/>
        <v>152.511666666667</v>
      </c>
      <c r="U690">
        <f t="shared" si="72"/>
        <v>399.6</v>
      </c>
      <c r="V690">
        <f t="shared" si="75"/>
        <v>33.3</v>
      </c>
      <c r="W690">
        <f t="shared" si="73"/>
        <v>1208.07333333333</v>
      </c>
      <c r="X690">
        <f t="shared" si="77"/>
        <v>0.714114873406909</v>
      </c>
      <c r="AH690" t="str">
        <f t="shared" si="76"/>
        <v>3rd Quality</v>
      </c>
      <c r="AJ690">
        <f>((T690-X690)*2)/27.4</f>
        <v>11.080113269581</v>
      </c>
      <c r="AK690">
        <f t="shared" si="74"/>
        <v>95624.815</v>
      </c>
    </row>
    <row r="691" spans="1:37">
      <c r="A691" t="s">
        <v>754</v>
      </c>
      <c r="B691">
        <v>34</v>
      </c>
      <c r="C691" t="s">
        <v>101</v>
      </c>
      <c r="D691" t="s">
        <v>60</v>
      </c>
      <c r="E691">
        <v>1327</v>
      </c>
      <c r="F691">
        <v>58</v>
      </c>
      <c r="G691">
        <v>3</v>
      </c>
      <c r="H691">
        <v>12655.42</v>
      </c>
      <c r="I691">
        <v>37522.95</v>
      </c>
      <c r="J691">
        <v>15</v>
      </c>
      <c r="K691">
        <v>0</v>
      </c>
      <c r="L691">
        <v>3</v>
      </c>
      <c r="M691">
        <v>18.5</v>
      </c>
      <c r="N691" t="s">
        <v>81</v>
      </c>
      <c r="O691" t="s">
        <v>53</v>
      </c>
      <c r="P691" t="s">
        <v>48</v>
      </c>
      <c r="R691">
        <f>SUMIF(A691:A5690,"C00690",I691:I5690)</f>
        <v>37522.95</v>
      </c>
      <c r="S691" s="1">
        <v>15373.47</v>
      </c>
      <c r="T691">
        <f t="shared" si="71"/>
        <v>2501.53</v>
      </c>
      <c r="U691">
        <f t="shared" si="72"/>
        <v>277.5</v>
      </c>
      <c r="V691">
        <f t="shared" si="75"/>
        <v>23.125</v>
      </c>
      <c r="W691">
        <f t="shared" si="73"/>
        <v>16726.4566666667</v>
      </c>
      <c r="X691">
        <f t="shared" si="77"/>
        <v>0.104856259215419</v>
      </c>
      <c r="AH691" t="str">
        <f t="shared" si="76"/>
        <v>2nd Quality</v>
      </c>
      <c r="AJ691">
        <f>((T691-X691)*2)/3</f>
        <v>1667.61676249386</v>
      </c>
      <c r="AK691">
        <f t="shared" si="74"/>
        <v>3319530.31</v>
      </c>
    </row>
    <row r="692" spans="1:37">
      <c r="A692" t="s">
        <v>755</v>
      </c>
      <c r="B692">
        <v>32</v>
      </c>
      <c r="C692" t="s">
        <v>44</v>
      </c>
      <c r="D692" t="s">
        <v>45</v>
      </c>
      <c r="E692">
        <v>557</v>
      </c>
      <c r="F692">
        <v>14</v>
      </c>
      <c r="G692">
        <v>7</v>
      </c>
      <c r="H692">
        <v>1977.91</v>
      </c>
      <c r="I692">
        <v>15373.47</v>
      </c>
      <c r="J692">
        <v>54</v>
      </c>
      <c r="K692">
        <v>0</v>
      </c>
      <c r="L692">
        <v>18</v>
      </c>
      <c r="M692">
        <v>9.4</v>
      </c>
      <c r="N692" t="s">
        <v>57</v>
      </c>
      <c r="O692" t="s">
        <v>47</v>
      </c>
      <c r="P692" t="s">
        <v>68</v>
      </c>
      <c r="R692">
        <f>SUMIF(A692:A5691,"C00691",I692:I5691)</f>
        <v>15373.47</v>
      </c>
      <c r="S692" s="1">
        <v>5160.17</v>
      </c>
      <c r="T692">
        <f t="shared" si="71"/>
        <v>284.693888888889</v>
      </c>
      <c r="U692">
        <f t="shared" si="72"/>
        <v>507.6</v>
      </c>
      <c r="V692">
        <f t="shared" si="75"/>
        <v>42.3</v>
      </c>
      <c r="W692">
        <f t="shared" si="73"/>
        <v>5784.12666666667</v>
      </c>
      <c r="X692">
        <f t="shared" si="77"/>
        <v>0.281610386721337</v>
      </c>
      <c r="AH692" t="str">
        <f t="shared" si="76"/>
        <v>3rd Quality</v>
      </c>
      <c r="AJ692">
        <f>((T692-X692)*2)/18</f>
        <v>31.6013642780186</v>
      </c>
      <c r="AK692">
        <f t="shared" si="74"/>
        <v>158574.496111111</v>
      </c>
    </row>
    <row r="693" spans="1:37">
      <c r="A693" t="s">
        <v>756</v>
      </c>
      <c r="B693">
        <v>30</v>
      </c>
      <c r="C693" t="s">
        <v>44</v>
      </c>
      <c r="D693" t="s">
        <v>45</v>
      </c>
      <c r="E693">
        <v>1117</v>
      </c>
      <c r="F693">
        <v>157</v>
      </c>
      <c r="G693">
        <v>2</v>
      </c>
      <c r="H693">
        <v>2685.56</v>
      </c>
      <c r="I693">
        <v>5160.17</v>
      </c>
      <c r="J693">
        <v>14</v>
      </c>
      <c r="K693">
        <v>0</v>
      </c>
      <c r="L693">
        <v>18.1</v>
      </c>
      <c r="M693">
        <v>7.4</v>
      </c>
      <c r="N693" t="s">
        <v>46</v>
      </c>
      <c r="O693" t="s">
        <v>75</v>
      </c>
      <c r="P693" t="s">
        <v>68</v>
      </c>
      <c r="R693">
        <f>SUMIF(A693:A5692,"C00692",I693:I5692)</f>
        <v>5160.17</v>
      </c>
      <c r="S693" s="1">
        <v>18405.37</v>
      </c>
      <c r="T693">
        <f t="shared" si="71"/>
        <v>368.583571428571</v>
      </c>
      <c r="U693">
        <f t="shared" si="72"/>
        <v>103.6</v>
      </c>
      <c r="V693">
        <f t="shared" si="75"/>
        <v>8.63333333333333</v>
      </c>
      <c r="W693">
        <f t="shared" si="73"/>
        <v>2615.57666666667</v>
      </c>
      <c r="X693">
        <f t="shared" si="77"/>
        <v>0.415928149063882</v>
      </c>
      <c r="AH693" t="str">
        <f t="shared" si="76"/>
        <v>3rd Quality</v>
      </c>
      <c r="AJ693">
        <f>((T693-X693)*2)/18.1</f>
        <v>40.6815075446969</v>
      </c>
      <c r="AK693">
        <f t="shared" si="74"/>
        <v>411707.849285714</v>
      </c>
    </row>
    <row r="694" spans="1:37">
      <c r="A694" t="s">
        <v>757</v>
      </c>
      <c r="B694">
        <v>21</v>
      </c>
      <c r="C694" t="s">
        <v>44</v>
      </c>
      <c r="D694" t="s">
        <v>60</v>
      </c>
      <c r="E694">
        <v>1387</v>
      </c>
      <c r="F694">
        <v>40</v>
      </c>
      <c r="G694">
        <v>12</v>
      </c>
      <c r="H694">
        <v>1554.62</v>
      </c>
      <c r="I694">
        <v>18405.37</v>
      </c>
      <c r="J694">
        <v>79</v>
      </c>
      <c r="K694">
        <v>0</v>
      </c>
      <c r="L694">
        <v>27</v>
      </c>
      <c r="M694">
        <v>28.6</v>
      </c>
      <c r="N694" t="s">
        <v>63</v>
      </c>
      <c r="O694" t="s">
        <v>47</v>
      </c>
      <c r="P694" t="s">
        <v>68</v>
      </c>
      <c r="R694">
        <f>SUMIF(A694:A5693,"C00693",I694:I5693)</f>
        <v>18405.37</v>
      </c>
      <c r="S694" s="1">
        <v>14303.02</v>
      </c>
      <c r="T694">
        <f t="shared" si="71"/>
        <v>232.979367088608</v>
      </c>
      <c r="U694">
        <f t="shared" si="72"/>
        <v>2259.4</v>
      </c>
      <c r="V694">
        <f t="shared" si="75"/>
        <v>188.283333333333</v>
      </c>
      <c r="W694">
        <f t="shared" si="73"/>
        <v>6653.66333333333</v>
      </c>
      <c r="X694">
        <f t="shared" si="77"/>
        <v>0.892179439348523</v>
      </c>
      <c r="AH694" t="str">
        <f t="shared" si="76"/>
        <v>2nd Quality</v>
      </c>
      <c r="AJ694">
        <f>((T694-X694)*2)/27</f>
        <v>17.1916435295748</v>
      </c>
      <c r="AK694">
        <f t="shared" si="74"/>
        <v>323142.382151899</v>
      </c>
    </row>
    <row r="695" spans="1:37">
      <c r="A695" t="s">
        <v>758</v>
      </c>
      <c r="B695">
        <v>19</v>
      </c>
      <c r="C695" t="s">
        <v>44</v>
      </c>
      <c r="D695" t="s">
        <v>45</v>
      </c>
      <c r="E695">
        <v>1139</v>
      </c>
      <c r="F695">
        <v>24</v>
      </c>
      <c r="G695">
        <v>12</v>
      </c>
      <c r="H695">
        <v>1221.51</v>
      </c>
      <c r="I695">
        <v>14303.02</v>
      </c>
      <c r="J695">
        <v>106</v>
      </c>
      <c r="K695">
        <v>1</v>
      </c>
      <c r="L695">
        <v>32.4</v>
      </c>
      <c r="M695">
        <v>34.8</v>
      </c>
      <c r="N695" t="s">
        <v>52</v>
      </c>
      <c r="O695" t="s">
        <v>47</v>
      </c>
      <c r="P695" t="s">
        <v>48</v>
      </c>
      <c r="R695">
        <f>SUMIF(A695:A5694,"C00694",I695:I5694)</f>
        <v>14303.02</v>
      </c>
      <c r="S695" s="1">
        <v>1548.53</v>
      </c>
      <c r="T695">
        <f t="shared" si="71"/>
        <v>134.934150943396</v>
      </c>
      <c r="U695">
        <f t="shared" si="72"/>
        <v>3688.8</v>
      </c>
      <c r="V695">
        <f>U695*1</f>
        <v>3688.8</v>
      </c>
      <c r="W695">
        <f t="shared" si="73"/>
        <v>5175.17666666667</v>
      </c>
      <c r="X695">
        <f t="shared" si="77"/>
        <v>0.932452456385949</v>
      </c>
      <c r="AH695" t="str">
        <f t="shared" si="76"/>
        <v>3rd Quality</v>
      </c>
      <c r="AJ695">
        <f>((T695-X695)*2)/32.4</f>
        <v>8.27170978314877</v>
      </c>
      <c r="AK695">
        <f t="shared" si="74"/>
        <v>153689.997924528</v>
      </c>
    </row>
    <row r="696" spans="1:37">
      <c r="A696" t="s">
        <v>759</v>
      </c>
      <c r="B696">
        <v>46</v>
      </c>
      <c r="C696" t="s">
        <v>50</v>
      </c>
      <c r="D696" t="s">
        <v>45</v>
      </c>
      <c r="E696">
        <v>917</v>
      </c>
      <c r="F696">
        <v>365</v>
      </c>
      <c r="G696">
        <v>1</v>
      </c>
      <c r="H696">
        <v>1698.61</v>
      </c>
      <c r="I696">
        <v>1548.53</v>
      </c>
      <c r="J696">
        <v>19</v>
      </c>
      <c r="K696">
        <v>0</v>
      </c>
      <c r="L696">
        <v>15</v>
      </c>
      <c r="M696">
        <v>54.3</v>
      </c>
      <c r="N696" t="s">
        <v>63</v>
      </c>
      <c r="O696" t="s">
        <v>47</v>
      </c>
      <c r="P696" t="s">
        <v>54</v>
      </c>
      <c r="R696">
        <f>SUMIF(A696:A5695,"C00695",I696:I5695)</f>
        <v>1548.53</v>
      </c>
      <c r="S696" s="1">
        <v>16276.61</v>
      </c>
      <c r="T696">
        <f t="shared" si="71"/>
        <v>81.5015789473684</v>
      </c>
      <c r="U696">
        <f t="shared" si="72"/>
        <v>1031.7</v>
      </c>
      <c r="V696">
        <f t="shared" si="75"/>
        <v>85.975</v>
      </c>
      <c r="W696">
        <f t="shared" si="73"/>
        <v>1082.71333333333</v>
      </c>
      <c r="X696">
        <f t="shared" si="77"/>
        <v>0.539853174065854</v>
      </c>
      <c r="AH696" t="str">
        <f t="shared" si="76"/>
        <v>3rd Quality</v>
      </c>
      <c r="AJ696">
        <f>((T696-X696)*2)/15</f>
        <v>10.7948967697737</v>
      </c>
      <c r="AK696">
        <f t="shared" si="74"/>
        <v>74736.9478947368</v>
      </c>
    </row>
    <row r="697" spans="1:37">
      <c r="A697" t="s">
        <v>760</v>
      </c>
      <c r="B697">
        <v>32</v>
      </c>
      <c r="C697" t="s">
        <v>44</v>
      </c>
      <c r="D697" t="s">
        <v>45</v>
      </c>
      <c r="E697">
        <v>1283</v>
      </c>
      <c r="F697">
        <v>43</v>
      </c>
      <c r="G697">
        <v>3</v>
      </c>
      <c r="H697">
        <v>5923.25</v>
      </c>
      <c r="I697">
        <v>16276.61</v>
      </c>
      <c r="J697">
        <v>18</v>
      </c>
      <c r="K697">
        <v>0</v>
      </c>
      <c r="L697">
        <v>3.4</v>
      </c>
      <c r="M697">
        <v>12.4</v>
      </c>
      <c r="N697" t="s">
        <v>61</v>
      </c>
      <c r="O697" t="s">
        <v>47</v>
      </c>
      <c r="P697" t="s">
        <v>48</v>
      </c>
      <c r="R697">
        <f>SUMIF(A697:A5696,"C00696",I697:I5696)</f>
        <v>16276.61</v>
      </c>
      <c r="S697" s="1">
        <v>1340.21</v>
      </c>
      <c r="T697">
        <f t="shared" si="71"/>
        <v>904.256111111111</v>
      </c>
      <c r="U697">
        <f t="shared" si="72"/>
        <v>223.2</v>
      </c>
      <c r="V697">
        <f t="shared" si="75"/>
        <v>18.6</v>
      </c>
      <c r="W697">
        <f t="shared" si="73"/>
        <v>7400.28666666667</v>
      </c>
      <c r="X697">
        <f t="shared" si="77"/>
        <v>0.216604060270966</v>
      </c>
      <c r="AH697" t="str">
        <f t="shared" si="76"/>
        <v>2nd Quality</v>
      </c>
      <c r="AJ697">
        <f>((T697-X697)*2)/3.4</f>
        <v>531.787945324024</v>
      </c>
      <c r="AK697">
        <f t="shared" si="74"/>
        <v>1160160.59055556</v>
      </c>
    </row>
    <row r="698" spans="1:37">
      <c r="A698" t="s">
        <v>761</v>
      </c>
      <c r="B698">
        <v>40</v>
      </c>
      <c r="C698" t="s">
        <v>50</v>
      </c>
      <c r="D698" t="s">
        <v>60</v>
      </c>
      <c r="E698">
        <v>576</v>
      </c>
      <c r="F698">
        <v>28</v>
      </c>
      <c r="G698">
        <v>2</v>
      </c>
      <c r="H698">
        <v>655.78</v>
      </c>
      <c r="I698">
        <v>1340.21</v>
      </c>
      <c r="J698">
        <v>19</v>
      </c>
      <c r="K698">
        <v>0</v>
      </c>
      <c r="L698">
        <v>9.3</v>
      </c>
      <c r="M698">
        <v>75.8</v>
      </c>
      <c r="N698" t="s">
        <v>63</v>
      </c>
      <c r="O698" t="s">
        <v>75</v>
      </c>
      <c r="P698" t="s">
        <v>58</v>
      </c>
      <c r="R698">
        <f>SUMIF(A698:A5697,"C00697",I698:I5697)</f>
        <v>1340.21</v>
      </c>
      <c r="S698" s="1">
        <v>33391.58</v>
      </c>
      <c r="T698">
        <f t="shared" si="71"/>
        <v>70.5373684210526</v>
      </c>
      <c r="U698">
        <f t="shared" si="72"/>
        <v>1440.2</v>
      </c>
      <c r="V698">
        <f t="shared" si="75"/>
        <v>120.016666666667</v>
      </c>
      <c r="W698">
        <f t="shared" si="73"/>
        <v>665.663333333333</v>
      </c>
      <c r="X698">
        <f t="shared" si="77"/>
        <v>0.878343346854128</v>
      </c>
      <c r="AH698" t="str">
        <f t="shared" si="76"/>
        <v>3rd Quality</v>
      </c>
      <c r="AJ698">
        <f>((T698-X698)*2)/9.3</f>
        <v>14.9804354998276</v>
      </c>
      <c r="AK698">
        <f t="shared" si="74"/>
        <v>40629.5242105263</v>
      </c>
    </row>
    <row r="699" spans="1:37">
      <c r="A699" t="s">
        <v>762</v>
      </c>
      <c r="B699">
        <v>33</v>
      </c>
      <c r="C699" t="s">
        <v>44</v>
      </c>
      <c r="D699" t="s">
        <v>51</v>
      </c>
      <c r="E699">
        <v>645</v>
      </c>
      <c r="F699">
        <v>24</v>
      </c>
      <c r="G699">
        <v>4</v>
      </c>
      <c r="H699">
        <v>9309.71</v>
      </c>
      <c r="I699">
        <v>33391.58</v>
      </c>
      <c r="J699">
        <v>24</v>
      </c>
      <c r="K699">
        <v>0</v>
      </c>
      <c r="L699">
        <v>16.3</v>
      </c>
      <c r="M699">
        <v>19</v>
      </c>
      <c r="N699" t="s">
        <v>57</v>
      </c>
      <c r="O699" t="s">
        <v>47</v>
      </c>
      <c r="P699" t="s">
        <v>58</v>
      </c>
      <c r="R699">
        <f>SUMIF(A699:A5698,"C00698",I699:I5698)</f>
        <v>33391.58</v>
      </c>
      <c r="S699" s="1">
        <v>37891.01</v>
      </c>
      <c r="T699">
        <f t="shared" si="71"/>
        <v>1391.31583333333</v>
      </c>
      <c r="U699">
        <f t="shared" si="72"/>
        <v>456</v>
      </c>
      <c r="V699">
        <f t="shared" si="75"/>
        <v>38</v>
      </c>
      <c r="W699">
        <f t="shared" si="73"/>
        <v>14234.0966666667</v>
      </c>
      <c r="X699">
        <f t="shared" si="77"/>
        <v>0.0692825018179943</v>
      </c>
      <c r="AH699" t="str">
        <f t="shared" si="76"/>
        <v>2nd Quality</v>
      </c>
      <c r="AJ699">
        <f>((T699-X699)*2)/16.3</f>
        <v>170.705098261535</v>
      </c>
      <c r="AK699">
        <f t="shared" si="74"/>
        <v>897398.7125</v>
      </c>
    </row>
    <row r="700" spans="1:37">
      <c r="A700" t="s">
        <v>763</v>
      </c>
      <c r="B700">
        <v>47</v>
      </c>
      <c r="C700" t="s">
        <v>44</v>
      </c>
      <c r="D700" t="s">
        <v>45</v>
      </c>
      <c r="E700">
        <v>1073</v>
      </c>
      <c r="F700">
        <v>14</v>
      </c>
      <c r="G700">
        <v>4</v>
      </c>
      <c r="H700">
        <v>8584.59</v>
      </c>
      <c r="I700">
        <v>37891.01</v>
      </c>
      <c r="J700">
        <v>17</v>
      </c>
      <c r="K700">
        <v>0</v>
      </c>
      <c r="L700">
        <v>0</v>
      </c>
      <c r="M700">
        <v>35.5</v>
      </c>
      <c r="N700" t="s">
        <v>63</v>
      </c>
      <c r="O700" t="s">
        <v>47</v>
      </c>
      <c r="P700" t="s">
        <v>48</v>
      </c>
      <c r="R700">
        <f>SUMIF(A700:A5699,"C00699",I700:I5699)</f>
        <v>37891.01</v>
      </c>
      <c r="S700" s="1">
        <v>12061.88</v>
      </c>
      <c r="T700">
        <f t="shared" si="71"/>
        <v>2228.88294117647</v>
      </c>
      <c r="U700">
        <f t="shared" si="72"/>
        <v>603.5</v>
      </c>
      <c r="V700">
        <f t="shared" si="75"/>
        <v>50.2916666666667</v>
      </c>
      <c r="W700">
        <f t="shared" si="73"/>
        <v>15492.2</v>
      </c>
      <c r="X700">
        <f t="shared" si="77"/>
        <v>0.124991409024776</v>
      </c>
      <c r="AH700" t="str">
        <f t="shared" si="76"/>
        <v>3rd Quality</v>
      </c>
      <c r="AJ700">
        <f>((T700-X700)*2)</f>
        <v>4457.51589953489</v>
      </c>
      <c r="AK700">
        <f t="shared" si="74"/>
        <v>2391591.39588235</v>
      </c>
    </row>
    <row r="701" spans="1:37">
      <c r="A701" t="s">
        <v>764</v>
      </c>
      <c r="B701">
        <v>19</v>
      </c>
      <c r="C701" t="s">
        <v>50</v>
      </c>
      <c r="D701" t="s">
        <v>51</v>
      </c>
      <c r="E701">
        <v>1184</v>
      </c>
      <c r="F701">
        <v>52</v>
      </c>
      <c r="G701">
        <v>9</v>
      </c>
      <c r="H701">
        <v>1398.04</v>
      </c>
      <c r="I701">
        <v>12061.88</v>
      </c>
      <c r="J701">
        <v>42</v>
      </c>
      <c r="K701">
        <v>0</v>
      </c>
      <c r="L701">
        <v>25.4</v>
      </c>
      <c r="M701">
        <v>33.8</v>
      </c>
      <c r="N701" t="s">
        <v>63</v>
      </c>
      <c r="O701" t="s">
        <v>53</v>
      </c>
      <c r="P701" t="s">
        <v>68</v>
      </c>
      <c r="R701">
        <f>SUMIF(A701:A5700,"C00700",I701:I5700)</f>
        <v>12061.88</v>
      </c>
      <c r="S701" s="1">
        <v>5363.73</v>
      </c>
      <c r="T701">
        <f t="shared" si="71"/>
        <v>287.187619047619</v>
      </c>
      <c r="U701">
        <f t="shared" si="72"/>
        <v>1419.6</v>
      </c>
      <c r="V701">
        <f t="shared" si="75"/>
        <v>118.3</v>
      </c>
      <c r="W701">
        <f t="shared" si="73"/>
        <v>4486.97333333333</v>
      </c>
      <c r="X701">
        <f t="shared" si="77"/>
        <v>0.846899945638179</v>
      </c>
      <c r="AH701" t="str">
        <f t="shared" si="76"/>
        <v>3rd Quality</v>
      </c>
      <c r="AJ701">
        <f>((T701-X701)*2)/25.4</f>
        <v>22.5465133151166</v>
      </c>
      <c r="AK701">
        <f t="shared" si="74"/>
        <v>340030.140952381</v>
      </c>
    </row>
    <row r="702" spans="1:37">
      <c r="A702" t="s">
        <v>765</v>
      </c>
      <c r="B702">
        <v>30</v>
      </c>
      <c r="C702" t="s">
        <v>44</v>
      </c>
      <c r="D702" t="s">
        <v>51</v>
      </c>
      <c r="E702">
        <v>668</v>
      </c>
      <c r="F702">
        <v>24</v>
      </c>
      <c r="G702">
        <v>7</v>
      </c>
      <c r="H702">
        <v>800.65</v>
      </c>
      <c r="I702">
        <v>5363.73</v>
      </c>
      <c r="J702">
        <v>39</v>
      </c>
      <c r="K702">
        <v>0</v>
      </c>
      <c r="L702">
        <v>24</v>
      </c>
      <c r="M702">
        <v>50.5</v>
      </c>
      <c r="N702" t="s">
        <v>78</v>
      </c>
      <c r="O702" t="s">
        <v>47</v>
      </c>
      <c r="P702" t="s">
        <v>58</v>
      </c>
      <c r="R702">
        <f>SUMIF(A702:A5701,"C00701",I702:I5701)</f>
        <v>5363.73</v>
      </c>
      <c r="S702" s="1">
        <v>7962</v>
      </c>
      <c r="T702">
        <f t="shared" si="71"/>
        <v>137.531538461538</v>
      </c>
      <c r="U702">
        <f t="shared" si="72"/>
        <v>1969.5</v>
      </c>
      <c r="V702">
        <f t="shared" si="75"/>
        <v>164.125</v>
      </c>
      <c r="W702">
        <f t="shared" si="73"/>
        <v>2055.12666666667</v>
      </c>
      <c r="X702">
        <f t="shared" si="77"/>
        <v>0.834322113282958</v>
      </c>
      <c r="AH702" t="str">
        <f t="shared" si="76"/>
        <v>3rd Quality</v>
      </c>
      <c r="AJ702">
        <f>((T702-X702)*2)/24</f>
        <v>11.3914346956879</v>
      </c>
      <c r="AK702">
        <f t="shared" si="74"/>
        <v>91871.0676923077</v>
      </c>
    </row>
    <row r="703" spans="1:37">
      <c r="A703" t="s">
        <v>766</v>
      </c>
      <c r="B703">
        <v>28</v>
      </c>
      <c r="C703" t="s">
        <v>44</v>
      </c>
      <c r="D703" t="s">
        <v>45</v>
      </c>
      <c r="E703">
        <v>1065</v>
      </c>
      <c r="F703">
        <v>5</v>
      </c>
      <c r="G703">
        <v>10</v>
      </c>
      <c r="H703">
        <v>871.57</v>
      </c>
      <c r="I703">
        <v>7962</v>
      </c>
      <c r="J703">
        <v>32</v>
      </c>
      <c r="K703">
        <v>3</v>
      </c>
      <c r="L703">
        <v>28.9</v>
      </c>
      <c r="M703">
        <v>41.1</v>
      </c>
      <c r="N703" t="s">
        <v>52</v>
      </c>
      <c r="O703" t="s">
        <v>75</v>
      </c>
      <c r="P703" t="s">
        <v>66</v>
      </c>
      <c r="R703">
        <f>SUMIF(A703:A5702,"C00702",I703:I5702)</f>
        <v>7962</v>
      </c>
      <c r="S703" s="1">
        <v>91148.79</v>
      </c>
      <c r="T703">
        <f t="shared" si="71"/>
        <v>248.8125</v>
      </c>
      <c r="U703">
        <f t="shared" si="72"/>
        <v>1315.2</v>
      </c>
      <c r="V703">
        <f>U703*3</f>
        <v>3945.6</v>
      </c>
      <c r="W703">
        <f t="shared" si="73"/>
        <v>2944.85666666667</v>
      </c>
      <c r="X703">
        <f t="shared" si="77"/>
        <v>1.22193283385156</v>
      </c>
      <c r="AH703" t="str">
        <f t="shared" si="76"/>
        <v>3rd Quality</v>
      </c>
      <c r="AJ703">
        <f>((T703-X703)*2)/28.9</f>
        <v>17.1342953056158</v>
      </c>
      <c r="AK703">
        <f t="shared" si="74"/>
        <v>264985.3125</v>
      </c>
    </row>
    <row r="704" spans="1:37">
      <c r="A704" t="s">
        <v>767</v>
      </c>
      <c r="B704">
        <v>24</v>
      </c>
      <c r="C704" t="s">
        <v>50</v>
      </c>
      <c r="D704" t="s">
        <v>51</v>
      </c>
      <c r="E704">
        <v>1231</v>
      </c>
      <c r="F704">
        <v>13</v>
      </c>
      <c r="G704">
        <v>22</v>
      </c>
      <c r="H704">
        <v>4296.83</v>
      </c>
      <c r="I704">
        <v>91148.79</v>
      </c>
      <c r="J704">
        <v>165</v>
      </c>
      <c r="K704">
        <v>1</v>
      </c>
      <c r="L704">
        <v>2.8</v>
      </c>
      <c r="M704">
        <v>25.7</v>
      </c>
      <c r="N704" t="s">
        <v>81</v>
      </c>
      <c r="O704" t="s">
        <v>53</v>
      </c>
      <c r="P704" t="s">
        <v>68</v>
      </c>
      <c r="R704">
        <f>SUMIF(A704:A5703,"C00703",I704:I5703)</f>
        <v>91148.79</v>
      </c>
      <c r="S704" s="1">
        <v>1295.39</v>
      </c>
      <c r="T704">
        <f t="shared" si="71"/>
        <v>552.416909090909</v>
      </c>
      <c r="U704">
        <f t="shared" si="72"/>
        <v>4240.5</v>
      </c>
      <c r="V704">
        <f>U704*1</f>
        <v>4240.5</v>
      </c>
      <c r="W704">
        <f t="shared" si="73"/>
        <v>31815.54</v>
      </c>
      <c r="X704">
        <f t="shared" si="77"/>
        <v>0.286490273061769</v>
      </c>
      <c r="AH704" t="str">
        <f t="shared" si="76"/>
        <v>1st Quality</v>
      </c>
      <c r="AJ704">
        <f>((T704-X704)*2)/2.8</f>
        <v>394.378870584177</v>
      </c>
      <c r="AK704">
        <f t="shared" si="74"/>
        <v>680025.215090909</v>
      </c>
    </row>
    <row r="705" spans="1:37">
      <c r="A705" t="s">
        <v>768</v>
      </c>
      <c r="B705">
        <v>18</v>
      </c>
      <c r="C705" t="s">
        <v>44</v>
      </c>
      <c r="D705" t="s">
        <v>45</v>
      </c>
      <c r="E705">
        <v>965</v>
      </c>
      <c r="F705">
        <v>134</v>
      </c>
      <c r="G705">
        <v>1</v>
      </c>
      <c r="H705">
        <v>1238.57</v>
      </c>
      <c r="I705">
        <v>1295.39</v>
      </c>
      <c r="J705">
        <v>6</v>
      </c>
      <c r="K705">
        <v>0</v>
      </c>
      <c r="L705">
        <v>21</v>
      </c>
      <c r="M705">
        <v>38.4</v>
      </c>
      <c r="N705" t="s">
        <v>61</v>
      </c>
      <c r="O705" t="s">
        <v>53</v>
      </c>
      <c r="P705" t="s">
        <v>58</v>
      </c>
      <c r="R705">
        <f>SUMIF(A705:A5704,"C00704",I705:I5704)</f>
        <v>1295.39</v>
      </c>
      <c r="S705" s="1">
        <v>4634.79</v>
      </c>
      <c r="T705">
        <f t="shared" si="71"/>
        <v>215.898333333333</v>
      </c>
      <c r="U705">
        <f t="shared" si="72"/>
        <v>230.4</v>
      </c>
      <c r="V705">
        <f t="shared" si="75"/>
        <v>19.2</v>
      </c>
      <c r="W705">
        <f t="shared" si="73"/>
        <v>844.986666666667</v>
      </c>
      <c r="X705">
        <f t="shared" si="77"/>
        <v>0.77912431271547</v>
      </c>
      <c r="AH705" t="str">
        <f t="shared" si="76"/>
        <v>3rd Quality</v>
      </c>
      <c r="AJ705">
        <f>((T705-X705)*2)/21</f>
        <v>20.4875437162493</v>
      </c>
      <c r="AK705">
        <f t="shared" si="74"/>
        <v>208341.891666667</v>
      </c>
    </row>
    <row r="706" spans="1:37">
      <c r="A706" t="s">
        <v>769</v>
      </c>
      <c r="B706">
        <v>33</v>
      </c>
      <c r="C706" t="s">
        <v>44</v>
      </c>
      <c r="D706" t="s">
        <v>60</v>
      </c>
      <c r="E706">
        <v>548</v>
      </c>
      <c r="F706">
        <v>94</v>
      </c>
      <c r="G706">
        <v>4</v>
      </c>
      <c r="H706">
        <v>1044.1</v>
      </c>
      <c r="I706">
        <v>4634.79</v>
      </c>
      <c r="J706">
        <v>20</v>
      </c>
      <c r="K706">
        <v>0</v>
      </c>
      <c r="L706">
        <v>33.4</v>
      </c>
      <c r="M706">
        <v>39.7</v>
      </c>
      <c r="N706" t="s">
        <v>61</v>
      </c>
      <c r="O706" t="s">
        <v>47</v>
      </c>
      <c r="P706" t="s">
        <v>68</v>
      </c>
      <c r="R706">
        <f>SUMIF(A706:A5705,"C00705",I706:I5705)</f>
        <v>4634.79</v>
      </c>
      <c r="S706" s="1">
        <v>36490.7</v>
      </c>
      <c r="T706">
        <f t="shared" si="71"/>
        <v>231.7395</v>
      </c>
      <c r="U706">
        <f t="shared" si="72"/>
        <v>794</v>
      </c>
      <c r="V706">
        <f t="shared" si="75"/>
        <v>66.1666666666667</v>
      </c>
      <c r="W706">
        <f t="shared" si="73"/>
        <v>1893.29666666667</v>
      </c>
      <c r="X706">
        <f t="shared" si="77"/>
        <v>0.524853941193372</v>
      </c>
      <c r="AH706" t="str">
        <f t="shared" si="76"/>
        <v>3rd Quality</v>
      </c>
      <c r="AJ706">
        <f>((T706-X706)*2)/33.4</f>
        <v>13.8451883867549</v>
      </c>
      <c r="AK706">
        <f t="shared" si="74"/>
        <v>126993.246</v>
      </c>
    </row>
    <row r="707" spans="1:37">
      <c r="A707" t="s">
        <v>770</v>
      </c>
      <c r="B707">
        <v>39</v>
      </c>
      <c r="C707" t="s">
        <v>50</v>
      </c>
      <c r="D707" t="s">
        <v>45</v>
      </c>
      <c r="E707">
        <v>1433</v>
      </c>
      <c r="F707">
        <v>10</v>
      </c>
      <c r="G707">
        <v>4</v>
      </c>
      <c r="H707">
        <v>9849.35</v>
      </c>
      <c r="I707">
        <v>36490.7</v>
      </c>
      <c r="J707">
        <v>26</v>
      </c>
      <c r="K707">
        <v>1</v>
      </c>
      <c r="L707">
        <v>7.6</v>
      </c>
      <c r="M707">
        <v>34.1</v>
      </c>
      <c r="N707" t="s">
        <v>78</v>
      </c>
      <c r="O707" t="s">
        <v>53</v>
      </c>
      <c r="P707" t="s">
        <v>58</v>
      </c>
      <c r="R707">
        <f>SUMIF(A707:A5706,"C00706",I707:I5706)</f>
        <v>36490.7</v>
      </c>
      <c r="S707" s="1">
        <v>1101.02</v>
      </c>
      <c r="T707">
        <f t="shared" ref="T707:T770" si="78">I707/J707</f>
        <v>1403.48846153846</v>
      </c>
      <c r="U707">
        <f t="shared" ref="U707:U770" si="79">J707*M707</f>
        <v>886.6</v>
      </c>
      <c r="V707">
        <f>U707*1</f>
        <v>886.6</v>
      </c>
      <c r="W707">
        <f t="shared" ref="W707:W770" si="80">(H707+I707+1)/3</f>
        <v>15447.0166666667</v>
      </c>
      <c r="X707">
        <f t="shared" si="77"/>
        <v>0.14549183448654</v>
      </c>
      <c r="AH707" t="str">
        <f t="shared" si="76"/>
        <v>2nd Quality</v>
      </c>
      <c r="AJ707">
        <f>((T707-X707)*2)/7.6</f>
        <v>369.300781501046</v>
      </c>
      <c r="AK707">
        <f t="shared" ref="AK707:AK770" si="81">I707/J707*E707</f>
        <v>2011198.96538462</v>
      </c>
    </row>
    <row r="708" spans="1:37">
      <c r="A708" t="s">
        <v>771</v>
      </c>
      <c r="B708">
        <v>49</v>
      </c>
      <c r="C708" t="s">
        <v>44</v>
      </c>
      <c r="D708" t="s">
        <v>60</v>
      </c>
      <c r="E708">
        <v>760</v>
      </c>
      <c r="F708">
        <v>48</v>
      </c>
      <c r="G708">
        <v>2</v>
      </c>
      <c r="H708">
        <v>596.68</v>
      </c>
      <c r="I708">
        <v>1101.02</v>
      </c>
      <c r="J708">
        <v>26</v>
      </c>
      <c r="K708">
        <v>0</v>
      </c>
      <c r="L708">
        <v>22.9</v>
      </c>
      <c r="M708">
        <v>28.5</v>
      </c>
      <c r="N708" t="s">
        <v>52</v>
      </c>
      <c r="O708" t="s">
        <v>47</v>
      </c>
      <c r="P708" t="s">
        <v>58</v>
      </c>
      <c r="R708">
        <f>SUMIF(A708:A5707,"C00707",I708:I5707)</f>
        <v>1101.02</v>
      </c>
      <c r="S708" s="1">
        <v>2364.13</v>
      </c>
      <c r="T708">
        <f t="shared" si="78"/>
        <v>42.3469230769231</v>
      </c>
      <c r="U708">
        <f t="shared" si="79"/>
        <v>741</v>
      </c>
      <c r="V708">
        <f>U708/12</f>
        <v>61.75</v>
      </c>
      <c r="W708">
        <f t="shared" si="80"/>
        <v>566.233333333333</v>
      </c>
      <c r="X708">
        <f t="shared" si="77"/>
        <v>1.27371455386472</v>
      </c>
      <c r="AH708" t="str">
        <f t="shared" si="76"/>
        <v>3rd Quality</v>
      </c>
      <c r="AJ708">
        <f>((T708-X708)*2)/22.9</f>
        <v>3.58717978367322</v>
      </c>
      <c r="AK708">
        <f t="shared" si="81"/>
        <v>32183.6615384615</v>
      </c>
    </row>
    <row r="709" spans="1:37">
      <c r="A709" t="s">
        <v>772</v>
      </c>
      <c r="B709">
        <v>29</v>
      </c>
      <c r="C709" t="s">
        <v>56</v>
      </c>
      <c r="D709" t="s">
        <v>60</v>
      </c>
      <c r="E709">
        <v>820</v>
      </c>
      <c r="F709">
        <v>74</v>
      </c>
      <c r="G709">
        <v>2</v>
      </c>
      <c r="H709">
        <v>1294.19</v>
      </c>
      <c r="I709">
        <v>2364.13</v>
      </c>
      <c r="J709">
        <v>19</v>
      </c>
      <c r="K709">
        <v>0</v>
      </c>
      <c r="L709">
        <v>18.7</v>
      </c>
      <c r="M709">
        <v>15.3</v>
      </c>
      <c r="N709" t="s">
        <v>63</v>
      </c>
      <c r="O709" t="s">
        <v>47</v>
      </c>
      <c r="P709" t="s">
        <v>68</v>
      </c>
      <c r="R709">
        <f>SUMIF(A709:A5708,"C00708",I709:I5708)</f>
        <v>2364.13</v>
      </c>
      <c r="S709" s="1">
        <v>8522.4</v>
      </c>
      <c r="T709">
        <f t="shared" si="78"/>
        <v>124.427894736842</v>
      </c>
      <c r="U709">
        <f t="shared" si="79"/>
        <v>290.7</v>
      </c>
      <c r="V709">
        <f>U709/12</f>
        <v>24.225</v>
      </c>
      <c r="W709">
        <f t="shared" si="80"/>
        <v>1219.77333333333</v>
      </c>
      <c r="X709">
        <f t="shared" si="77"/>
        <v>0.633600939583832</v>
      </c>
      <c r="AH709" t="str">
        <f t="shared" si="76"/>
        <v>3rd Quality</v>
      </c>
      <c r="AJ709">
        <f>((T709-X709)*2)/18.7</f>
        <v>13.2400314221667</v>
      </c>
      <c r="AK709">
        <f t="shared" si="81"/>
        <v>102030.873684211</v>
      </c>
    </row>
    <row r="710" spans="1:37">
      <c r="A710" t="s">
        <v>773</v>
      </c>
      <c r="B710">
        <v>20</v>
      </c>
      <c r="C710" t="s">
        <v>44</v>
      </c>
      <c r="D710" t="s">
        <v>60</v>
      </c>
      <c r="E710">
        <v>994</v>
      </c>
      <c r="F710">
        <v>48</v>
      </c>
      <c r="G710">
        <v>10</v>
      </c>
      <c r="H710">
        <v>837.37</v>
      </c>
      <c r="I710">
        <v>8522.4</v>
      </c>
      <c r="J710">
        <v>36</v>
      </c>
      <c r="K710">
        <v>1</v>
      </c>
      <c r="L710">
        <v>32.4</v>
      </c>
      <c r="M710">
        <v>8.2</v>
      </c>
      <c r="N710" t="s">
        <v>78</v>
      </c>
      <c r="O710" t="s">
        <v>47</v>
      </c>
      <c r="P710" t="s">
        <v>58</v>
      </c>
      <c r="R710">
        <f>SUMIF(A710:A5709,"C00709",I710:I5709)</f>
        <v>8522.4</v>
      </c>
      <c r="S710" s="1">
        <v>13492.54</v>
      </c>
      <c r="T710">
        <f t="shared" si="78"/>
        <v>236.733333333333</v>
      </c>
      <c r="U710">
        <f t="shared" si="79"/>
        <v>295.2</v>
      </c>
      <c r="V710">
        <f>U710*1</f>
        <v>295.2</v>
      </c>
      <c r="W710">
        <f t="shared" si="80"/>
        <v>3120.25666666667</v>
      </c>
      <c r="X710">
        <f t="shared" si="77"/>
        <v>1.18704993013841</v>
      </c>
      <c r="AH710" t="str">
        <f t="shared" si="76"/>
        <v>3rd Quality</v>
      </c>
      <c r="AJ710">
        <f>((T710-X710)*2)/32.4</f>
        <v>14.5398940372342</v>
      </c>
      <c r="AK710">
        <f t="shared" si="81"/>
        <v>235312.933333333</v>
      </c>
    </row>
    <row r="711" spans="1:37">
      <c r="A711" t="s">
        <v>774</v>
      </c>
      <c r="B711">
        <v>21</v>
      </c>
      <c r="C711" t="s">
        <v>44</v>
      </c>
      <c r="D711" t="s">
        <v>45</v>
      </c>
      <c r="E711">
        <v>626</v>
      </c>
      <c r="F711">
        <v>74</v>
      </c>
      <c r="G711">
        <v>11</v>
      </c>
      <c r="H711">
        <v>1350.78</v>
      </c>
      <c r="I711">
        <v>13492.54</v>
      </c>
      <c r="J711">
        <v>80</v>
      </c>
      <c r="K711">
        <v>2</v>
      </c>
      <c r="L711">
        <v>18.9</v>
      </c>
      <c r="M711">
        <v>47</v>
      </c>
      <c r="N711" t="s">
        <v>52</v>
      </c>
      <c r="O711" t="s">
        <v>47</v>
      </c>
      <c r="P711" t="s">
        <v>58</v>
      </c>
      <c r="R711">
        <f>SUMIF(A711:A5710,"C00710",I711:I5710)</f>
        <v>13492.54</v>
      </c>
      <c r="S711" s="1">
        <v>1152.67</v>
      </c>
      <c r="T711">
        <f t="shared" si="78"/>
        <v>168.65675</v>
      </c>
      <c r="U711">
        <f t="shared" si="79"/>
        <v>3760</v>
      </c>
      <c r="V711">
        <f>U711*2</f>
        <v>7520</v>
      </c>
      <c r="W711">
        <f t="shared" si="80"/>
        <v>4948.10666666667</v>
      </c>
      <c r="X711">
        <f t="shared" si="77"/>
        <v>0.463435940715735</v>
      </c>
      <c r="AH711" t="str">
        <f t="shared" si="76"/>
        <v>3rd Quality</v>
      </c>
      <c r="AJ711">
        <f>((T711-X711)*2)/18.9</f>
        <v>17.7982342919878</v>
      </c>
      <c r="AK711">
        <f t="shared" si="81"/>
        <v>105579.1255</v>
      </c>
    </row>
    <row r="712" spans="1:37">
      <c r="A712" t="s">
        <v>775</v>
      </c>
      <c r="B712">
        <v>25</v>
      </c>
      <c r="C712" t="s">
        <v>50</v>
      </c>
      <c r="D712" t="s">
        <v>45</v>
      </c>
      <c r="E712">
        <v>450</v>
      </c>
      <c r="F712">
        <v>157</v>
      </c>
      <c r="G712">
        <v>1</v>
      </c>
      <c r="H712">
        <v>1279.11</v>
      </c>
      <c r="I712">
        <v>1152.67</v>
      </c>
      <c r="J712">
        <v>16</v>
      </c>
      <c r="K712">
        <v>0</v>
      </c>
      <c r="L712">
        <v>15.3</v>
      </c>
      <c r="M712">
        <v>60.7</v>
      </c>
      <c r="N712" t="s">
        <v>61</v>
      </c>
      <c r="O712" t="s">
        <v>47</v>
      </c>
      <c r="P712" t="s">
        <v>66</v>
      </c>
      <c r="R712">
        <f>SUMIF(A712:A5711,"C00711",I712:I5711)</f>
        <v>1152.67</v>
      </c>
      <c r="S712" s="1">
        <v>2864.36</v>
      </c>
      <c r="T712">
        <f t="shared" si="78"/>
        <v>72.041875</v>
      </c>
      <c r="U712">
        <f t="shared" si="79"/>
        <v>971.2</v>
      </c>
      <c r="V712">
        <f>U712/12</f>
        <v>80.9333333333333</v>
      </c>
      <c r="W712">
        <f t="shared" si="80"/>
        <v>810.926666666667</v>
      </c>
      <c r="X712">
        <f t="shared" si="77"/>
        <v>0.351807115885264</v>
      </c>
      <c r="AH712" t="str">
        <f t="shared" si="76"/>
        <v>3rd Quality</v>
      </c>
      <c r="AJ712">
        <f>((T712-X712)*2)/15.3</f>
        <v>9.37125070380585</v>
      </c>
      <c r="AK712">
        <f t="shared" si="81"/>
        <v>32418.84375</v>
      </c>
    </row>
    <row r="713" spans="1:37">
      <c r="A713" t="s">
        <v>776</v>
      </c>
      <c r="B713">
        <v>35</v>
      </c>
      <c r="C713" t="s">
        <v>44</v>
      </c>
      <c r="D713" t="s">
        <v>45</v>
      </c>
      <c r="E713">
        <v>1285</v>
      </c>
      <c r="F713">
        <v>108</v>
      </c>
      <c r="G713">
        <v>3</v>
      </c>
      <c r="H713">
        <v>901.98</v>
      </c>
      <c r="I713">
        <v>2864.36</v>
      </c>
      <c r="J713">
        <v>14</v>
      </c>
      <c r="K713">
        <v>0</v>
      </c>
      <c r="L713">
        <v>46.7</v>
      </c>
      <c r="M713">
        <v>31.5</v>
      </c>
      <c r="N713" t="s">
        <v>78</v>
      </c>
      <c r="O713" t="s">
        <v>75</v>
      </c>
      <c r="P713" t="s">
        <v>58</v>
      </c>
      <c r="R713">
        <f>SUMIF(A713:A5712,"C00712",I713:I5712)</f>
        <v>2864.36</v>
      </c>
      <c r="S713" s="1">
        <v>3765.48</v>
      </c>
      <c r="T713">
        <f t="shared" si="78"/>
        <v>204.597142857143</v>
      </c>
      <c r="U713">
        <f t="shared" si="79"/>
        <v>441</v>
      </c>
      <c r="V713">
        <f>U713/12</f>
        <v>36.75</v>
      </c>
      <c r="W713">
        <f t="shared" si="80"/>
        <v>1255.78</v>
      </c>
      <c r="X713">
        <f t="shared" si="77"/>
        <v>1.42464356194151</v>
      </c>
      <c r="AH713" t="str">
        <f t="shared" si="76"/>
        <v>3rd Quality</v>
      </c>
      <c r="AJ713">
        <f>((T713-X713)*2)/46.7</f>
        <v>8.70117770000863</v>
      </c>
      <c r="AK713">
        <f t="shared" si="81"/>
        <v>262907.328571429</v>
      </c>
    </row>
    <row r="714" spans="1:37">
      <c r="A714" t="s">
        <v>777</v>
      </c>
      <c r="B714">
        <v>22</v>
      </c>
      <c r="C714" t="s">
        <v>44</v>
      </c>
      <c r="D714" t="s">
        <v>60</v>
      </c>
      <c r="E714">
        <v>1191</v>
      </c>
      <c r="F714">
        <v>20</v>
      </c>
      <c r="G714">
        <v>5</v>
      </c>
      <c r="H714">
        <v>703.59</v>
      </c>
      <c r="I714">
        <v>3765.48</v>
      </c>
      <c r="J714">
        <v>29</v>
      </c>
      <c r="K714">
        <v>0</v>
      </c>
      <c r="L714">
        <v>35.5</v>
      </c>
      <c r="M714">
        <v>5.4</v>
      </c>
      <c r="N714" t="s">
        <v>57</v>
      </c>
      <c r="O714" t="s">
        <v>53</v>
      </c>
      <c r="P714" t="s">
        <v>58</v>
      </c>
      <c r="R714">
        <f>SUMIF(A714:A5713,"C00713",I714:I5713)</f>
        <v>3765.48</v>
      </c>
      <c r="S714" s="1">
        <v>4829.43</v>
      </c>
      <c r="T714">
        <f t="shared" si="78"/>
        <v>129.844137931034</v>
      </c>
      <c r="U714">
        <f t="shared" si="79"/>
        <v>156.6</v>
      </c>
      <c r="V714">
        <f>U714/12</f>
        <v>13.05</v>
      </c>
      <c r="W714">
        <f t="shared" si="80"/>
        <v>1490.02333333333</v>
      </c>
      <c r="X714">
        <f t="shared" si="77"/>
        <v>1.6927471965207</v>
      </c>
      <c r="AH714" t="str">
        <f t="shared" si="76"/>
        <v>3rd Quality</v>
      </c>
      <c r="AJ714">
        <f>((T714-X714)*2)/35.5</f>
        <v>7.21979666109934</v>
      </c>
      <c r="AK714">
        <f t="shared" si="81"/>
        <v>154644.368275862</v>
      </c>
    </row>
    <row r="715" spans="1:37">
      <c r="A715" t="s">
        <v>778</v>
      </c>
      <c r="B715">
        <v>33</v>
      </c>
      <c r="C715" t="s">
        <v>44</v>
      </c>
      <c r="D715" t="s">
        <v>45</v>
      </c>
      <c r="E715">
        <v>571</v>
      </c>
      <c r="F715">
        <v>109</v>
      </c>
      <c r="G715">
        <v>3</v>
      </c>
      <c r="H715">
        <v>1684.79</v>
      </c>
      <c r="I715">
        <v>4829.43</v>
      </c>
      <c r="J715">
        <v>22</v>
      </c>
      <c r="K715">
        <v>0</v>
      </c>
      <c r="L715">
        <v>25</v>
      </c>
      <c r="M715">
        <v>37</v>
      </c>
      <c r="N715" t="s">
        <v>52</v>
      </c>
      <c r="O715" t="s">
        <v>47</v>
      </c>
      <c r="P715" t="s">
        <v>68</v>
      </c>
      <c r="R715">
        <f>SUMIF(A715:A5714,"C00714",I715:I5714)</f>
        <v>4829.43</v>
      </c>
      <c r="S715" s="1">
        <v>2756.83</v>
      </c>
      <c r="T715">
        <f t="shared" si="78"/>
        <v>219.519545454545</v>
      </c>
      <c r="U715">
        <f t="shared" si="79"/>
        <v>814</v>
      </c>
      <c r="V715">
        <f>U715/12</f>
        <v>67.8333333333333</v>
      </c>
      <c r="W715">
        <f t="shared" si="80"/>
        <v>2171.74</v>
      </c>
      <c r="X715">
        <f t="shared" si="77"/>
        <v>0.338914642180925</v>
      </c>
      <c r="AH715" t="str">
        <f t="shared" si="76"/>
        <v>3rd Quality</v>
      </c>
      <c r="AJ715">
        <f>((T715-X715)*2)/25</f>
        <v>17.5344504649891</v>
      </c>
      <c r="AK715">
        <f t="shared" si="81"/>
        <v>125345.660454545</v>
      </c>
    </row>
    <row r="716" spans="1:37">
      <c r="A716" t="s">
        <v>779</v>
      </c>
      <c r="B716">
        <v>21</v>
      </c>
      <c r="C716" t="s">
        <v>44</v>
      </c>
      <c r="D716" t="s">
        <v>51</v>
      </c>
      <c r="E716">
        <v>932</v>
      </c>
      <c r="F716">
        <v>64</v>
      </c>
      <c r="G716">
        <v>2</v>
      </c>
      <c r="H716">
        <v>1351.98</v>
      </c>
      <c r="I716">
        <v>2756.83</v>
      </c>
      <c r="J716">
        <v>19</v>
      </c>
      <c r="K716">
        <v>0</v>
      </c>
      <c r="L716">
        <v>40.5</v>
      </c>
      <c r="M716">
        <v>30.7</v>
      </c>
      <c r="N716" t="s">
        <v>61</v>
      </c>
      <c r="O716" t="s">
        <v>53</v>
      </c>
      <c r="P716" t="s">
        <v>58</v>
      </c>
      <c r="R716">
        <f>SUMIF(A716:A5715,"C00715",I716:I5715)</f>
        <v>2756.83</v>
      </c>
      <c r="S716" s="1">
        <v>65192</v>
      </c>
      <c r="T716">
        <f t="shared" si="78"/>
        <v>145.096315789474</v>
      </c>
      <c r="U716">
        <f t="shared" si="79"/>
        <v>583.3</v>
      </c>
      <c r="V716">
        <f>U716/12</f>
        <v>48.6083333333333</v>
      </c>
      <c r="W716">
        <f t="shared" si="80"/>
        <v>1369.93666666667</v>
      </c>
      <c r="X716">
        <f t="shared" si="77"/>
        <v>0.689359310048965</v>
      </c>
      <c r="AH716" t="str">
        <f t="shared" si="76"/>
        <v>3rd Quality</v>
      </c>
      <c r="AJ716">
        <f>((T716-X716)*2)/40.5</f>
        <v>7.13120772737901</v>
      </c>
      <c r="AK716">
        <f t="shared" si="81"/>
        <v>135229.766315789</v>
      </c>
    </row>
    <row r="717" spans="1:37">
      <c r="A717" t="s">
        <v>780</v>
      </c>
      <c r="B717">
        <v>31</v>
      </c>
      <c r="C717" t="s">
        <v>44</v>
      </c>
      <c r="D717" t="s">
        <v>60</v>
      </c>
      <c r="E717">
        <v>1183</v>
      </c>
      <c r="F717">
        <v>8</v>
      </c>
      <c r="G717">
        <v>25</v>
      </c>
      <c r="H717">
        <v>2464.33</v>
      </c>
      <c r="I717">
        <v>65192</v>
      </c>
      <c r="J717">
        <v>186</v>
      </c>
      <c r="K717">
        <v>2</v>
      </c>
      <c r="L717">
        <v>0</v>
      </c>
      <c r="M717">
        <v>21.2</v>
      </c>
      <c r="N717" t="s">
        <v>63</v>
      </c>
      <c r="O717" t="s">
        <v>53</v>
      </c>
      <c r="P717" t="s">
        <v>58</v>
      </c>
      <c r="R717">
        <f>SUMIF(A717:A5716,"C00716",I717:I5716)</f>
        <v>65192</v>
      </c>
      <c r="S717" s="1">
        <v>6503.42</v>
      </c>
      <c r="T717">
        <f t="shared" si="78"/>
        <v>350.494623655914</v>
      </c>
      <c r="U717">
        <f t="shared" si="79"/>
        <v>3943.2</v>
      </c>
      <c r="V717">
        <f>U717*2</f>
        <v>7886.4</v>
      </c>
      <c r="W717">
        <f t="shared" si="80"/>
        <v>22552.4433333333</v>
      </c>
      <c r="X717">
        <f t="shared" si="77"/>
        <v>0.480049344040774</v>
      </c>
      <c r="AH717" t="str">
        <f t="shared" si="76"/>
        <v>1st Quality</v>
      </c>
      <c r="AJ717">
        <f>((T717-X717)*2)</f>
        <v>700.029148623746</v>
      </c>
      <c r="AK717">
        <f t="shared" si="81"/>
        <v>414635.139784946</v>
      </c>
    </row>
    <row r="718" spans="1:37">
      <c r="A718" t="s">
        <v>781</v>
      </c>
      <c r="B718">
        <v>55</v>
      </c>
      <c r="C718" t="s">
        <v>50</v>
      </c>
      <c r="D718" t="s">
        <v>45</v>
      </c>
      <c r="E718">
        <v>1442</v>
      </c>
      <c r="F718">
        <v>47</v>
      </c>
      <c r="G718">
        <v>1</v>
      </c>
      <c r="H718">
        <v>7292.88</v>
      </c>
      <c r="I718">
        <v>6503.42</v>
      </c>
      <c r="J718">
        <v>15</v>
      </c>
      <c r="K718">
        <v>0</v>
      </c>
      <c r="L718">
        <v>16.7</v>
      </c>
      <c r="M718">
        <v>10.1</v>
      </c>
      <c r="N718" t="s">
        <v>63</v>
      </c>
      <c r="O718" t="s">
        <v>47</v>
      </c>
      <c r="P718" t="s">
        <v>66</v>
      </c>
      <c r="R718">
        <f>SUMIF(A718:A5717,"C00717",I718:I5717)</f>
        <v>6503.42</v>
      </c>
      <c r="S718" s="1">
        <v>73244.46</v>
      </c>
      <c r="T718">
        <f t="shared" si="78"/>
        <v>433.561333333333</v>
      </c>
      <c r="U718">
        <f t="shared" si="79"/>
        <v>151.5</v>
      </c>
      <c r="V718">
        <f>U718/12</f>
        <v>12.625</v>
      </c>
      <c r="W718">
        <f t="shared" si="80"/>
        <v>4599.1</v>
      </c>
      <c r="X718">
        <f t="shared" si="77"/>
        <v>0.197727098210858</v>
      </c>
      <c r="AH718" t="str">
        <f t="shared" ref="AH718:AH781" si="82">IF(AND(W718&gt;=12550,B718&lt;=33,E718&gt;=915),"1st Quality",IF(AND(W718&gt;=6275,B718&lt;=43,E718&gt;=457),"2nd Quality","3rd Quality"))</f>
        <v>3rd Quality</v>
      </c>
      <c r="AJ718">
        <f>((T718-X718)*2)/16.7</f>
        <v>51.8998330820506</v>
      </c>
      <c r="AK718">
        <f t="shared" si="81"/>
        <v>625195.442666667</v>
      </c>
    </row>
    <row r="719" spans="1:37">
      <c r="A719" t="s">
        <v>782</v>
      </c>
      <c r="B719">
        <v>36</v>
      </c>
      <c r="C719" t="s">
        <v>44</v>
      </c>
      <c r="D719" t="s">
        <v>45</v>
      </c>
      <c r="E719">
        <v>1382</v>
      </c>
      <c r="F719">
        <v>36</v>
      </c>
      <c r="G719">
        <v>25</v>
      </c>
      <c r="H719">
        <v>2838.03</v>
      </c>
      <c r="I719">
        <v>73244.46</v>
      </c>
      <c r="J719">
        <v>82</v>
      </c>
      <c r="K719">
        <v>2</v>
      </c>
      <c r="L719">
        <v>20.7</v>
      </c>
      <c r="M719">
        <v>32.6</v>
      </c>
      <c r="N719" t="s">
        <v>57</v>
      </c>
      <c r="O719" t="s">
        <v>47</v>
      </c>
      <c r="P719" t="s">
        <v>58</v>
      </c>
      <c r="R719">
        <f>SUMIF(A719:A5718,"C00718",I719:I5718)</f>
        <v>73244.46</v>
      </c>
      <c r="S719" s="1">
        <v>31560</v>
      </c>
      <c r="T719">
        <f t="shared" si="78"/>
        <v>893.22512195122</v>
      </c>
      <c r="U719">
        <f t="shared" si="79"/>
        <v>2673.2</v>
      </c>
      <c r="V719">
        <f>U719*2</f>
        <v>5346.4</v>
      </c>
      <c r="W719">
        <f t="shared" si="80"/>
        <v>25361.1633333333</v>
      </c>
      <c r="X719">
        <f t="shared" si="77"/>
        <v>0.486957502211041</v>
      </c>
      <c r="AH719" t="str">
        <f t="shared" si="82"/>
        <v>2nd Quality</v>
      </c>
      <c r="AJ719">
        <f>((T719-X719)*2)/20.7</f>
        <v>86.2548951158463</v>
      </c>
      <c r="AK719">
        <f t="shared" si="81"/>
        <v>1234437.11853659</v>
      </c>
    </row>
    <row r="720" spans="1:37">
      <c r="A720" t="s">
        <v>783</v>
      </c>
      <c r="B720">
        <v>22</v>
      </c>
      <c r="C720" t="s">
        <v>50</v>
      </c>
      <c r="D720" t="s">
        <v>60</v>
      </c>
      <c r="E720">
        <v>442</v>
      </c>
      <c r="F720">
        <v>16</v>
      </c>
      <c r="G720">
        <v>2</v>
      </c>
      <c r="H720">
        <v>16633.51</v>
      </c>
      <c r="I720">
        <v>31560</v>
      </c>
      <c r="J720">
        <v>20</v>
      </c>
      <c r="K720">
        <v>0</v>
      </c>
      <c r="L720">
        <v>2.9</v>
      </c>
      <c r="M720">
        <v>12.3</v>
      </c>
      <c r="N720" t="s">
        <v>46</v>
      </c>
      <c r="O720" t="s">
        <v>75</v>
      </c>
      <c r="P720" t="s">
        <v>58</v>
      </c>
      <c r="R720">
        <f>SUMIF(A720:A5719,"C00719",I720:I5719)</f>
        <v>31560</v>
      </c>
      <c r="S720" s="1">
        <v>1607.16</v>
      </c>
      <c r="T720">
        <f t="shared" si="78"/>
        <v>1578</v>
      </c>
      <c r="U720">
        <f t="shared" si="79"/>
        <v>246</v>
      </c>
      <c r="V720">
        <f>U720/12</f>
        <v>20.5</v>
      </c>
      <c r="W720">
        <f t="shared" si="80"/>
        <v>16064.8366666667</v>
      </c>
      <c r="X720">
        <f t="shared" si="77"/>
        <v>0.0265728640557525</v>
      </c>
      <c r="AH720" t="str">
        <f t="shared" si="82"/>
        <v>3rd Quality</v>
      </c>
      <c r="AJ720">
        <f>((T720-X720)*2)/2.9</f>
        <v>1088.25753595582</v>
      </c>
      <c r="AK720">
        <f t="shared" si="81"/>
        <v>697476</v>
      </c>
    </row>
    <row r="721" spans="1:37">
      <c r="A721" t="s">
        <v>784</v>
      </c>
      <c r="B721">
        <v>64</v>
      </c>
      <c r="C721" t="s">
        <v>44</v>
      </c>
      <c r="D721" t="s">
        <v>45</v>
      </c>
      <c r="E721">
        <v>1266</v>
      </c>
      <c r="F721">
        <v>307</v>
      </c>
      <c r="G721">
        <v>1</v>
      </c>
      <c r="H721">
        <v>1643</v>
      </c>
      <c r="I721">
        <v>1607.16</v>
      </c>
      <c r="J721">
        <v>9</v>
      </c>
      <c r="K721">
        <v>0</v>
      </c>
      <c r="L721">
        <v>22.3</v>
      </c>
      <c r="M721">
        <v>2.3</v>
      </c>
      <c r="N721" t="s">
        <v>63</v>
      </c>
      <c r="O721" t="s">
        <v>47</v>
      </c>
      <c r="P721" t="s">
        <v>68</v>
      </c>
      <c r="R721">
        <f>SUMIF(A721:A5720,"C00720",I721:I5720)</f>
        <v>1607.16</v>
      </c>
      <c r="S721" s="1">
        <v>58643.02</v>
      </c>
      <c r="T721">
        <f t="shared" si="78"/>
        <v>178.573333333333</v>
      </c>
      <c r="U721">
        <f t="shared" si="79"/>
        <v>20.7</v>
      </c>
      <c r="V721">
        <f>U721/12</f>
        <v>1.725</v>
      </c>
      <c r="W721">
        <f t="shared" si="80"/>
        <v>1083.72</v>
      </c>
      <c r="X721">
        <f t="shared" si="77"/>
        <v>0.77054169202678</v>
      </c>
      <c r="AH721" t="str">
        <f t="shared" si="82"/>
        <v>3rd Quality</v>
      </c>
      <c r="AJ721">
        <f>((T721-X721)*2)/22.3</f>
        <v>15.9464387122248</v>
      </c>
      <c r="AK721">
        <f t="shared" si="81"/>
        <v>226073.84</v>
      </c>
    </row>
    <row r="722" spans="1:37">
      <c r="A722" t="s">
        <v>785</v>
      </c>
      <c r="B722">
        <v>45</v>
      </c>
      <c r="C722" t="s">
        <v>50</v>
      </c>
      <c r="D722" t="s">
        <v>45</v>
      </c>
      <c r="E722">
        <v>525</v>
      </c>
      <c r="F722">
        <v>71</v>
      </c>
      <c r="G722">
        <v>4</v>
      </c>
      <c r="H722">
        <v>15184.71</v>
      </c>
      <c r="I722">
        <v>58643.02</v>
      </c>
      <c r="J722">
        <v>22</v>
      </c>
      <c r="K722">
        <v>0</v>
      </c>
      <c r="L722">
        <v>12.8</v>
      </c>
      <c r="M722">
        <v>3.8</v>
      </c>
      <c r="N722" t="s">
        <v>46</v>
      </c>
      <c r="O722" t="s">
        <v>47</v>
      </c>
      <c r="P722" t="s">
        <v>58</v>
      </c>
      <c r="R722">
        <f>SUMIF(A722:A5721,"C00721",I722:I5721)</f>
        <v>58643.02</v>
      </c>
      <c r="S722" s="1">
        <v>3985.12</v>
      </c>
      <c r="T722">
        <f t="shared" si="78"/>
        <v>2665.59181818182</v>
      </c>
      <c r="U722">
        <f t="shared" si="79"/>
        <v>83.6</v>
      </c>
      <c r="V722">
        <f>U722/12</f>
        <v>6.96666666666667</v>
      </c>
      <c r="W722">
        <f t="shared" si="80"/>
        <v>24609.5766666667</v>
      </c>
      <c r="X722">
        <f t="shared" si="77"/>
        <v>0.034574252652833</v>
      </c>
      <c r="AH722" t="str">
        <f t="shared" si="82"/>
        <v>3rd Quality</v>
      </c>
      <c r="AJ722">
        <f>((T722-X722)*2)/12.8</f>
        <v>416.493319363932</v>
      </c>
      <c r="AK722">
        <f t="shared" si="81"/>
        <v>1399435.70454545</v>
      </c>
    </row>
    <row r="723" spans="1:37">
      <c r="A723" t="s">
        <v>786</v>
      </c>
      <c r="B723">
        <v>41</v>
      </c>
      <c r="C723" t="s">
        <v>50</v>
      </c>
      <c r="D723" t="s">
        <v>45</v>
      </c>
      <c r="E723">
        <v>1060</v>
      </c>
      <c r="F723">
        <v>82</v>
      </c>
      <c r="G723">
        <v>3</v>
      </c>
      <c r="H723">
        <v>1262.23</v>
      </c>
      <c r="I723">
        <v>3985.12</v>
      </c>
      <c r="J723">
        <v>28</v>
      </c>
      <c r="K723">
        <v>0</v>
      </c>
      <c r="L723">
        <v>17</v>
      </c>
      <c r="M723">
        <v>43.7</v>
      </c>
      <c r="N723" t="s">
        <v>63</v>
      </c>
      <c r="O723" t="s">
        <v>53</v>
      </c>
      <c r="P723" t="s">
        <v>58</v>
      </c>
      <c r="R723">
        <f>SUMIF(A723:A5722,"C00722",I723:I5722)</f>
        <v>3985.12</v>
      </c>
      <c r="S723" s="1">
        <v>139755.68</v>
      </c>
      <c r="T723">
        <f t="shared" si="78"/>
        <v>142.325714285714</v>
      </c>
      <c r="U723">
        <f t="shared" si="79"/>
        <v>1223.6</v>
      </c>
      <c r="V723">
        <f>U723/12</f>
        <v>101.966666666667</v>
      </c>
      <c r="W723">
        <f t="shared" si="80"/>
        <v>1749.45</v>
      </c>
      <c r="X723">
        <f t="shared" si="77"/>
        <v>0.83978355767174</v>
      </c>
      <c r="AH723" t="str">
        <f t="shared" si="82"/>
        <v>3rd Quality</v>
      </c>
      <c r="AJ723">
        <f>((T723-X723)*2)/17</f>
        <v>16.6454036150638</v>
      </c>
      <c r="AK723">
        <f t="shared" si="81"/>
        <v>150865.257142857</v>
      </c>
    </row>
    <row r="724" spans="1:37">
      <c r="A724" t="s">
        <v>787</v>
      </c>
      <c r="B724">
        <v>30</v>
      </c>
      <c r="C724" t="s">
        <v>50</v>
      </c>
      <c r="D724" t="s">
        <v>45</v>
      </c>
      <c r="E724">
        <v>1015</v>
      </c>
      <c r="F724">
        <v>4</v>
      </c>
      <c r="G724">
        <v>28</v>
      </c>
      <c r="H724">
        <v>5028.96</v>
      </c>
      <c r="I724">
        <v>139755.68</v>
      </c>
      <c r="J724">
        <v>149</v>
      </c>
      <c r="K724">
        <v>2</v>
      </c>
      <c r="L724">
        <v>15.4</v>
      </c>
      <c r="M724">
        <v>9.8</v>
      </c>
      <c r="N724" t="s">
        <v>46</v>
      </c>
      <c r="O724" t="s">
        <v>47</v>
      </c>
      <c r="P724" t="s">
        <v>48</v>
      </c>
      <c r="R724">
        <f>SUMIF(A724:A5723,"C00723",I724:I5723)</f>
        <v>139755.68</v>
      </c>
      <c r="S724" s="1">
        <v>4217.03</v>
      </c>
      <c r="T724">
        <f t="shared" si="78"/>
        <v>937.957583892617</v>
      </c>
      <c r="U724">
        <f t="shared" si="79"/>
        <v>1460.2</v>
      </c>
      <c r="V724">
        <f>U724*2</f>
        <v>2920.4</v>
      </c>
      <c r="W724">
        <f t="shared" si="80"/>
        <v>48261.88</v>
      </c>
      <c r="X724">
        <f t="shared" si="77"/>
        <v>0.201830994877669</v>
      </c>
      <c r="AH724" t="str">
        <f t="shared" si="82"/>
        <v>1st Quality</v>
      </c>
      <c r="AJ724">
        <f>((T724-X724)*2)/15.4</f>
        <v>121.786461415291</v>
      </c>
      <c r="AK724">
        <f t="shared" si="81"/>
        <v>952026.947651007</v>
      </c>
    </row>
    <row r="725" spans="1:37">
      <c r="A725" t="s">
        <v>788</v>
      </c>
      <c r="B725">
        <v>42</v>
      </c>
      <c r="C725" t="s">
        <v>50</v>
      </c>
      <c r="D725" t="s">
        <v>60</v>
      </c>
      <c r="E725">
        <v>1377</v>
      </c>
      <c r="F725">
        <v>365</v>
      </c>
      <c r="G725">
        <v>2</v>
      </c>
      <c r="H725">
        <v>1984.64</v>
      </c>
      <c r="I725">
        <v>4217.03</v>
      </c>
      <c r="J725">
        <v>18</v>
      </c>
      <c r="K725">
        <v>0</v>
      </c>
      <c r="L725">
        <v>12.6</v>
      </c>
      <c r="M725">
        <v>42.2</v>
      </c>
      <c r="N725" t="s">
        <v>57</v>
      </c>
      <c r="O725" t="s">
        <v>47</v>
      </c>
      <c r="P725" t="s">
        <v>58</v>
      </c>
      <c r="R725">
        <f>SUMIF(A725:A5724,"C00724",I725:I5724)</f>
        <v>4217.03</v>
      </c>
      <c r="S725" s="1">
        <v>56628.94</v>
      </c>
      <c r="T725">
        <f t="shared" si="78"/>
        <v>234.279444444444</v>
      </c>
      <c r="U725">
        <f t="shared" si="79"/>
        <v>759.6</v>
      </c>
      <c r="V725">
        <f>U725/12</f>
        <v>63.3</v>
      </c>
      <c r="W725">
        <f t="shared" si="80"/>
        <v>2067.55666666667</v>
      </c>
      <c r="X725">
        <f t="shared" si="77"/>
        <v>0.693828603676233</v>
      </c>
      <c r="AH725" t="str">
        <f t="shared" si="82"/>
        <v>3rd Quality</v>
      </c>
      <c r="AJ725">
        <f>((T725-X725)*2)/12.6</f>
        <v>37.077081879487</v>
      </c>
      <c r="AK725">
        <f t="shared" si="81"/>
        <v>322602.795</v>
      </c>
    </row>
    <row r="726" spans="1:37">
      <c r="A726" t="s">
        <v>789</v>
      </c>
      <c r="B726">
        <v>41</v>
      </c>
      <c r="C726" t="s">
        <v>44</v>
      </c>
      <c r="D726" t="s">
        <v>45</v>
      </c>
      <c r="E726">
        <v>1005</v>
      </c>
      <c r="F726">
        <v>3</v>
      </c>
      <c r="G726">
        <v>15</v>
      </c>
      <c r="H726">
        <v>3950.67</v>
      </c>
      <c r="I726">
        <v>56628.94</v>
      </c>
      <c r="J726">
        <v>83</v>
      </c>
      <c r="K726">
        <v>1</v>
      </c>
      <c r="L726">
        <v>27.1</v>
      </c>
      <c r="M726">
        <v>19.2</v>
      </c>
      <c r="N726" t="s">
        <v>63</v>
      </c>
      <c r="O726" t="s">
        <v>75</v>
      </c>
      <c r="P726" t="s">
        <v>58</v>
      </c>
      <c r="R726">
        <f>SUMIF(A726:A5725,"C00725",I726:I5725)</f>
        <v>56628.94</v>
      </c>
      <c r="S726" s="1">
        <v>46819.25</v>
      </c>
      <c r="T726">
        <f t="shared" si="78"/>
        <v>682.276385542169</v>
      </c>
      <c r="U726">
        <f t="shared" si="79"/>
        <v>1593.6</v>
      </c>
      <c r="V726">
        <f>U726*1</f>
        <v>1593.6</v>
      </c>
      <c r="W726">
        <f t="shared" si="80"/>
        <v>20193.5366666667</v>
      </c>
      <c r="X726">
        <f t="shared" si="77"/>
        <v>0.254387230520393</v>
      </c>
      <c r="AH726" t="str">
        <f t="shared" si="82"/>
        <v>2nd Quality</v>
      </c>
      <c r="AJ726">
        <f>((T726-X726)*2)/27.1</f>
        <v>50.3337268126678</v>
      </c>
      <c r="AK726">
        <f t="shared" si="81"/>
        <v>685687.767469879</v>
      </c>
    </row>
    <row r="727" spans="1:37">
      <c r="A727" t="s">
        <v>790</v>
      </c>
      <c r="B727">
        <v>22</v>
      </c>
      <c r="C727" t="s">
        <v>44</v>
      </c>
      <c r="D727" t="s">
        <v>60</v>
      </c>
      <c r="E727">
        <v>903</v>
      </c>
      <c r="F727">
        <v>3</v>
      </c>
      <c r="G727">
        <v>25</v>
      </c>
      <c r="H727">
        <v>1854.4</v>
      </c>
      <c r="I727">
        <v>46819.25</v>
      </c>
      <c r="J727">
        <v>105</v>
      </c>
      <c r="K727">
        <v>4</v>
      </c>
      <c r="L727">
        <v>10.1</v>
      </c>
      <c r="M727">
        <v>53.9</v>
      </c>
      <c r="N727" t="s">
        <v>63</v>
      </c>
      <c r="O727" t="s">
        <v>47</v>
      </c>
      <c r="P727" t="s">
        <v>58</v>
      </c>
      <c r="R727">
        <f>SUMIF(A727:A5726,"C00726",I727:I5726)</f>
        <v>46819.25</v>
      </c>
      <c r="S727" s="1">
        <v>8928.22</v>
      </c>
      <c r="T727">
        <f t="shared" si="78"/>
        <v>445.897619047619</v>
      </c>
      <c r="U727">
        <f t="shared" si="79"/>
        <v>5659.5</v>
      </c>
      <c r="V727">
        <f>U727*4</f>
        <v>22638</v>
      </c>
      <c r="W727">
        <f t="shared" si="80"/>
        <v>16224.8833333333</v>
      </c>
      <c r="X727">
        <f t="shared" si="77"/>
        <v>0.486949956859361</v>
      </c>
      <c r="AH727" t="str">
        <f t="shared" si="82"/>
        <v>2nd Quality</v>
      </c>
      <c r="AJ727">
        <f>((T727-X727)*2)/10.1</f>
        <v>88.2001324932197</v>
      </c>
      <c r="AK727">
        <f t="shared" si="81"/>
        <v>402645.55</v>
      </c>
    </row>
    <row r="728" spans="1:37">
      <c r="A728" t="s">
        <v>791</v>
      </c>
      <c r="B728">
        <v>45</v>
      </c>
      <c r="C728" t="s">
        <v>44</v>
      </c>
      <c r="D728" t="s">
        <v>60</v>
      </c>
      <c r="E728">
        <v>1031</v>
      </c>
      <c r="F728">
        <v>37</v>
      </c>
      <c r="G728">
        <v>11</v>
      </c>
      <c r="H728">
        <v>739.43</v>
      </c>
      <c r="I728">
        <v>8928.22</v>
      </c>
      <c r="J728">
        <v>86</v>
      </c>
      <c r="K728">
        <v>6</v>
      </c>
      <c r="L728">
        <v>26</v>
      </c>
      <c r="M728">
        <v>17.9</v>
      </c>
      <c r="N728" t="s">
        <v>46</v>
      </c>
      <c r="O728" t="s">
        <v>47</v>
      </c>
      <c r="P728" t="s">
        <v>58</v>
      </c>
      <c r="R728">
        <f>SUMIF(A728:A5727,"C00727",I728:I5727)</f>
        <v>8928.22</v>
      </c>
      <c r="S728" s="1">
        <v>99422.37</v>
      </c>
      <c r="T728">
        <f t="shared" si="78"/>
        <v>103.816511627907</v>
      </c>
      <c r="U728">
        <f t="shared" si="79"/>
        <v>1539.4</v>
      </c>
      <c r="V728">
        <f>U728*6</f>
        <v>9236.4</v>
      </c>
      <c r="W728">
        <f t="shared" si="80"/>
        <v>3222.88333333333</v>
      </c>
      <c r="X728">
        <f t="shared" si="77"/>
        <v>1.3943172443639</v>
      </c>
      <c r="AH728" t="str">
        <f t="shared" si="82"/>
        <v>3rd Quality</v>
      </c>
      <c r="AJ728">
        <f>((T728-X728)*2)/26</f>
        <v>7.87863033719562</v>
      </c>
      <c r="AK728">
        <f t="shared" si="81"/>
        <v>107034.823488372</v>
      </c>
    </row>
    <row r="729" spans="1:37">
      <c r="A729" t="s">
        <v>792</v>
      </c>
      <c r="B729">
        <v>43</v>
      </c>
      <c r="C729" t="s">
        <v>44</v>
      </c>
      <c r="D729" t="s">
        <v>51</v>
      </c>
      <c r="E729">
        <v>452</v>
      </c>
      <c r="F729">
        <v>7</v>
      </c>
      <c r="G729">
        <v>21</v>
      </c>
      <c r="H729">
        <v>4805.82</v>
      </c>
      <c r="I729">
        <v>99422.37</v>
      </c>
      <c r="J729">
        <v>128</v>
      </c>
      <c r="K729">
        <v>2</v>
      </c>
      <c r="L729">
        <v>0</v>
      </c>
      <c r="M729">
        <v>40</v>
      </c>
      <c r="N729" t="s">
        <v>78</v>
      </c>
      <c r="O729" t="s">
        <v>53</v>
      </c>
      <c r="P729" t="s">
        <v>58</v>
      </c>
      <c r="R729">
        <f>SUMIF(A729:A5728,"C00728",I729:I5728)</f>
        <v>99422.37</v>
      </c>
      <c r="S729" s="1">
        <v>12329.12</v>
      </c>
      <c r="T729">
        <f t="shared" si="78"/>
        <v>776.737265625</v>
      </c>
      <c r="U729">
        <f t="shared" si="79"/>
        <v>5120</v>
      </c>
      <c r="V729">
        <f>U729*2</f>
        <v>10240</v>
      </c>
      <c r="W729">
        <f t="shared" si="80"/>
        <v>34743.0633333333</v>
      </c>
      <c r="X729">
        <f t="shared" si="77"/>
        <v>0.094052627855392</v>
      </c>
      <c r="AH729" t="str">
        <f t="shared" si="82"/>
        <v>3rd Quality</v>
      </c>
      <c r="AJ729">
        <f>((T729-X729)*2)</f>
        <v>1553.28642599429</v>
      </c>
      <c r="AK729">
        <f t="shared" si="81"/>
        <v>351085.2440625</v>
      </c>
    </row>
    <row r="730" spans="1:37">
      <c r="A730" t="s">
        <v>793</v>
      </c>
      <c r="B730">
        <v>33</v>
      </c>
      <c r="C730" t="s">
        <v>50</v>
      </c>
      <c r="D730" t="s">
        <v>45</v>
      </c>
      <c r="E730">
        <v>402</v>
      </c>
      <c r="F730">
        <v>99</v>
      </c>
      <c r="G730">
        <v>6</v>
      </c>
      <c r="H730">
        <v>2017.9</v>
      </c>
      <c r="I730">
        <v>12329.12</v>
      </c>
      <c r="J730">
        <v>31</v>
      </c>
      <c r="K730">
        <v>0</v>
      </c>
      <c r="L730">
        <v>24.8</v>
      </c>
      <c r="M730">
        <v>35.7</v>
      </c>
      <c r="N730" t="s">
        <v>63</v>
      </c>
      <c r="O730" t="s">
        <v>53</v>
      </c>
      <c r="P730" t="s">
        <v>58</v>
      </c>
      <c r="R730">
        <f>SUMIF(A730:A5729,"C00729",I730:I5729)</f>
        <v>12329.12</v>
      </c>
      <c r="S730" s="1">
        <v>173722.84</v>
      </c>
      <c r="T730">
        <f t="shared" si="78"/>
        <v>397.713548387097</v>
      </c>
      <c r="U730">
        <f t="shared" si="79"/>
        <v>1106.7</v>
      </c>
      <c r="V730">
        <f>U730/12</f>
        <v>92.225</v>
      </c>
      <c r="W730">
        <f t="shared" si="80"/>
        <v>4782.67333333333</v>
      </c>
      <c r="X730">
        <f t="shared" si="77"/>
        <v>0.199217007780366</v>
      </c>
      <c r="AH730" t="str">
        <f t="shared" si="82"/>
        <v>3rd Quality</v>
      </c>
      <c r="AJ730">
        <f>((T730-X730)*2)/24.8</f>
        <v>32.0576073692997</v>
      </c>
      <c r="AK730">
        <f t="shared" si="81"/>
        <v>159880.846451613</v>
      </c>
    </row>
    <row r="731" spans="1:37">
      <c r="A731" t="s">
        <v>794</v>
      </c>
      <c r="B731">
        <v>27</v>
      </c>
      <c r="C731" t="s">
        <v>44</v>
      </c>
      <c r="D731" t="s">
        <v>45</v>
      </c>
      <c r="E731">
        <v>1171</v>
      </c>
      <c r="F731">
        <v>4</v>
      </c>
      <c r="G731">
        <v>7</v>
      </c>
      <c r="H731">
        <v>23841.91</v>
      </c>
      <c r="I731">
        <v>173722.84</v>
      </c>
      <c r="J731">
        <v>61</v>
      </c>
      <c r="K731">
        <v>0</v>
      </c>
      <c r="L731">
        <v>14.5</v>
      </c>
      <c r="M731">
        <v>7</v>
      </c>
      <c r="N731" t="s">
        <v>63</v>
      </c>
      <c r="O731" t="s">
        <v>47</v>
      </c>
      <c r="P731" t="s">
        <v>58</v>
      </c>
      <c r="R731">
        <f>SUMIF(A731:A5730,"C00730",I731:I5730)</f>
        <v>173722.84</v>
      </c>
      <c r="S731" s="1">
        <v>5904.52</v>
      </c>
      <c r="T731">
        <f t="shared" si="78"/>
        <v>2847.91540983607</v>
      </c>
      <c r="U731">
        <f t="shared" si="79"/>
        <v>427</v>
      </c>
      <c r="V731">
        <f>U731/12</f>
        <v>35.5833333333333</v>
      </c>
      <c r="W731">
        <f t="shared" si="80"/>
        <v>65855.25</v>
      </c>
      <c r="X731">
        <f t="shared" si="77"/>
        <v>0.049115192532813</v>
      </c>
      <c r="AH731" t="str">
        <f t="shared" si="82"/>
        <v>1st Quality</v>
      </c>
      <c r="AJ731">
        <f>((T731-X731)*2)/14.5</f>
        <v>392.809144088764</v>
      </c>
      <c r="AK731">
        <f t="shared" si="81"/>
        <v>3334908.94491803</v>
      </c>
    </row>
    <row r="732" spans="1:37">
      <c r="A732" t="s">
        <v>795</v>
      </c>
      <c r="B732">
        <v>48</v>
      </c>
      <c r="C732" t="s">
        <v>50</v>
      </c>
      <c r="D732" t="s">
        <v>45</v>
      </c>
      <c r="E732">
        <v>912</v>
      </c>
      <c r="F732">
        <v>37</v>
      </c>
      <c r="G732">
        <v>7</v>
      </c>
      <c r="H732">
        <v>767.55</v>
      </c>
      <c r="I732">
        <v>5904.52</v>
      </c>
      <c r="J732">
        <v>59</v>
      </c>
      <c r="K732">
        <v>1</v>
      </c>
      <c r="L732">
        <v>15.7</v>
      </c>
      <c r="M732">
        <v>21</v>
      </c>
      <c r="N732" t="s">
        <v>57</v>
      </c>
      <c r="O732" t="s">
        <v>53</v>
      </c>
      <c r="P732" t="s">
        <v>58</v>
      </c>
      <c r="R732">
        <f>SUMIF(A732:A5731,"C00731",I732:I5731)</f>
        <v>5904.52</v>
      </c>
      <c r="S732" s="1">
        <v>103337.49</v>
      </c>
      <c r="T732">
        <f t="shared" si="78"/>
        <v>100.076610169492</v>
      </c>
      <c r="U732">
        <f t="shared" si="79"/>
        <v>1239</v>
      </c>
      <c r="V732">
        <f>U732*1</f>
        <v>1239</v>
      </c>
      <c r="W732">
        <f t="shared" si="80"/>
        <v>2224.35666666667</v>
      </c>
      <c r="X732">
        <f t="shared" si="77"/>
        <v>1.18819620871604</v>
      </c>
      <c r="AH732" t="str">
        <f t="shared" si="82"/>
        <v>3rd Quality</v>
      </c>
      <c r="AJ732">
        <f>((T732-X732)*2)/15.7</f>
        <v>12.5972501860861</v>
      </c>
      <c r="AK732">
        <f t="shared" si="81"/>
        <v>91269.8684745763</v>
      </c>
    </row>
    <row r="733" spans="1:37">
      <c r="A733" t="s">
        <v>796</v>
      </c>
      <c r="B733">
        <v>29</v>
      </c>
      <c r="C733" t="s">
        <v>50</v>
      </c>
      <c r="D733" t="s">
        <v>60</v>
      </c>
      <c r="E733">
        <v>1152</v>
      </c>
      <c r="F733">
        <v>20</v>
      </c>
      <c r="G733">
        <v>26</v>
      </c>
      <c r="H733">
        <v>3848.77</v>
      </c>
      <c r="I733">
        <v>103337.49</v>
      </c>
      <c r="J733">
        <v>58</v>
      </c>
      <c r="K733">
        <v>0</v>
      </c>
      <c r="L733">
        <v>5.3</v>
      </c>
      <c r="M733">
        <v>35.8</v>
      </c>
      <c r="N733" t="s">
        <v>61</v>
      </c>
      <c r="O733" t="s">
        <v>75</v>
      </c>
      <c r="P733" t="s">
        <v>48</v>
      </c>
      <c r="R733">
        <f>SUMIF(A733:A5732,"C00732",I733:I5732)</f>
        <v>103337.49</v>
      </c>
      <c r="S733" s="1">
        <v>46769.9</v>
      </c>
      <c r="T733">
        <f t="shared" si="78"/>
        <v>1781.68086206897</v>
      </c>
      <c r="U733">
        <f t="shared" si="79"/>
        <v>2076.4</v>
      </c>
      <c r="V733">
        <f>U733/12</f>
        <v>173.033333333333</v>
      </c>
      <c r="W733">
        <f t="shared" si="80"/>
        <v>35729.0866666667</v>
      </c>
      <c r="X733">
        <f t="shared" si="77"/>
        <v>0.299316404981332</v>
      </c>
      <c r="AH733" t="str">
        <f t="shared" si="82"/>
        <v>1st Quality</v>
      </c>
      <c r="AJ733">
        <f>((T733-X733)*2)/5.3</f>
        <v>672.219451193958</v>
      </c>
      <c r="AK733">
        <f t="shared" si="81"/>
        <v>2052496.35310345</v>
      </c>
    </row>
    <row r="734" spans="1:37">
      <c r="A734" t="s">
        <v>797</v>
      </c>
      <c r="B734">
        <v>33</v>
      </c>
      <c r="C734" t="s">
        <v>50</v>
      </c>
      <c r="D734" t="s">
        <v>60</v>
      </c>
      <c r="E734">
        <v>897</v>
      </c>
      <c r="F734">
        <v>1</v>
      </c>
      <c r="G734">
        <v>21</v>
      </c>
      <c r="H734">
        <v>2168.64</v>
      </c>
      <c r="I734">
        <v>46769.9</v>
      </c>
      <c r="J734">
        <v>136</v>
      </c>
      <c r="K734">
        <v>1</v>
      </c>
      <c r="L734">
        <v>4</v>
      </c>
      <c r="M734">
        <v>39</v>
      </c>
      <c r="N734" t="s">
        <v>52</v>
      </c>
      <c r="O734" t="s">
        <v>53</v>
      </c>
      <c r="P734" t="s">
        <v>66</v>
      </c>
      <c r="R734">
        <f>SUMIF(A734:A5733,"C00733",I734:I5733)</f>
        <v>46769.9</v>
      </c>
      <c r="S734" s="1">
        <v>12104.46</v>
      </c>
      <c r="T734">
        <f t="shared" si="78"/>
        <v>343.896323529412</v>
      </c>
      <c r="U734">
        <f t="shared" si="79"/>
        <v>5304</v>
      </c>
      <c r="V734">
        <f>U734*1</f>
        <v>5304</v>
      </c>
      <c r="W734">
        <f t="shared" si="80"/>
        <v>16313.18</v>
      </c>
      <c r="X734">
        <f t="shared" si="77"/>
        <v>0.413623284639221</v>
      </c>
      <c r="AH734" t="str">
        <f t="shared" si="82"/>
        <v>2nd Quality</v>
      </c>
      <c r="AJ734">
        <f>((T734-X734)*2)/4</f>
        <v>171.741350122386</v>
      </c>
      <c r="AK734">
        <f t="shared" si="81"/>
        <v>308475.002205882</v>
      </c>
    </row>
    <row r="735" spans="1:37">
      <c r="A735" t="s">
        <v>798</v>
      </c>
      <c r="B735">
        <v>21</v>
      </c>
      <c r="C735" t="s">
        <v>50</v>
      </c>
      <c r="D735" t="s">
        <v>60</v>
      </c>
      <c r="E735">
        <v>1314</v>
      </c>
      <c r="F735">
        <v>25</v>
      </c>
      <c r="G735">
        <v>11</v>
      </c>
      <c r="H735">
        <v>1018.85</v>
      </c>
      <c r="I735">
        <v>12104.46</v>
      </c>
      <c r="J735">
        <v>64</v>
      </c>
      <c r="K735">
        <v>0</v>
      </c>
      <c r="L735">
        <v>13.9</v>
      </c>
      <c r="M735">
        <v>20.9</v>
      </c>
      <c r="N735" t="s">
        <v>46</v>
      </c>
      <c r="O735" t="s">
        <v>47</v>
      </c>
      <c r="P735" t="s">
        <v>68</v>
      </c>
      <c r="R735">
        <f>SUMIF(A735:A5734,"C00734",I735:I5734)</f>
        <v>12104.46</v>
      </c>
      <c r="S735" s="1">
        <v>70946.56</v>
      </c>
      <c r="T735">
        <f t="shared" si="78"/>
        <v>189.1321875</v>
      </c>
      <c r="U735">
        <f t="shared" si="79"/>
        <v>1337.6</v>
      </c>
      <c r="V735">
        <f>U735/12</f>
        <v>111.466666666667</v>
      </c>
      <c r="W735">
        <f t="shared" si="80"/>
        <v>4374.77</v>
      </c>
      <c r="X735">
        <f t="shared" si="77"/>
        <v>1.28968935564607</v>
      </c>
      <c r="AH735" t="str">
        <f t="shared" si="82"/>
        <v>3rd Quality</v>
      </c>
      <c r="AJ735">
        <f>((T735-X735)*2)/13.9</f>
        <v>27.0276975747272</v>
      </c>
      <c r="AK735">
        <f t="shared" si="81"/>
        <v>248519.694375</v>
      </c>
    </row>
    <row r="736" spans="1:37">
      <c r="A736" t="s">
        <v>799</v>
      </c>
      <c r="B736">
        <v>21</v>
      </c>
      <c r="C736" t="s">
        <v>44</v>
      </c>
      <c r="D736" t="s">
        <v>45</v>
      </c>
      <c r="E736">
        <v>710</v>
      </c>
      <c r="F736">
        <v>19</v>
      </c>
      <c r="G736">
        <v>24</v>
      </c>
      <c r="H736">
        <v>2644.01</v>
      </c>
      <c r="I736">
        <v>70946.56</v>
      </c>
      <c r="J736">
        <v>149</v>
      </c>
      <c r="K736">
        <v>3</v>
      </c>
      <c r="L736">
        <v>0</v>
      </c>
      <c r="M736">
        <v>32.8</v>
      </c>
      <c r="N736" t="s">
        <v>52</v>
      </c>
      <c r="O736" t="s">
        <v>53</v>
      </c>
      <c r="P736" t="s">
        <v>48</v>
      </c>
      <c r="R736">
        <f>SUMIF(A736:A5735,"C00735",I736:I5735)</f>
        <v>70946.56</v>
      </c>
      <c r="S736" s="1">
        <v>3231.09</v>
      </c>
      <c r="T736">
        <f t="shared" si="78"/>
        <v>476.151409395973</v>
      </c>
      <c r="U736">
        <f t="shared" si="79"/>
        <v>4887.2</v>
      </c>
      <c r="V736">
        <f>U736*3</f>
        <v>14661.6</v>
      </c>
      <c r="W736">
        <f t="shared" si="80"/>
        <v>24530.5233333333</v>
      </c>
      <c r="X736">
        <f t="shared" si="77"/>
        <v>0.268531510849051</v>
      </c>
      <c r="AH736" t="str">
        <f t="shared" si="82"/>
        <v>2nd Quality</v>
      </c>
      <c r="AJ736">
        <f>((T736-X736)*2)</f>
        <v>951.765755770248</v>
      </c>
      <c r="AK736">
        <f t="shared" si="81"/>
        <v>338067.500671141</v>
      </c>
    </row>
    <row r="737" spans="1:37">
      <c r="A737" t="s">
        <v>800</v>
      </c>
      <c r="B737">
        <v>53</v>
      </c>
      <c r="C737" t="s">
        <v>44</v>
      </c>
      <c r="D737" t="s">
        <v>45</v>
      </c>
      <c r="E737">
        <v>813</v>
      </c>
      <c r="F737">
        <v>90</v>
      </c>
      <c r="G737">
        <v>3</v>
      </c>
      <c r="H737">
        <v>982.92</v>
      </c>
      <c r="I737">
        <v>3231.09</v>
      </c>
      <c r="J737">
        <v>20</v>
      </c>
      <c r="K737">
        <v>0</v>
      </c>
      <c r="L737">
        <v>36.2</v>
      </c>
      <c r="M737">
        <v>44</v>
      </c>
      <c r="N737" t="s">
        <v>78</v>
      </c>
      <c r="O737" t="s">
        <v>47</v>
      </c>
      <c r="P737" t="s">
        <v>48</v>
      </c>
      <c r="R737">
        <f>SUMIF(A737:A5736,"C00736",I737:I5736)</f>
        <v>3231.09</v>
      </c>
      <c r="S737" s="1">
        <v>83713.07</v>
      </c>
      <c r="T737">
        <f t="shared" si="78"/>
        <v>161.5545</v>
      </c>
      <c r="U737">
        <f t="shared" si="79"/>
        <v>880</v>
      </c>
      <c r="V737">
        <f>U737/12</f>
        <v>73.3333333333333</v>
      </c>
      <c r="W737">
        <f t="shared" si="80"/>
        <v>1405.00333333333</v>
      </c>
      <c r="X737">
        <f t="shared" si="77"/>
        <v>0.827127334879746</v>
      </c>
      <c r="AH737" t="str">
        <f t="shared" si="82"/>
        <v>3rd Quality</v>
      </c>
      <c r="AJ737">
        <f>((T737-X737)*2)/36.2</f>
        <v>8.87996534061438</v>
      </c>
      <c r="AK737">
        <f t="shared" si="81"/>
        <v>131343.8085</v>
      </c>
    </row>
    <row r="738" spans="1:37">
      <c r="A738" t="s">
        <v>801</v>
      </c>
      <c r="B738">
        <v>49</v>
      </c>
      <c r="C738" t="s">
        <v>44</v>
      </c>
      <c r="D738" t="s">
        <v>60</v>
      </c>
      <c r="E738">
        <v>659</v>
      </c>
      <c r="F738">
        <v>9</v>
      </c>
      <c r="G738">
        <v>37</v>
      </c>
      <c r="H738">
        <v>2486.36</v>
      </c>
      <c r="I738">
        <v>83713.07</v>
      </c>
      <c r="J738">
        <v>79</v>
      </c>
      <c r="K738">
        <v>1</v>
      </c>
      <c r="L738">
        <v>0.1</v>
      </c>
      <c r="M738">
        <v>42.2</v>
      </c>
      <c r="N738" t="s">
        <v>46</v>
      </c>
      <c r="O738" t="s">
        <v>47</v>
      </c>
      <c r="P738" t="s">
        <v>68</v>
      </c>
      <c r="R738">
        <f>SUMIF(A738:A5737,"C00737",I738:I5737)</f>
        <v>83713.07</v>
      </c>
      <c r="S738" s="1">
        <v>19953.99</v>
      </c>
      <c r="T738">
        <f t="shared" si="78"/>
        <v>1059.65911392405</v>
      </c>
      <c r="U738">
        <f t="shared" si="79"/>
        <v>3333.8</v>
      </c>
      <c r="V738">
        <f>U738*1</f>
        <v>3333.8</v>
      </c>
      <c r="W738">
        <f t="shared" si="80"/>
        <v>28733.4766666667</v>
      </c>
      <c r="X738">
        <f t="shared" si="77"/>
        <v>0.265046091475088</v>
      </c>
      <c r="AH738" t="str">
        <f t="shared" si="82"/>
        <v>3rd Quality</v>
      </c>
      <c r="AJ738">
        <f>((T738-X738)*2)/0.1</f>
        <v>21187.8813566515</v>
      </c>
      <c r="AK738">
        <f t="shared" si="81"/>
        <v>698315.356075949</v>
      </c>
    </row>
    <row r="739" spans="1:37">
      <c r="A739" t="s">
        <v>802</v>
      </c>
      <c r="B739">
        <v>46</v>
      </c>
      <c r="C739" t="s">
        <v>50</v>
      </c>
      <c r="D739" t="s">
        <v>60</v>
      </c>
      <c r="E739">
        <v>528</v>
      </c>
      <c r="F739">
        <v>74</v>
      </c>
      <c r="G739">
        <v>14</v>
      </c>
      <c r="H739">
        <v>1367.38</v>
      </c>
      <c r="I739">
        <v>19953.99</v>
      </c>
      <c r="J739">
        <v>50</v>
      </c>
      <c r="K739">
        <v>2</v>
      </c>
      <c r="L739">
        <v>9.5</v>
      </c>
      <c r="M739">
        <v>20.9</v>
      </c>
      <c r="N739" t="s">
        <v>61</v>
      </c>
      <c r="O739" t="s">
        <v>47</v>
      </c>
      <c r="P739" t="s">
        <v>66</v>
      </c>
      <c r="R739">
        <f>SUMIF(A739:A5738,"C00738",I739:I5738)</f>
        <v>19953.99</v>
      </c>
      <c r="S739" s="1">
        <v>12430.77</v>
      </c>
      <c r="T739">
        <f t="shared" si="78"/>
        <v>399.0798</v>
      </c>
      <c r="U739">
        <f t="shared" si="79"/>
        <v>1045</v>
      </c>
      <c r="V739">
        <f>U739*2</f>
        <v>2090</v>
      </c>
      <c r="W739">
        <f t="shared" si="80"/>
        <v>7107.45666666667</v>
      </c>
      <c r="X739">
        <f t="shared" si="77"/>
        <v>0.386139917213942</v>
      </c>
      <c r="AH739" t="str">
        <f t="shared" si="82"/>
        <v>3rd Quality</v>
      </c>
      <c r="AJ739">
        <f>((T739-X739)*2)/9.5</f>
        <v>83.9355073858497</v>
      </c>
      <c r="AK739">
        <f t="shared" si="81"/>
        <v>210714.1344</v>
      </c>
    </row>
    <row r="740" spans="1:37">
      <c r="A740" t="s">
        <v>803</v>
      </c>
      <c r="B740">
        <v>37</v>
      </c>
      <c r="C740" t="s">
        <v>44</v>
      </c>
      <c r="D740" t="s">
        <v>60</v>
      </c>
      <c r="E740">
        <v>498</v>
      </c>
      <c r="F740">
        <v>49</v>
      </c>
      <c r="G740">
        <v>7</v>
      </c>
      <c r="H740">
        <v>1852.02</v>
      </c>
      <c r="I740">
        <v>12430.77</v>
      </c>
      <c r="J740">
        <v>43</v>
      </c>
      <c r="K740">
        <v>1</v>
      </c>
      <c r="L740">
        <v>18.3</v>
      </c>
      <c r="M740">
        <v>21.8</v>
      </c>
      <c r="N740" t="s">
        <v>57</v>
      </c>
      <c r="O740" t="s">
        <v>75</v>
      </c>
      <c r="P740" t="s">
        <v>58</v>
      </c>
      <c r="R740">
        <f>SUMIF(A740:A5739,"C00739",I740:I5739)</f>
        <v>12430.77</v>
      </c>
      <c r="S740" s="1">
        <v>46688.09</v>
      </c>
      <c r="T740">
        <f t="shared" si="78"/>
        <v>289.087674418605</v>
      </c>
      <c r="U740">
        <f t="shared" si="79"/>
        <v>937.4</v>
      </c>
      <c r="V740">
        <f>U740*1</f>
        <v>937.4</v>
      </c>
      <c r="W740">
        <f t="shared" si="80"/>
        <v>4761.26333333333</v>
      </c>
      <c r="X740">
        <f t="shared" si="77"/>
        <v>0.268895584280947</v>
      </c>
      <c r="AH740" t="str">
        <f t="shared" si="82"/>
        <v>3rd Quality</v>
      </c>
      <c r="AJ740">
        <f>((T740-X740)*2)/18.3</f>
        <v>31.5648938616748</v>
      </c>
      <c r="AK740">
        <f t="shared" si="81"/>
        <v>143965.661860465</v>
      </c>
    </row>
    <row r="741" spans="1:37">
      <c r="A741" t="s">
        <v>804</v>
      </c>
      <c r="B741">
        <v>18</v>
      </c>
      <c r="C741" t="s">
        <v>44</v>
      </c>
      <c r="D741" t="s">
        <v>45</v>
      </c>
      <c r="E741">
        <v>482</v>
      </c>
      <c r="F741">
        <v>19</v>
      </c>
      <c r="G741">
        <v>23</v>
      </c>
      <c r="H741">
        <v>2072.46</v>
      </c>
      <c r="I741">
        <v>46688.09</v>
      </c>
      <c r="J741">
        <v>169</v>
      </c>
      <c r="K741">
        <v>1</v>
      </c>
      <c r="L741">
        <v>22.4</v>
      </c>
      <c r="M741">
        <v>10.9</v>
      </c>
      <c r="N741" t="s">
        <v>52</v>
      </c>
      <c r="O741" t="s">
        <v>47</v>
      </c>
      <c r="P741" t="s">
        <v>48</v>
      </c>
      <c r="R741">
        <f>SUMIF(A741:A5740,"C00740",I741:I5740)</f>
        <v>46688.09</v>
      </c>
      <c r="S741" s="1">
        <v>112024.67</v>
      </c>
      <c r="T741">
        <f t="shared" si="78"/>
        <v>276.260887573964</v>
      </c>
      <c r="U741">
        <f t="shared" si="79"/>
        <v>1842.1</v>
      </c>
      <c r="V741">
        <f>U741*1</f>
        <v>1842.1</v>
      </c>
      <c r="W741">
        <f t="shared" si="80"/>
        <v>16253.85</v>
      </c>
      <c r="X741">
        <f t="shared" si="77"/>
        <v>0.232573849434971</v>
      </c>
      <c r="AH741" t="str">
        <f t="shared" si="82"/>
        <v>2nd Quality</v>
      </c>
      <c r="AJ741">
        <f>((T741-X741)*2)/22.4</f>
        <v>24.6453851539758</v>
      </c>
      <c r="AK741">
        <f t="shared" si="81"/>
        <v>133157.747810651</v>
      </c>
    </row>
    <row r="742" spans="1:37">
      <c r="A742" t="s">
        <v>805</v>
      </c>
      <c r="B742">
        <v>38</v>
      </c>
      <c r="C742" t="s">
        <v>44</v>
      </c>
      <c r="D742" t="s">
        <v>60</v>
      </c>
      <c r="E742">
        <v>478</v>
      </c>
      <c r="F742">
        <v>31</v>
      </c>
      <c r="G742">
        <v>26</v>
      </c>
      <c r="H742">
        <v>4163.41</v>
      </c>
      <c r="I742">
        <v>112024.67</v>
      </c>
      <c r="J742">
        <v>113</v>
      </c>
      <c r="K742">
        <v>0</v>
      </c>
      <c r="L742">
        <v>13.1</v>
      </c>
      <c r="M742">
        <v>38.5</v>
      </c>
      <c r="N742" t="s">
        <v>46</v>
      </c>
      <c r="O742" t="s">
        <v>47</v>
      </c>
      <c r="P742" t="s">
        <v>54</v>
      </c>
      <c r="R742">
        <f>SUMIF(A742:A5741,"C00741",I742:I5741)</f>
        <v>112024.67</v>
      </c>
      <c r="S742" s="1">
        <v>90372.31</v>
      </c>
      <c r="T742">
        <f t="shared" si="78"/>
        <v>991.368761061947</v>
      </c>
      <c r="U742">
        <f t="shared" si="79"/>
        <v>4350.5</v>
      </c>
      <c r="V742">
        <f>U742/12</f>
        <v>362.541666666667</v>
      </c>
      <c r="W742">
        <f t="shared" si="80"/>
        <v>38729.6933333333</v>
      </c>
      <c r="X742">
        <f t="shared" si="77"/>
        <v>0.114809735289102</v>
      </c>
      <c r="AH742" t="str">
        <f t="shared" si="82"/>
        <v>2nd Quality</v>
      </c>
      <c r="AJ742">
        <f>((T742-X742)*2)/13.1</f>
        <v>151.336481118574</v>
      </c>
      <c r="AK742">
        <f t="shared" si="81"/>
        <v>473874.267787611</v>
      </c>
    </row>
    <row r="743" spans="1:37">
      <c r="A743" t="s">
        <v>806</v>
      </c>
      <c r="B743">
        <v>38</v>
      </c>
      <c r="C743" t="s">
        <v>44</v>
      </c>
      <c r="D743" t="s">
        <v>60</v>
      </c>
      <c r="E743">
        <v>746</v>
      </c>
      <c r="F743">
        <v>8</v>
      </c>
      <c r="G743">
        <v>26</v>
      </c>
      <c r="H743">
        <v>3799.47</v>
      </c>
      <c r="I743">
        <v>90372.31</v>
      </c>
      <c r="J743">
        <v>163</v>
      </c>
      <c r="K743">
        <v>2</v>
      </c>
      <c r="L743">
        <v>2.8</v>
      </c>
      <c r="M743">
        <v>35.6</v>
      </c>
      <c r="N743" t="s">
        <v>52</v>
      </c>
      <c r="O743" t="s">
        <v>47</v>
      </c>
      <c r="P743" t="s">
        <v>68</v>
      </c>
      <c r="R743">
        <f>SUMIF(A743:A5742,"C00742",I743:I5742)</f>
        <v>90372.31</v>
      </c>
      <c r="S743" s="1">
        <v>1685.41</v>
      </c>
      <c r="T743">
        <f t="shared" si="78"/>
        <v>554.431349693251</v>
      </c>
      <c r="U743">
        <f t="shared" si="79"/>
        <v>5802.8</v>
      </c>
      <c r="V743">
        <f>U743*2</f>
        <v>11605.6</v>
      </c>
      <c r="W743">
        <f t="shared" si="80"/>
        <v>31390.9266666667</v>
      </c>
      <c r="X743">
        <f t="shared" si="77"/>
        <v>0.196343174179557</v>
      </c>
      <c r="AH743" t="str">
        <f t="shared" si="82"/>
        <v>2nd Quality</v>
      </c>
      <c r="AJ743">
        <f>((T743-X743)*2)/2.8</f>
        <v>395.882147513622</v>
      </c>
      <c r="AK743">
        <f t="shared" si="81"/>
        <v>413605.786871166</v>
      </c>
    </row>
    <row r="744" spans="1:37">
      <c r="A744" t="s">
        <v>807</v>
      </c>
      <c r="B744">
        <v>33</v>
      </c>
      <c r="C744" t="s">
        <v>50</v>
      </c>
      <c r="D744" t="s">
        <v>51</v>
      </c>
      <c r="E744">
        <v>855</v>
      </c>
      <c r="F744">
        <v>61</v>
      </c>
      <c r="G744">
        <v>1</v>
      </c>
      <c r="H744">
        <v>1610.92</v>
      </c>
      <c r="I744">
        <v>1685.41</v>
      </c>
      <c r="J744">
        <v>18</v>
      </c>
      <c r="K744">
        <v>0</v>
      </c>
      <c r="L744">
        <v>12.9</v>
      </c>
      <c r="M744">
        <v>64.7</v>
      </c>
      <c r="N744" t="s">
        <v>81</v>
      </c>
      <c r="O744" t="s">
        <v>47</v>
      </c>
      <c r="P744" t="s">
        <v>58</v>
      </c>
      <c r="R744">
        <f>SUMIF(A744:A5743,"C00743",I744:I5743)</f>
        <v>1685.41</v>
      </c>
      <c r="S744" s="1">
        <v>66152.55</v>
      </c>
      <c r="T744">
        <f t="shared" si="78"/>
        <v>93.6338888888889</v>
      </c>
      <c r="U744">
        <f t="shared" si="79"/>
        <v>1164.6</v>
      </c>
      <c r="V744">
        <f>U744/12</f>
        <v>97.05</v>
      </c>
      <c r="W744">
        <f t="shared" si="80"/>
        <v>1099.11</v>
      </c>
      <c r="X744">
        <f t="shared" si="77"/>
        <v>0.530752613413453</v>
      </c>
      <c r="AH744" t="str">
        <f t="shared" si="82"/>
        <v>3rd Quality</v>
      </c>
      <c r="AJ744">
        <f>((T744-X744)*2)/12.9</f>
        <v>14.4345947713915</v>
      </c>
      <c r="AK744">
        <f t="shared" si="81"/>
        <v>80056.975</v>
      </c>
    </row>
    <row r="745" spans="1:37">
      <c r="A745" t="s">
        <v>808</v>
      </c>
      <c r="B745">
        <v>41</v>
      </c>
      <c r="C745" t="s">
        <v>50</v>
      </c>
      <c r="D745" t="s">
        <v>60</v>
      </c>
      <c r="E745">
        <v>1235</v>
      </c>
      <c r="F745">
        <v>10</v>
      </c>
      <c r="G745">
        <v>27</v>
      </c>
      <c r="H745">
        <v>2577.85</v>
      </c>
      <c r="I745">
        <v>66152.55</v>
      </c>
      <c r="J745">
        <v>229</v>
      </c>
      <c r="K745">
        <v>8</v>
      </c>
      <c r="L745">
        <v>12.8</v>
      </c>
      <c r="M745">
        <v>16.4</v>
      </c>
      <c r="N745" t="s">
        <v>61</v>
      </c>
      <c r="O745" t="s">
        <v>47</v>
      </c>
      <c r="P745" t="s">
        <v>48</v>
      </c>
      <c r="R745">
        <f>SUMIF(A745:A5744,"C00744",I745:I5744)</f>
        <v>66152.55</v>
      </c>
      <c r="S745" s="1">
        <v>37658.22</v>
      </c>
      <c r="T745">
        <f t="shared" si="78"/>
        <v>288.87576419214</v>
      </c>
      <c r="U745">
        <f t="shared" si="79"/>
        <v>3755.6</v>
      </c>
      <c r="V745">
        <f>U745*8</f>
        <v>30044.8</v>
      </c>
      <c r="W745">
        <f t="shared" si="80"/>
        <v>22910.4666666667</v>
      </c>
      <c r="X745">
        <f t="shared" si="77"/>
        <v>0.479081405046841</v>
      </c>
      <c r="AH745" t="str">
        <f t="shared" si="82"/>
        <v>2nd Quality</v>
      </c>
      <c r="AJ745">
        <f>((T745-X745)*2)/12.8</f>
        <v>45.0619816854833</v>
      </c>
      <c r="AK745">
        <f t="shared" si="81"/>
        <v>356761.568777293</v>
      </c>
    </row>
    <row r="746" spans="1:37">
      <c r="A746" t="s">
        <v>809</v>
      </c>
      <c r="B746">
        <v>54</v>
      </c>
      <c r="C746" t="s">
        <v>44</v>
      </c>
      <c r="D746" t="s">
        <v>45</v>
      </c>
      <c r="E746">
        <v>1269</v>
      </c>
      <c r="F746">
        <v>27</v>
      </c>
      <c r="G746">
        <v>3</v>
      </c>
      <c r="H746">
        <v>11659.44</v>
      </c>
      <c r="I746">
        <v>37658.22</v>
      </c>
      <c r="J746">
        <v>28</v>
      </c>
      <c r="K746">
        <v>0</v>
      </c>
      <c r="L746">
        <v>12.3</v>
      </c>
      <c r="M746">
        <v>20.7</v>
      </c>
      <c r="N746" t="s">
        <v>81</v>
      </c>
      <c r="O746" t="s">
        <v>47</v>
      </c>
      <c r="P746" t="s">
        <v>58</v>
      </c>
      <c r="R746">
        <f>SUMIF(A746:A5745,"C00745",I746:I5745)</f>
        <v>37658.22</v>
      </c>
      <c r="S746" s="1">
        <v>8776.36</v>
      </c>
      <c r="T746">
        <f t="shared" si="78"/>
        <v>1344.93642857143</v>
      </c>
      <c r="U746">
        <f t="shared" si="79"/>
        <v>579.6</v>
      </c>
      <c r="V746">
        <f>U746/12</f>
        <v>48.3</v>
      </c>
      <c r="W746">
        <f t="shared" si="80"/>
        <v>16439.5533333333</v>
      </c>
      <c r="X746">
        <f t="shared" si="77"/>
        <v>0.108838846462609</v>
      </c>
      <c r="AH746" t="str">
        <f t="shared" si="82"/>
        <v>3rd Quality</v>
      </c>
      <c r="AJ746">
        <f>((T746-X746)*2)/12.3</f>
        <v>218.671152800808</v>
      </c>
      <c r="AK746">
        <f t="shared" si="81"/>
        <v>1706724.32785714</v>
      </c>
    </row>
    <row r="747" spans="1:37">
      <c r="A747" t="s">
        <v>810</v>
      </c>
      <c r="B747">
        <v>27</v>
      </c>
      <c r="C747" t="s">
        <v>50</v>
      </c>
      <c r="D747" t="s">
        <v>51</v>
      </c>
      <c r="E747">
        <v>938</v>
      </c>
      <c r="F747">
        <v>48</v>
      </c>
      <c r="G747">
        <v>10</v>
      </c>
      <c r="H747">
        <v>905.52</v>
      </c>
      <c r="I747">
        <v>8776.36</v>
      </c>
      <c r="J747">
        <v>51</v>
      </c>
      <c r="K747">
        <v>1</v>
      </c>
      <c r="L747">
        <v>30.7</v>
      </c>
      <c r="M747">
        <v>18</v>
      </c>
      <c r="N747" t="s">
        <v>63</v>
      </c>
      <c r="O747" t="s">
        <v>47</v>
      </c>
      <c r="P747" t="s">
        <v>66</v>
      </c>
      <c r="R747">
        <f>SUMIF(A747:A5746,"C00746",I747:I5746)</f>
        <v>8776.36</v>
      </c>
      <c r="S747" s="1">
        <v>12599.55</v>
      </c>
      <c r="T747">
        <f t="shared" si="78"/>
        <v>172.085490196078</v>
      </c>
      <c r="U747">
        <f t="shared" si="79"/>
        <v>918</v>
      </c>
      <c r="V747">
        <f>U747*1</f>
        <v>918</v>
      </c>
      <c r="W747">
        <f t="shared" si="80"/>
        <v>3227.62666666667</v>
      </c>
      <c r="X747">
        <f t="shared" si="77"/>
        <v>1.03586889301175</v>
      </c>
      <c r="AH747" t="str">
        <f t="shared" si="82"/>
        <v>3rd Quality</v>
      </c>
      <c r="AJ747">
        <f>((T747-X747)*2)/30.7</f>
        <v>11.14329780476</v>
      </c>
      <c r="AK747">
        <f t="shared" si="81"/>
        <v>161416.189803922</v>
      </c>
    </row>
    <row r="748" spans="1:37">
      <c r="A748" t="s">
        <v>811</v>
      </c>
      <c r="B748">
        <v>36</v>
      </c>
      <c r="C748" t="s">
        <v>50</v>
      </c>
      <c r="D748" t="s">
        <v>51</v>
      </c>
      <c r="E748">
        <v>1016</v>
      </c>
      <c r="F748">
        <v>54</v>
      </c>
      <c r="G748">
        <v>10</v>
      </c>
      <c r="H748">
        <v>1412.52</v>
      </c>
      <c r="I748">
        <v>12599.55</v>
      </c>
      <c r="J748">
        <v>63</v>
      </c>
      <c r="K748">
        <v>0</v>
      </c>
      <c r="L748">
        <v>25.4</v>
      </c>
      <c r="M748">
        <v>28.1</v>
      </c>
      <c r="N748" t="s">
        <v>46</v>
      </c>
      <c r="O748" t="s">
        <v>47</v>
      </c>
      <c r="P748" t="s">
        <v>58</v>
      </c>
      <c r="R748">
        <f>SUMIF(A748:A5747,"C00747",I748:I5747)</f>
        <v>12599.55</v>
      </c>
      <c r="S748" s="1">
        <v>7346.45</v>
      </c>
      <c r="T748">
        <f t="shared" si="78"/>
        <v>199.992857142857</v>
      </c>
      <c r="U748">
        <f t="shared" si="79"/>
        <v>1770.3</v>
      </c>
      <c r="V748">
        <f>U748/12</f>
        <v>147.525</v>
      </c>
      <c r="W748">
        <f t="shared" si="80"/>
        <v>4671.02333333333</v>
      </c>
      <c r="X748">
        <f t="shared" si="77"/>
        <v>0.719281850876448</v>
      </c>
      <c r="AH748" t="str">
        <f t="shared" si="82"/>
        <v>3rd Quality</v>
      </c>
      <c r="AJ748">
        <f>((T748-X748)*2)/25.4</f>
        <v>15.6908327001559</v>
      </c>
      <c r="AK748">
        <f t="shared" si="81"/>
        <v>203192.742857143</v>
      </c>
    </row>
    <row r="749" spans="1:37">
      <c r="A749" t="s">
        <v>812</v>
      </c>
      <c r="B749">
        <v>22</v>
      </c>
      <c r="C749" t="s">
        <v>50</v>
      </c>
      <c r="D749" t="s">
        <v>60</v>
      </c>
      <c r="E749">
        <v>555</v>
      </c>
      <c r="F749">
        <v>8</v>
      </c>
      <c r="G749">
        <v>8</v>
      </c>
      <c r="H749">
        <v>897.04</v>
      </c>
      <c r="I749">
        <v>7346.45</v>
      </c>
      <c r="J749">
        <v>44</v>
      </c>
      <c r="K749">
        <v>0</v>
      </c>
      <c r="L749">
        <v>10.4</v>
      </c>
      <c r="M749">
        <v>9.3</v>
      </c>
      <c r="N749" t="s">
        <v>52</v>
      </c>
      <c r="O749" t="s">
        <v>47</v>
      </c>
      <c r="P749" t="s">
        <v>58</v>
      </c>
      <c r="R749">
        <f>SUMIF(A749:A5748,"C00748",I749:I5748)</f>
        <v>7346.45</v>
      </c>
      <c r="S749" s="1">
        <v>886.93</v>
      </c>
      <c r="T749">
        <f t="shared" si="78"/>
        <v>166.964772727273</v>
      </c>
      <c r="U749">
        <f t="shared" si="79"/>
        <v>409.2</v>
      </c>
      <c r="V749">
        <f>U749/12</f>
        <v>34.1</v>
      </c>
      <c r="W749">
        <f t="shared" si="80"/>
        <v>2748.16333333333</v>
      </c>
      <c r="X749">
        <f t="shared" si="77"/>
        <v>0.618701507179167</v>
      </c>
      <c r="AH749" t="str">
        <f t="shared" si="82"/>
        <v>3rd Quality</v>
      </c>
      <c r="AJ749">
        <f>((T749-X749)*2)/10.4</f>
        <v>31.9896290807873</v>
      </c>
      <c r="AK749">
        <f t="shared" si="81"/>
        <v>92665.4488636364</v>
      </c>
    </row>
    <row r="750" spans="1:37">
      <c r="A750" t="s">
        <v>813</v>
      </c>
      <c r="B750">
        <v>39</v>
      </c>
      <c r="C750" t="s">
        <v>50</v>
      </c>
      <c r="D750" t="s">
        <v>60</v>
      </c>
      <c r="E750">
        <v>655</v>
      </c>
      <c r="F750">
        <v>74</v>
      </c>
      <c r="G750">
        <v>1</v>
      </c>
      <c r="H750">
        <v>836.77</v>
      </c>
      <c r="I750">
        <v>886.93</v>
      </c>
      <c r="J750">
        <v>16</v>
      </c>
      <c r="K750">
        <v>0</v>
      </c>
      <c r="L750">
        <v>22.9</v>
      </c>
      <c r="M750">
        <v>60.6</v>
      </c>
      <c r="N750" t="s">
        <v>61</v>
      </c>
      <c r="O750" t="s">
        <v>53</v>
      </c>
      <c r="P750" t="s">
        <v>58</v>
      </c>
      <c r="R750">
        <f>SUMIF(A750:A5749,"C00749",I750:I5749)</f>
        <v>886.93</v>
      </c>
      <c r="S750" s="1">
        <v>1756.48</v>
      </c>
      <c r="T750">
        <f t="shared" si="78"/>
        <v>55.433125</v>
      </c>
      <c r="U750">
        <f t="shared" si="79"/>
        <v>969.6</v>
      </c>
      <c r="V750">
        <f>U750/12</f>
        <v>80.8</v>
      </c>
      <c r="W750">
        <f t="shared" si="80"/>
        <v>574.9</v>
      </c>
      <c r="X750">
        <f t="shared" si="77"/>
        <v>0.782771848895156</v>
      </c>
      <c r="AH750" t="str">
        <f t="shared" si="82"/>
        <v>3rd Quality</v>
      </c>
      <c r="AJ750">
        <f>((T750-X750)*2)/22.9</f>
        <v>4.77295660708339</v>
      </c>
      <c r="AK750">
        <f t="shared" si="81"/>
        <v>36308.696875</v>
      </c>
    </row>
    <row r="751" spans="1:37">
      <c r="A751" t="s">
        <v>814</v>
      </c>
      <c r="B751">
        <v>31</v>
      </c>
      <c r="C751" t="s">
        <v>50</v>
      </c>
      <c r="D751" t="s">
        <v>60</v>
      </c>
      <c r="E751">
        <v>633</v>
      </c>
      <c r="F751">
        <v>131</v>
      </c>
      <c r="G751">
        <v>3</v>
      </c>
      <c r="H751">
        <v>569.54</v>
      </c>
      <c r="I751">
        <v>1756.48</v>
      </c>
      <c r="J751">
        <v>17</v>
      </c>
      <c r="K751">
        <v>1</v>
      </c>
      <c r="L751">
        <v>37.8</v>
      </c>
      <c r="M751">
        <v>21.6</v>
      </c>
      <c r="N751" t="s">
        <v>63</v>
      </c>
      <c r="O751" t="s">
        <v>47</v>
      </c>
      <c r="P751" t="s">
        <v>58</v>
      </c>
      <c r="R751">
        <f>SUMIF(A751:A5750,"C00750",I751:I5750)</f>
        <v>1756.48</v>
      </c>
      <c r="S751" s="1">
        <v>8658.74</v>
      </c>
      <c r="T751">
        <f t="shared" si="78"/>
        <v>103.322352941176</v>
      </c>
      <c r="U751">
        <f t="shared" si="79"/>
        <v>367.2</v>
      </c>
      <c r="V751">
        <f>U751*1</f>
        <v>367.2</v>
      </c>
      <c r="W751">
        <f t="shared" si="80"/>
        <v>775.673333333333</v>
      </c>
      <c r="X751">
        <f t="shared" ref="X751:X814" si="83">E751/H751</f>
        <v>1.11142325385399</v>
      </c>
      <c r="AH751" t="str">
        <f t="shared" si="82"/>
        <v>3rd Quality</v>
      </c>
      <c r="AJ751">
        <f>((T751-X751)*2)/37.8</f>
        <v>5.40798569774191</v>
      </c>
      <c r="AK751">
        <f t="shared" si="81"/>
        <v>65403.0494117647</v>
      </c>
    </row>
    <row r="752" spans="1:37">
      <c r="A752" t="s">
        <v>815</v>
      </c>
      <c r="B752">
        <v>35</v>
      </c>
      <c r="C752" t="s">
        <v>44</v>
      </c>
      <c r="D752" t="s">
        <v>45</v>
      </c>
      <c r="E752">
        <v>909</v>
      </c>
      <c r="F752">
        <v>35</v>
      </c>
      <c r="G752">
        <v>7</v>
      </c>
      <c r="H752">
        <v>1159.39</v>
      </c>
      <c r="I752">
        <v>8658.74</v>
      </c>
      <c r="J752">
        <v>42</v>
      </c>
      <c r="K752">
        <v>1</v>
      </c>
      <c r="L752">
        <v>34.4</v>
      </c>
      <c r="M752">
        <v>19.3</v>
      </c>
      <c r="N752" t="s">
        <v>57</v>
      </c>
      <c r="O752" t="s">
        <v>53</v>
      </c>
      <c r="P752" t="s">
        <v>66</v>
      </c>
      <c r="R752">
        <f>SUMIF(A752:A5751,"C00751",I752:I5751)</f>
        <v>8658.74</v>
      </c>
      <c r="S752" s="1">
        <v>8963.25</v>
      </c>
      <c r="T752">
        <f t="shared" si="78"/>
        <v>206.160476190476</v>
      </c>
      <c r="U752">
        <f t="shared" si="79"/>
        <v>810.6</v>
      </c>
      <c r="V752">
        <f>U752*1</f>
        <v>810.6</v>
      </c>
      <c r="W752">
        <f t="shared" si="80"/>
        <v>3273.04333333333</v>
      </c>
      <c r="X752">
        <f t="shared" si="83"/>
        <v>0.784032982861677</v>
      </c>
      <c r="AH752" t="str">
        <f t="shared" si="82"/>
        <v>3rd Quality</v>
      </c>
      <c r="AJ752">
        <f>((T752-X752)*2)/34.4</f>
        <v>11.9404908841636</v>
      </c>
      <c r="AK752">
        <f t="shared" si="81"/>
        <v>187399.872857143</v>
      </c>
    </row>
    <row r="753" spans="1:37">
      <c r="A753" t="s">
        <v>816</v>
      </c>
      <c r="B753">
        <v>24</v>
      </c>
      <c r="C753" t="s">
        <v>44</v>
      </c>
      <c r="D753" t="s">
        <v>60</v>
      </c>
      <c r="E753">
        <v>750</v>
      </c>
      <c r="F753">
        <v>22</v>
      </c>
      <c r="G753">
        <v>8</v>
      </c>
      <c r="H753">
        <v>1044.19</v>
      </c>
      <c r="I753">
        <v>8963.25</v>
      </c>
      <c r="J753">
        <v>60</v>
      </c>
      <c r="K753">
        <v>1</v>
      </c>
      <c r="L753">
        <v>21.4</v>
      </c>
      <c r="M753">
        <v>23.6</v>
      </c>
      <c r="N753" t="s">
        <v>63</v>
      </c>
      <c r="O753" t="s">
        <v>75</v>
      </c>
      <c r="P753" t="s">
        <v>68</v>
      </c>
      <c r="R753">
        <f>SUMIF(A753:A5752,"C00752",I753:I5752)</f>
        <v>8963.25</v>
      </c>
      <c r="S753" s="1">
        <v>7990.61</v>
      </c>
      <c r="T753">
        <f t="shared" si="78"/>
        <v>149.3875</v>
      </c>
      <c r="U753">
        <f t="shared" si="79"/>
        <v>1416</v>
      </c>
      <c r="V753">
        <f>U753*1</f>
        <v>1416</v>
      </c>
      <c r="W753">
        <f t="shared" si="80"/>
        <v>3336.14666666667</v>
      </c>
      <c r="X753">
        <f t="shared" si="83"/>
        <v>0.718260086765818</v>
      </c>
      <c r="AH753" t="str">
        <f t="shared" si="82"/>
        <v>3rd Quality</v>
      </c>
      <c r="AJ753">
        <f>((T753-X753)*2)/21.4</f>
        <v>13.8943214872181</v>
      </c>
      <c r="AK753">
        <f t="shared" si="81"/>
        <v>112040.625</v>
      </c>
    </row>
    <row r="754" spans="1:37">
      <c r="A754" t="s">
        <v>817</v>
      </c>
      <c r="B754">
        <v>26</v>
      </c>
      <c r="C754" t="s">
        <v>50</v>
      </c>
      <c r="D754" t="s">
        <v>60</v>
      </c>
      <c r="E754">
        <v>599</v>
      </c>
      <c r="F754">
        <v>61</v>
      </c>
      <c r="G754">
        <v>9</v>
      </c>
      <c r="H754">
        <v>997.42</v>
      </c>
      <c r="I754">
        <v>7990.61</v>
      </c>
      <c r="J754">
        <v>55</v>
      </c>
      <c r="K754">
        <v>2</v>
      </c>
      <c r="L754">
        <v>20.8</v>
      </c>
      <c r="M754">
        <v>9.2</v>
      </c>
      <c r="N754" t="s">
        <v>61</v>
      </c>
      <c r="O754" t="s">
        <v>47</v>
      </c>
      <c r="P754" t="s">
        <v>66</v>
      </c>
      <c r="R754">
        <f>SUMIF(A754:A5753,"C00753",I754:I5753)</f>
        <v>7990.61</v>
      </c>
      <c r="S754" s="1">
        <v>11497.89</v>
      </c>
      <c r="T754">
        <f t="shared" si="78"/>
        <v>145.283818181818</v>
      </c>
      <c r="U754">
        <f t="shared" si="79"/>
        <v>506</v>
      </c>
      <c r="V754">
        <f>U754*2</f>
        <v>1012</v>
      </c>
      <c r="W754">
        <f t="shared" si="80"/>
        <v>2996.34333333333</v>
      </c>
      <c r="X754">
        <f t="shared" si="83"/>
        <v>0.600549417497143</v>
      </c>
      <c r="AH754" t="str">
        <f t="shared" si="82"/>
        <v>3rd Quality</v>
      </c>
      <c r="AJ754">
        <f>((T754-X754)*2)/20.8</f>
        <v>13.9118527658001</v>
      </c>
      <c r="AK754">
        <f t="shared" si="81"/>
        <v>87025.0070909091</v>
      </c>
    </row>
    <row r="755" spans="1:37">
      <c r="A755" t="s">
        <v>818</v>
      </c>
      <c r="B755">
        <v>18</v>
      </c>
      <c r="C755" t="s">
        <v>50</v>
      </c>
      <c r="D755" t="s">
        <v>60</v>
      </c>
      <c r="E755">
        <v>893</v>
      </c>
      <c r="F755">
        <v>61</v>
      </c>
      <c r="G755">
        <v>10</v>
      </c>
      <c r="H755">
        <v>1305.92</v>
      </c>
      <c r="I755">
        <v>11497.89</v>
      </c>
      <c r="J755">
        <v>67</v>
      </c>
      <c r="K755">
        <v>0</v>
      </c>
      <c r="L755">
        <v>15</v>
      </c>
      <c r="M755">
        <v>31.3</v>
      </c>
      <c r="N755" t="s">
        <v>52</v>
      </c>
      <c r="O755" t="s">
        <v>53</v>
      </c>
      <c r="P755" t="s">
        <v>58</v>
      </c>
      <c r="R755">
        <f>SUMIF(A755:A5754,"C00754",I755:I5754)</f>
        <v>11497.89</v>
      </c>
      <c r="S755" s="1">
        <v>1264</v>
      </c>
      <c r="T755">
        <f t="shared" si="78"/>
        <v>171.610298507463</v>
      </c>
      <c r="U755">
        <f t="shared" si="79"/>
        <v>2097.1</v>
      </c>
      <c r="V755">
        <f>U755/12</f>
        <v>174.758333333333</v>
      </c>
      <c r="W755">
        <f t="shared" si="80"/>
        <v>4268.27</v>
      </c>
      <c r="X755">
        <f t="shared" si="83"/>
        <v>0.683809115412889</v>
      </c>
      <c r="AH755" t="str">
        <f t="shared" si="82"/>
        <v>3rd Quality</v>
      </c>
      <c r="AJ755">
        <f>((T755-X755)*2)/15</f>
        <v>22.7901985856067</v>
      </c>
      <c r="AK755">
        <f t="shared" si="81"/>
        <v>153247.996567164</v>
      </c>
    </row>
    <row r="756" spans="1:37">
      <c r="A756" t="s">
        <v>819</v>
      </c>
      <c r="B756">
        <v>33</v>
      </c>
      <c r="C756" t="s">
        <v>44</v>
      </c>
      <c r="D756" t="s">
        <v>45</v>
      </c>
      <c r="E756">
        <v>499</v>
      </c>
      <c r="F756">
        <v>1</v>
      </c>
      <c r="G756">
        <v>4</v>
      </c>
      <c r="H756">
        <v>338.39</v>
      </c>
      <c r="I756">
        <v>1264</v>
      </c>
      <c r="J756">
        <v>29</v>
      </c>
      <c r="K756">
        <v>0</v>
      </c>
      <c r="L756">
        <v>38.9</v>
      </c>
      <c r="M756">
        <v>39.9</v>
      </c>
      <c r="N756" t="s">
        <v>63</v>
      </c>
      <c r="O756" t="s">
        <v>53</v>
      </c>
      <c r="P756" t="s">
        <v>66</v>
      </c>
      <c r="R756">
        <f>SUMIF(A756:A5755,"C00755",I756:I5755)</f>
        <v>1264</v>
      </c>
      <c r="S756" s="1">
        <v>4449.17</v>
      </c>
      <c r="T756">
        <f t="shared" si="78"/>
        <v>43.5862068965517</v>
      </c>
      <c r="U756">
        <f t="shared" si="79"/>
        <v>1157.1</v>
      </c>
      <c r="V756">
        <f>U756/12</f>
        <v>96.425</v>
      </c>
      <c r="W756">
        <f t="shared" si="80"/>
        <v>534.463333333333</v>
      </c>
      <c r="X756">
        <f t="shared" si="83"/>
        <v>1.47462986494873</v>
      </c>
      <c r="AH756" t="str">
        <f t="shared" si="82"/>
        <v>3rd Quality</v>
      </c>
      <c r="AJ756">
        <f>((T756-X756)*2)/38.9</f>
        <v>2.16511964172766</v>
      </c>
      <c r="AK756">
        <f t="shared" si="81"/>
        <v>21749.5172413793</v>
      </c>
    </row>
    <row r="757" spans="1:37">
      <c r="A757" t="s">
        <v>820</v>
      </c>
      <c r="B757">
        <v>29</v>
      </c>
      <c r="C757" t="s">
        <v>44</v>
      </c>
      <c r="D757" t="s">
        <v>51</v>
      </c>
      <c r="E757">
        <v>1285</v>
      </c>
      <c r="F757">
        <v>41</v>
      </c>
      <c r="G757">
        <v>7</v>
      </c>
      <c r="H757">
        <v>680.56</v>
      </c>
      <c r="I757">
        <v>4449.17</v>
      </c>
      <c r="J757">
        <v>72</v>
      </c>
      <c r="K757">
        <v>0</v>
      </c>
      <c r="L757">
        <v>14.6</v>
      </c>
      <c r="M757">
        <v>78.7</v>
      </c>
      <c r="N757" t="s">
        <v>61</v>
      </c>
      <c r="O757" t="s">
        <v>47</v>
      </c>
      <c r="P757" t="s">
        <v>66</v>
      </c>
      <c r="R757">
        <f>SUMIF(A757:A5756,"C00756",I757:I5756)</f>
        <v>4449.17</v>
      </c>
      <c r="S757" s="1">
        <v>13019.16</v>
      </c>
      <c r="T757">
        <f t="shared" si="78"/>
        <v>61.7940277777778</v>
      </c>
      <c r="U757">
        <f t="shared" si="79"/>
        <v>5666.4</v>
      </c>
      <c r="V757">
        <f>U757/12</f>
        <v>472.2</v>
      </c>
      <c r="W757">
        <f t="shared" si="80"/>
        <v>1710.24333333333</v>
      </c>
      <c r="X757">
        <f t="shared" si="83"/>
        <v>1.88815093452451</v>
      </c>
      <c r="AH757" t="str">
        <f t="shared" si="82"/>
        <v>3rd Quality</v>
      </c>
      <c r="AJ757">
        <f>((T757-X757)*2)/14.6</f>
        <v>8.20628449907579</v>
      </c>
      <c r="AK757">
        <f t="shared" si="81"/>
        <v>79405.3256944444</v>
      </c>
    </row>
    <row r="758" spans="1:37">
      <c r="A758" t="s">
        <v>821</v>
      </c>
      <c r="B758">
        <v>35</v>
      </c>
      <c r="C758" t="s">
        <v>50</v>
      </c>
      <c r="D758" t="s">
        <v>60</v>
      </c>
      <c r="E758">
        <v>1196</v>
      </c>
      <c r="F758">
        <v>48</v>
      </c>
      <c r="G758">
        <v>7</v>
      </c>
      <c r="H758">
        <v>1832.2</v>
      </c>
      <c r="I758">
        <v>13019.16</v>
      </c>
      <c r="J758">
        <v>53</v>
      </c>
      <c r="K758">
        <v>0</v>
      </c>
      <c r="L758">
        <v>35.7</v>
      </c>
      <c r="M758">
        <v>22.4</v>
      </c>
      <c r="N758" t="s">
        <v>78</v>
      </c>
      <c r="O758" t="s">
        <v>47</v>
      </c>
      <c r="P758" t="s">
        <v>66</v>
      </c>
      <c r="R758">
        <f>SUMIF(A758:A5757,"C00757",I758:I5757)</f>
        <v>13019.16</v>
      </c>
      <c r="S758" s="1">
        <v>3362.18</v>
      </c>
      <c r="T758">
        <f t="shared" si="78"/>
        <v>245.644528301887</v>
      </c>
      <c r="U758">
        <f t="shared" si="79"/>
        <v>1187.2</v>
      </c>
      <c r="V758">
        <f>U758/12</f>
        <v>98.9333333333333</v>
      </c>
      <c r="W758">
        <f t="shared" si="80"/>
        <v>4950.78666666667</v>
      </c>
      <c r="X758">
        <f t="shared" si="83"/>
        <v>0.652767165156642</v>
      </c>
      <c r="AH758" t="str">
        <f t="shared" si="82"/>
        <v>3rd Quality</v>
      </c>
      <c r="AJ758">
        <f>((T758-X758)*2)/35.7</f>
        <v>13.7250286351109</v>
      </c>
      <c r="AK758">
        <f t="shared" si="81"/>
        <v>293790.855849057</v>
      </c>
    </row>
    <row r="759" spans="1:37">
      <c r="A759" t="s">
        <v>822</v>
      </c>
      <c r="B759">
        <v>33</v>
      </c>
      <c r="C759" t="s">
        <v>50</v>
      </c>
      <c r="D759" t="s">
        <v>45</v>
      </c>
      <c r="E759">
        <v>1452</v>
      </c>
      <c r="F759">
        <v>167</v>
      </c>
      <c r="G759">
        <v>2</v>
      </c>
      <c r="H759">
        <v>1797.99</v>
      </c>
      <c r="I759">
        <v>3362.18</v>
      </c>
      <c r="J759">
        <v>16</v>
      </c>
      <c r="K759">
        <v>0</v>
      </c>
      <c r="L759">
        <v>16.4</v>
      </c>
      <c r="M759">
        <v>42.7</v>
      </c>
      <c r="N759" t="s">
        <v>63</v>
      </c>
      <c r="O759" t="s">
        <v>47</v>
      </c>
      <c r="P759" t="s">
        <v>54</v>
      </c>
      <c r="R759">
        <f>SUMIF(A759:A5758,"C00758",I759:I5758)</f>
        <v>3362.18</v>
      </c>
      <c r="S759" s="1">
        <v>42337.25</v>
      </c>
      <c r="T759">
        <f t="shared" si="78"/>
        <v>210.13625</v>
      </c>
      <c r="U759">
        <f t="shared" si="79"/>
        <v>683.2</v>
      </c>
      <c r="V759">
        <f>U759/12</f>
        <v>56.9333333333333</v>
      </c>
      <c r="W759">
        <f t="shared" si="80"/>
        <v>1720.39</v>
      </c>
      <c r="X759">
        <f t="shared" si="83"/>
        <v>0.807568451437438</v>
      </c>
      <c r="AH759" t="str">
        <f t="shared" si="82"/>
        <v>3rd Quality</v>
      </c>
      <c r="AJ759">
        <f>((T759-X759)*2)/16.4</f>
        <v>25.5278879937271</v>
      </c>
      <c r="AK759">
        <f t="shared" si="81"/>
        <v>305117.835</v>
      </c>
    </row>
    <row r="760" spans="1:37">
      <c r="A760" t="s">
        <v>823</v>
      </c>
      <c r="B760">
        <v>40</v>
      </c>
      <c r="C760" t="s">
        <v>44</v>
      </c>
      <c r="D760" t="s">
        <v>60</v>
      </c>
      <c r="E760">
        <v>663</v>
      </c>
      <c r="F760">
        <v>11</v>
      </c>
      <c r="G760">
        <v>18</v>
      </c>
      <c r="H760">
        <v>2430.92</v>
      </c>
      <c r="I760">
        <v>42337.25</v>
      </c>
      <c r="J760">
        <v>155</v>
      </c>
      <c r="K760">
        <v>1</v>
      </c>
      <c r="L760">
        <v>3</v>
      </c>
      <c r="M760">
        <v>58.1</v>
      </c>
      <c r="N760" t="s">
        <v>63</v>
      </c>
      <c r="O760" t="s">
        <v>53</v>
      </c>
      <c r="P760" t="s">
        <v>68</v>
      </c>
      <c r="R760">
        <f>SUMIF(A760:A5759,"C00759",I760:I5759)</f>
        <v>42337.25</v>
      </c>
      <c r="S760" s="1">
        <v>17395.76</v>
      </c>
      <c r="T760">
        <f t="shared" si="78"/>
        <v>273.143548387097</v>
      </c>
      <c r="U760">
        <f t="shared" si="79"/>
        <v>9005.5</v>
      </c>
      <c r="V760">
        <f>U760*1</f>
        <v>9005.5</v>
      </c>
      <c r="W760">
        <f t="shared" si="80"/>
        <v>14923.0566666667</v>
      </c>
      <c r="X760">
        <f t="shared" si="83"/>
        <v>0.272736248004871</v>
      </c>
      <c r="AH760" t="str">
        <f t="shared" si="82"/>
        <v>2nd Quality</v>
      </c>
      <c r="AJ760">
        <f>((T760-X760)*2)/3</f>
        <v>181.913874759395</v>
      </c>
      <c r="AK760">
        <f t="shared" si="81"/>
        <v>181094.172580645</v>
      </c>
    </row>
    <row r="761" spans="1:37">
      <c r="A761" t="s">
        <v>824</v>
      </c>
      <c r="B761">
        <v>52</v>
      </c>
      <c r="C761" t="s">
        <v>44</v>
      </c>
      <c r="D761" t="s">
        <v>45</v>
      </c>
      <c r="E761">
        <v>1023</v>
      </c>
      <c r="F761">
        <v>30</v>
      </c>
      <c r="G761">
        <v>9</v>
      </c>
      <c r="H761">
        <v>1954.6</v>
      </c>
      <c r="I761">
        <v>17395.76</v>
      </c>
      <c r="J761">
        <v>24</v>
      </c>
      <c r="K761">
        <v>1</v>
      </c>
      <c r="L761">
        <v>9.5</v>
      </c>
      <c r="M761">
        <v>54.4</v>
      </c>
      <c r="N761" t="s">
        <v>81</v>
      </c>
      <c r="O761" t="s">
        <v>47</v>
      </c>
      <c r="P761" t="s">
        <v>68</v>
      </c>
      <c r="R761">
        <f>SUMIF(A761:A5760,"C00760",I761:I5760)</f>
        <v>17395.76</v>
      </c>
      <c r="S761" s="1">
        <v>3414.22</v>
      </c>
      <c r="T761">
        <f t="shared" si="78"/>
        <v>724.823333333333</v>
      </c>
      <c r="U761">
        <f t="shared" si="79"/>
        <v>1305.6</v>
      </c>
      <c r="V761">
        <f>U761*1</f>
        <v>1305.6</v>
      </c>
      <c r="W761">
        <f t="shared" si="80"/>
        <v>6450.45333333333</v>
      </c>
      <c r="X761">
        <f t="shared" si="83"/>
        <v>0.52338074286299</v>
      </c>
      <c r="AH761" t="str">
        <f t="shared" si="82"/>
        <v>3rd Quality</v>
      </c>
      <c r="AJ761">
        <f>((T761-X761)*2)/9.5</f>
        <v>152.484200545362</v>
      </c>
      <c r="AK761">
        <f t="shared" si="81"/>
        <v>741494.27</v>
      </c>
    </row>
    <row r="762" spans="1:37">
      <c r="A762" t="s">
        <v>825</v>
      </c>
      <c r="B762">
        <v>23</v>
      </c>
      <c r="C762" t="s">
        <v>44</v>
      </c>
      <c r="D762" t="s">
        <v>60</v>
      </c>
      <c r="E762">
        <v>1255</v>
      </c>
      <c r="F762">
        <v>123</v>
      </c>
      <c r="G762">
        <v>5</v>
      </c>
      <c r="H762">
        <v>666.71</v>
      </c>
      <c r="I762">
        <v>3414.22</v>
      </c>
      <c r="J762">
        <v>23</v>
      </c>
      <c r="K762">
        <v>2</v>
      </c>
      <c r="L762">
        <v>27.1</v>
      </c>
      <c r="M762">
        <v>38.5</v>
      </c>
      <c r="N762" t="s">
        <v>46</v>
      </c>
      <c r="O762" t="s">
        <v>47</v>
      </c>
      <c r="P762" t="s">
        <v>68</v>
      </c>
      <c r="R762">
        <f>SUMIF(A762:A5761,"C00761",I762:I5761)</f>
        <v>3414.22</v>
      </c>
      <c r="S762" s="1">
        <v>77581.89</v>
      </c>
      <c r="T762">
        <f t="shared" si="78"/>
        <v>148.444347826087</v>
      </c>
      <c r="U762">
        <f t="shared" si="79"/>
        <v>885.5</v>
      </c>
      <c r="V762">
        <f>U762*2</f>
        <v>1771</v>
      </c>
      <c r="W762">
        <f t="shared" si="80"/>
        <v>1360.64333333333</v>
      </c>
      <c r="X762">
        <f t="shared" si="83"/>
        <v>1.88237764545305</v>
      </c>
      <c r="AH762" t="str">
        <f t="shared" si="82"/>
        <v>3rd Quality</v>
      </c>
      <c r="AJ762">
        <f>((T762-X762)*2)/27.1</f>
        <v>10.8163815631464</v>
      </c>
      <c r="AK762">
        <f t="shared" si="81"/>
        <v>186297.656521739</v>
      </c>
    </row>
    <row r="763" spans="1:37">
      <c r="A763" t="s">
        <v>826</v>
      </c>
      <c r="B763">
        <v>41</v>
      </c>
      <c r="C763" t="s">
        <v>50</v>
      </c>
      <c r="D763" t="s">
        <v>60</v>
      </c>
      <c r="E763">
        <v>794</v>
      </c>
      <c r="F763">
        <v>6</v>
      </c>
      <c r="G763">
        <v>27</v>
      </c>
      <c r="H763">
        <v>2567.33</v>
      </c>
      <c r="I763">
        <v>77581.89</v>
      </c>
      <c r="J763">
        <v>141</v>
      </c>
      <c r="K763">
        <v>2</v>
      </c>
      <c r="L763">
        <v>8.1</v>
      </c>
      <c r="M763">
        <v>6.9</v>
      </c>
      <c r="N763" t="s">
        <v>81</v>
      </c>
      <c r="O763" t="s">
        <v>47</v>
      </c>
      <c r="P763" t="s">
        <v>58</v>
      </c>
      <c r="R763">
        <f>SUMIF(A763:A5762,"C00762",I763:I5762)</f>
        <v>77581.89</v>
      </c>
      <c r="S763" s="1">
        <v>57123.01</v>
      </c>
      <c r="T763">
        <f t="shared" si="78"/>
        <v>550.226170212766</v>
      </c>
      <c r="U763">
        <f t="shared" si="79"/>
        <v>972.9</v>
      </c>
      <c r="V763">
        <f>U763*2</f>
        <v>1945.8</v>
      </c>
      <c r="W763">
        <f t="shared" si="80"/>
        <v>26716.74</v>
      </c>
      <c r="X763">
        <f t="shared" si="83"/>
        <v>0.309270720943548</v>
      </c>
      <c r="AH763" t="str">
        <f t="shared" si="82"/>
        <v>2nd Quality</v>
      </c>
      <c r="AJ763">
        <f>((T763-X763)*2)/8.1</f>
        <v>135.781950491808</v>
      </c>
      <c r="AK763">
        <f t="shared" si="81"/>
        <v>436879.579148936</v>
      </c>
    </row>
    <row r="764" spans="1:37">
      <c r="A764" t="s">
        <v>827</v>
      </c>
      <c r="B764">
        <v>22</v>
      </c>
      <c r="C764" t="s">
        <v>50</v>
      </c>
      <c r="D764" t="s">
        <v>60</v>
      </c>
      <c r="E764">
        <v>1389</v>
      </c>
      <c r="F764">
        <v>6</v>
      </c>
      <c r="G764">
        <v>23</v>
      </c>
      <c r="H764">
        <v>2376.11</v>
      </c>
      <c r="I764">
        <v>57123.01</v>
      </c>
      <c r="J764">
        <v>192</v>
      </c>
      <c r="K764">
        <v>2</v>
      </c>
      <c r="L764">
        <v>6.8</v>
      </c>
      <c r="M764">
        <v>65</v>
      </c>
      <c r="N764" t="s">
        <v>52</v>
      </c>
      <c r="O764" t="s">
        <v>47</v>
      </c>
      <c r="P764" t="s">
        <v>68</v>
      </c>
      <c r="R764">
        <f>SUMIF(A764:A5763,"C00763",I764:I5763)</f>
        <v>57123.01</v>
      </c>
      <c r="S764" s="1">
        <v>162051.04</v>
      </c>
      <c r="T764">
        <f t="shared" si="78"/>
        <v>297.515677083333</v>
      </c>
      <c r="U764">
        <f t="shared" si="79"/>
        <v>12480</v>
      </c>
      <c r="V764">
        <f>U764*2</f>
        <v>24960</v>
      </c>
      <c r="W764">
        <f t="shared" si="80"/>
        <v>19833.3733333333</v>
      </c>
      <c r="X764">
        <f t="shared" si="83"/>
        <v>0.584568896221135</v>
      </c>
      <c r="AH764" t="str">
        <f t="shared" si="82"/>
        <v>1st Quality</v>
      </c>
      <c r="AJ764">
        <f>((T764-X764)*2)/6.8</f>
        <v>87.3326788785623</v>
      </c>
      <c r="AK764">
        <f t="shared" si="81"/>
        <v>413249.27546875</v>
      </c>
    </row>
    <row r="765" spans="1:37">
      <c r="A765" t="s">
        <v>828</v>
      </c>
      <c r="B765">
        <v>28</v>
      </c>
      <c r="C765" t="s">
        <v>50</v>
      </c>
      <c r="D765" t="s">
        <v>60</v>
      </c>
      <c r="E765">
        <v>570</v>
      </c>
      <c r="F765">
        <v>8</v>
      </c>
      <c r="G765">
        <v>26</v>
      </c>
      <c r="H765">
        <v>6603.94</v>
      </c>
      <c r="I765">
        <v>162051.04</v>
      </c>
      <c r="J765">
        <v>220</v>
      </c>
      <c r="K765">
        <v>3</v>
      </c>
      <c r="L765">
        <v>9</v>
      </c>
      <c r="M765">
        <v>28.6</v>
      </c>
      <c r="N765" t="s">
        <v>63</v>
      </c>
      <c r="O765" t="s">
        <v>53</v>
      </c>
      <c r="P765" t="s">
        <v>58</v>
      </c>
      <c r="R765">
        <f>SUMIF(A765:A5764,"C00764",I765:I5764)</f>
        <v>162051.04</v>
      </c>
      <c r="S765" s="1">
        <v>1792.31</v>
      </c>
      <c r="T765">
        <f t="shared" si="78"/>
        <v>736.595636363636</v>
      </c>
      <c r="U765">
        <f t="shared" si="79"/>
        <v>6292</v>
      </c>
      <c r="V765">
        <f>U765*3</f>
        <v>18876</v>
      </c>
      <c r="W765">
        <f t="shared" si="80"/>
        <v>56218.66</v>
      </c>
      <c r="X765">
        <f t="shared" si="83"/>
        <v>0.0863121106490974</v>
      </c>
      <c r="AH765" t="str">
        <f t="shared" si="82"/>
        <v>2nd Quality</v>
      </c>
      <c r="AJ765">
        <f>((T765-X765)*2)/9</f>
        <v>163.668738722886</v>
      </c>
      <c r="AK765">
        <f t="shared" si="81"/>
        <v>419859.512727273</v>
      </c>
    </row>
    <row r="766" spans="1:37">
      <c r="A766" t="s">
        <v>829</v>
      </c>
      <c r="B766">
        <v>32</v>
      </c>
      <c r="C766" t="s">
        <v>50</v>
      </c>
      <c r="D766" t="s">
        <v>45</v>
      </c>
      <c r="E766">
        <v>557</v>
      </c>
      <c r="F766">
        <v>280</v>
      </c>
      <c r="G766">
        <v>1</v>
      </c>
      <c r="H766">
        <v>1858.87</v>
      </c>
      <c r="I766">
        <v>1792.31</v>
      </c>
      <c r="J766">
        <v>12</v>
      </c>
      <c r="K766">
        <v>0</v>
      </c>
      <c r="L766">
        <v>26.7</v>
      </c>
      <c r="M766">
        <v>12</v>
      </c>
      <c r="N766" t="s">
        <v>78</v>
      </c>
      <c r="O766" t="s">
        <v>75</v>
      </c>
      <c r="P766" t="s">
        <v>66</v>
      </c>
      <c r="R766">
        <f>SUMIF(A766:A5765,"C00765",I766:I5765)</f>
        <v>1792.31</v>
      </c>
      <c r="S766" s="1">
        <v>76738.24</v>
      </c>
      <c r="T766">
        <f t="shared" si="78"/>
        <v>149.359166666667</v>
      </c>
      <c r="U766">
        <f t="shared" si="79"/>
        <v>144</v>
      </c>
      <c r="V766">
        <f>U766/12</f>
        <v>12</v>
      </c>
      <c r="W766">
        <f t="shared" si="80"/>
        <v>1217.39333333333</v>
      </c>
      <c r="X766">
        <f t="shared" si="83"/>
        <v>0.299644407623987</v>
      </c>
      <c r="AH766" t="str">
        <f t="shared" si="82"/>
        <v>3rd Quality</v>
      </c>
      <c r="AJ766">
        <f>((T766-X766)*2)/26.7</f>
        <v>11.1655072853216</v>
      </c>
      <c r="AK766">
        <f t="shared" si="81"/>
        <v>83193.0558333333</v>
      </c>
    </row>
    <row r="767" spans="1:37">
      <c r="A767" t="s">
        <v>830</v>
      </c>
      <c r="B767">
        <v>41</v>
      </c>
      <c r="C767" t="s">
        <v>44</v>
      </c>
      <c r="D767" t="s">
        <v>51</v>
      </c>
      <c r="E767">
        <v>927</v>
      </c>
      <c r="F767">
        <v>15</v>
      </c>
      <c r="G767">
        <v>25</v>
      </c>
      <c r="H767">
        <v>3447.06</v>
      </c>
      <c r="I767">
        <v>76738.24</v>
      </c>
      <c r="J767">
        <v>85</v>
      </c>
      <c r="K767">
        <v>3</v>
      </c>
      <c r="L767">
        <v>13.3</v>
      </c>
      <c r="M767">
        <v>31.5</v>
      </c>
      <c r="N767" t="s">
        <v>61</v>
      </c>
      <c r="O767" t="s">
        <v>75</v>
      </c>
      <c r="P767" t="s">
        <v>58</v>
      </c>
      <c r="R767">
        <f>SUMIF(A767:A5766,"C00766",I767:I5766)</f>
        <v>76738.24</v>
      </c>
      <c r="S767" s="1">
        <v>123641.75</v>
      </c>
      <c r="T767">
        <f t="shared" si="78"/>
        <v>902.802823529412</v>
      </c>
      <c r="U767">
        <f t="shared" si="79"/>
        <v>2677.5</v>
      </c>
      <c r="V767">
        <f>U767*3</f>
        <v>8032.5</v>
      </c>
      <c r="W767">
        <f t="shared" si="80"/>
        <v>26728.7666666667</v>
      </c>
      <c r="X767">
        <f t="shared" si="83"/>
        <v>0.268924822892552</v>
      </c>
      <c r="AH767" t="str">
        <f t="shared" si="82"/>
        <v>2nd Quality</v>
      </c>
      <c r="AJ767">
        <f>((T767-X767)*2)/13.3</f>
        <v>135.719383264138</v>
      </c>
      <c r="AK767">
        <f t="shared" si="81"/>
        <v>836898.217411765</v>
      </c>
    </row>
    <row r="768" spans="1:37">
      <c r="A768" t="s">
        <v>831</v>
      </c>
      <c r="B768">
        <v>19</v>
      </c>
      <c r="C768" t="s">
        <v>44</v>
      </c>
      <c r="D768" t="s">
        <v>45</v>
      </c>
      <c r="E768">
        <v>757</v>
      </c>
      <c r="F768">
        <v>25</v>
      </c>
      <c r="G768">
        <v>33</v>
      </c>
      <c r="H768">
        <v>3820.51</v>
      </c>
      <c r="I768">
        <v>123641.75</v>
      </c>
      <c r="J768">
        <v>205</v>
      </c>
      <c r="K768">
        <v>1</v>
      </c>
      <c r="L768">
        <v>10.4</v>
      </c>
      <c r="M768">
        <v>42.2</v>
      </c>
      <c r="N768" t="s">
        <v>78</v>
      </c>
      <c r="O768" t="s">
        <v>75</v>
      </c>
      <c r="P768" t="s">
        <v>68</v>
      </c>
      <c r="R768">
        <f>SUMIF(A768:A5767,"C00767",I768:I5767)</f>
        <v>123641.75</v>
      </c>
      <c r="S768" s="1">
        <v>50112.7</v>
      </c>
      <c r="T768">
        <f t="shared" si="78"/>
        <v>603.130487804878</v>
      </c>
      <c r="U768">
        <f t="shared" si="79"/>
        <v>8651</v>
      </c>
      <c r="V768">
        <f>U768*1</f>
        <v>8651</v>
      </c>
      <c r="W768">
        <f t="shared" si="80"/>
        <v>42487.7533333333</v>
      </c>
      <c r="X768">
        <f t="shared" si="83"/>
        <v>0.198141085875969</v>
      </c>
      <c r="AH768" t="str">
        <f t="shared" si="82"/>
        <v>2nd Quality</v>
      </c>
      <c r="AJ768">
        <f>((T768-X768)*2)/10.4</f>
        <v>115.948528215193</v>
      </c>
      <c r="AK768">
        <f t="shared" si="81"/>
        <v>456569.779268293</v>
      </c>
    </row>
    <row r="769" spans="1:37">
      <c r="A769" t="s">
        <v>832</v>
      </c>
      <c r="B769">
        <v>18</v>
      </c>
      <c r="C769" t="s">
        <v>44</v>
      </c>
      <c r="D769" t="s">
        <v>60</v>
      </c>
      <c r="E769">
        <v>1038</v>
      </c>
      <c r="F769">
        <v>3</v>
      </c>
      <c r="G769">
        <v>31</v>
      </c>
      <c r="H769">
        <v>1582.68</v>
      </c>
      <c r="I769">
        <v>50112.7</v>
      </c>
      <c r="J769">
        <v>134</v>
      </c>
      <c r="K769">
        <v>0</v>
      </c>
      <c r="L769">
        <v>17</v>
      </c>
      <c r="M769">
        <v>33.1</v>
      </c>
      <c r="N769" t="s">
        <v>81</v>
      </c>
      <c r="O769" t="s">
        <v>47</v>
      </c>
      <c r="P769" t="s">
        <v>66</v>
      </c>
      <c r="R769">
        <f>SUMIF(A769:A5768,"C00768",I769:I5768)</f>
        <v>50112.7</v>
      </c>
      <c r="S769" s="1">
        <v>84864.58</v>
      </c>
      <c r="T769">
        <f t="shared" si="78"/>
        <v>373.975373134328</v>
      </c>
      <c r="U769">
        <f t="shared" si="79"/>
        <v>4435.4</v>
      </c>
      <c r="V769">
        <f>U769/12</f>
        <v>369.616666666667</v>
      </c>
      <c r="W769">
        <f t="shared" si="80"/>
        <v>17232.1266666667</v>
      </c>
      <c r="X769">
        <f t="shared" si="83"/>
        <v>0.655849571612708</v>
      </c>
      <c r="AH769" t="str">
        <f t="shared" si="82"/>
        <v>1st Quality</v>
      </c>
      <c r="AJ769">
        <f>((T769-X769)*2)/17</f>
        <v>43.9199439485547</v>
      </c>
      <c r="AK769">
        <f t="shared" si="81"/>
        <v>388186.437313433</v>
      </c>
    </row>
    <row r="770" spans="1:37">
      <c r="A770" t="s">
        <v>833</v>
      </c>
      <c r="B770">
        <v>33</v>
      </c>
      <c r="C770" t="s">
        <v>50</v>
      </c>
      <c r="D770" t="s">
        <v>60</v>
      </c>
      <c r="E770">
        <v>1300</v>
      </c>
      <c r="F770">
        <v>1</v>
      </c>
      <c r="G770">
        <v>30</v>
      </c>
      <c r="H770">
        <v>2553.4</v>
      </c>
      <c r="I770">
        <v>84864.58</v>
      </c>
      <c r="J770">
        <v>98</v>
      </c>
      <c r="K770">
        <v>1</v>
      </c>
      <c r="L770">
        <v>2.6</v>
      </c>
      <c r="M770">
        <v>23.2</v>
      </c>
      <c r="N770" t="s">
        <v>52</v>
      </c>
      <c r="O770" t="s">
        <v>47</v>
      </c>
      <c r="P770" t="s">
        <v>68</v>
      </c>
      <c r="R770">
        <f>SUMIF(A770:A5769,"C00769",I770:I5769)</f>
        <v>84864.58</v>
      </c>
      <c r="S770" s="1">
        <v>21328.18</v>
      </c>
      <c r="T770">
        <f t="shared" si="78"/>
        <v>865.965102040816</v>
      </c>
      <c r="U770">
        <f t="shared" si="79"/>
        <v>2273.6</v>
      </c>
      <c r="V770">
        <f>U770*1</f>
        <v>2273.6</v>
      </c>
      <c r="W770">
        <f t="shared" si="80"/>
        <v>29139.66</v>
      </c>
      <c r="X770">
        <f t="shared" si="83"/>
        <v>0.509125088117804</v>
      </c>
      <c r="AH770" t="str">
        <f t="shared" si="82"/>
        <v>1st Quality</v>
      </c>
      <c r="AJ770">
        <f>((T770-X770)*2)/2.6</f>
        <v>665.735366886691</v>
      </c>
      <c r="AK770">
        <f t="shared" si="81"/>
        <v>1125754.63265306</v>
      </c>
    </row>
    <row r="771" spans="1:37">
      <c r="A771" t="s">
        <v>834</v>
      </c>
      <c r="B771">
        <v>18</v>
      </c>
      <c r="C771" t="s">
        <v>44</v>
      </c>
      <c r="D771" t="s">
        <v>60</v>
      </c>
      <c r="E771">
        <v>726</v>
      </c>
      <c r="F771">
        <v>51</v>
      </c>
      <c r="G771">
        <v>2</v>
      </c>
      <c r="H771">
        <v>11293.04</v>
      </c>
      <c r="I771">
        <v>21328.18</v>
      </c>
      <c r="J771">
        <v>20</v>
      </c>
      <c r="K771">
        <v>0</v>
      </c>
      <c r="L771">
        <v>11</v>
      </c>
      <c r="M771">
        <v>38.1</v>
      </c>
      <c r="N771" t="s">
        <v>61</v>
      </c>
      <c r="O771" t="s">
        <v>47</v>
      </c>
      <c r="P771" t="s">
        <v>58</v>
      </c>
      <c r="R771">
        <f>SUMIF(A771:A5770,"C00770",I771:I5770)</f>
        <v>21328.18</v>
      </c>
      <c r="S771" s="1">
        <v>15178.97</v>
      </c>
      <c r="T771">
        <f t="shared" ref="T771:T834" si="84">I771/J771</f>
        <v>1066.409</v>
      </c>
      <c r="U771">
        <f t="shared" ref="U771:U834" si="85">J771*M771</f>
        <v>762</v>
      </c>
      <c r="V771">
        <f t="shared" ref="V771:V834" si="86">U771/12</f>
        <v>63.5</v>
      </c>
      <c r="W771">
        <f t="shared" ref="W771:W834" si="87">(H771+I771+1)/3</f>
        <v>10874.0733333333</v>
      </c>
      <c r="X771">
        <f t="shared" si="83"/>
        <v>0.0642873840878984</v>
      </c>
      <c r="AH771" t="str">
        <f t="shared" si="82"/>
        <v>2nd Quality</v>
      </c>
      <c r="AJ771">
        <f>((T771-X771)*2)/11</f>
        <v>193.880856839257</v>
      </c>
      <c r="AK771">
        <f t="shared" ref="AK771:AK834" si="88">I771/J771*E771</f>
        <v>774212.934</v>
      </c>
    </row>
    <row r="772" spans="1:37">
      <c r="A772" t="s">
        <v>835</v>
      </c>
      <c r="B772">
        <v>44</v>
      </c>
      <c r="C772" t="s">
        <v>50</v>
      </c>
      <c r="D772" t="s">
        <v>60</v>
      </c>
      <c r="E772">
        <v>1177</v>
      </c>
      <c r="F772">
        <v>36</v>
      </c>
      <c r="G772">
        <v>12</v>
      </c>
      <c r="H772">
        <v>1347.89</v>
      </c>
      <c r="I772">
        <v>15178.97</v>
      </c>
      <c r="J772">
        <v>92</v>
      </c>
      <c r="K772">
        <v>0</v>
      </c>
      <c r="L772">
        <v>26.9</v>
      </c>
      <c r="M772">
        <v>21.6</v>
      </c>
      <c r="N772" t="s">
        <v>46</v>
      </c>
      <c r="O772" t="s">
        <v>53</v>
      </c>
      <c r="P772" t="s">
        <v>58</v>
      </c>
      <c r="R772">
        <f>SUMIF(A772:A5771,"C00771",I772:I5771)</f>
        <v>15178.97</v>
      </c>
      <c r="S772" s="1">
        <v>58254.37</v>
      </c>
      <c r="T772">
        <f t="shared" si="84"/>
        <v>164.988804347826</v>
      </c>
      <c r="U772">
        <f t="shared" si="85"/>
        <v>1987.2</v>
      </c>
      <c r="V772">
        <f t="shared" si="86"/>
        <v>165.6</v>
      </c>
      <c r="W772">
        <f t="shared" si="87"/>
        <v>5509.28666666667</v>
      </c>
      <c r="X772">
        <f t="shared" si="83"/>
        <v>0.873216657145613</v>
      </c>
      <c r="AH772" t="str">
        <f t="shared" si="82"/>
        <v>3rd Quality</v>
      </c>
      <c r="AJ772">
        <f>((T772-X772)*2)/26.9</f>
        <v>12.2019024305339</v>
      </c>
      <c r="AK772">
        <f t="shared" si="88"/>
        <v>194191.822717391</v>
      </c>
    </row>
    <row r="773" spans="1:37">
      <c r="A773" t="s">
        <v>836</v>
      </c>
      <c r="B773">
        <v>40</v>
      </c>
      <c r="C773" t="s">
        <v>56</v>
      </c>
      <c r="D773" t="s">
        <v>60</v>
      </c>
      <c r="E773">
        <v>723</v>
      </c>
      <c r="F773">
        <v>4</v>
      </c>
      <c r="G773">
        <v>3</v>
      </c>
      <c r="H773">
        <v>21962.82</v>
      </c>
      <c r="I773">
        <v>58254.37</v>
      </c>
      <c r="J773">
        <v>24</v>
      </c>
      <c r="K773">
        <v>2</v>
      </c>
      <c r="L773">
        <v>16.5</v>
      </c>
      <c r="M773">
        <v>42.7</v>
      </c>
      <c r="N773" t="s">
        <v>78</v>
      </c>
      <c r="O773" t="s">
        <v>47</v>
      </c>
      <c r="P773" t="s">
        <v>68</v>
      </c>
      <c r="R773">
        <f>SUMIF(A773:A5772,"C00772",I773:I5772)</f>
        <v>58254.37</v>
      </c>
      <c r="S773" s="1">
        <v>63125.23</v>
      </c>
      <c r="T773">
        <f t="shared" si="84"/>
        <v>2427.26541666667</v>
      </c>
      <c r="U773">
        <f t="shared" si="85"/>
        <v>1024.8</v>
      </c>
      <c r="V773">
        <f>U773*2</f>
        <v>2049.6</v>
      </c>
      <c r="W773">
        <f t="shared" si="87"/>
        <v>26739.3966666667</v>
      </c>
      <c r="X773">
        <f t="shared" si="83"/>
        <v>0.0329192699298178</v>
      </c>
      <c r="AH773" t="str">
        <f t="shared" si="82"/>
        <v>2nd Quality</v>
      </c>
      <c r="AJ773">
        <f>((T773-X773)*2)/16.5</f>
        <v>294.209999684453</v>
      </c>
      <c r="AK773">
        <f t="shared" si="88"/>
        <v>1754912.89625</v>
      </c>
    </row>
    <row r="774" spans="1:37">
      <c r="A774" t="s">
        <v>837</v>
      </c>
      <c r="B774">
        <v>32</v>
      </c>
      <c r="C774" t="s">
        <v>44</v>
      </c>
      <c r="D774" t="s">
        <v>51</v>
      </c>
      <c r="E774">
        <v>417</v>
      </c>
      <c r="F774">
        <v>25</v>
      </c>
      <c r="G774">
        <v>8</v>
      </c>
      <c r="H774">
        <v>7751.75</v>
      </c>
      <c r="I774">
        <v>63125.23</v>
      </c>
      <c r="J774">
        <v>40</v>
      </c>
      <c r="K774">
        <v>0</v>
      </c>
      <c r="L774">
        <v>0</v>
      </c>
      <c r="M774">
        <v>28.4</v>
      </c>
      <c r="N774" t="s">
        <v>78</v>
      </c>
      <c r="O774" t="s">
        <v>47</v>
      </c>
      <c r="P774" t="s">
        <v>68</v>
      </c>
      <c r="R774">
        <f>SUMIF(A774:A5773,"C00774",I774:I5773)</f>
        <v>1361.15</v>
      </c>
      <c r="S774" s="1">
        <v>1361.15</v>
      </c>
      <c r="T774">
        <f t="shared" si="84"/>
        <v>1578.13075</v>
      </c>
      <c r="U774">
        <f t="shared" si="85"/>
        <v>1136</v>
      </c>
      <c r="V774">
        <f t="shared" si="86"/>
        <v>94.6666666666667</v>
      </c>
      <c r="W774">
        <f t="shared" si="87"/>
        <v>23625.9933333333</v>
      </c>
      <c r="X774">
        <f t="shared" si="83"/>
        <v>0.0537943045118844</v>
      </c>
      <c r="AH774" t="str">
        <f t="shared" si="82"/>
        <v>3rd Quality</v>
      </c>
      <c r="AJ774">
        <f>((T774-X774)*2)</f>
        <v>3156.15391139098</v>
      </c>
      <c r="AK774">
        <f t="shared" si="88"/>
        <v>658080.52275</v>
      </c>
    </row>
    <row r="775" spans="1:37">
      <c r="A775" t="s">
        <v>838</v>
      </c>
      <c r="B775">
        <v>40</v>
      </c>
      <c r="C775" t="s">
        <v>44</v>
      </c>
      <c r="D775" t="s">
        <v>45</v>
      </c>
      <c r="E775">
        <v>1273</v>
      </c>
      <c r="F775">
        <v>194</v>
      </c>
      <c r="G775">
        <v>1</v>
      </c>
      <c r="H775">
        <v>1216.39</v>
      </c>
      <c r="I775">
        <v>1361.15</v>
      </c>
      <c r="J775">
        <v>14</v>
      </c>
      <c r="K775">
        <v>1</v>
      </c>
      <c r="L775">
        <v>22.9</v>
      </c>
      <c r="M775">
        <v>61</v>
      </c>
      <c r="N775" t="s">
        <v>52</v>
      </c>
      <c r="O775" t="s">
        <v>53</v>
      </c>
      <c r="P775" t="s">
        <v>58</v>
      </c>
      <c r="R775">
        <f>SUMIF(A775:A5774,"C00774",I775:I5774)</f>
        <v>1361.15</v>
      </c>
      <c r="S775" s="1">
        <v>75821.23</v>
      </c>
      <c r="T775">
        <f t="shared" si="84"/>
        <v>97.225</v>
      </c>
      <c r="U775">
        <f t="shared" si="85"/>
        <v>854</v>
      </c>
      <c r="V775">
        <f>U775*1</f>
        <v>854</v>
      </c>
      <c r="W775">
        <f t="shared" si="87"/>
        <v>859.513333333333</v>
      </c>
      <c r="X775">
        <f t="shared" si="83"/>
        <v>1.04653935004398</v>
      </c>
      <c r="AH775" t="str">
        <f t="shared" si="82"/>
        <v>3rd Quality</v>
      </c>
      <c r="AJ775">
        <f>((T775-X775)*2)/22.9</f>
        <v>8.39986555894812</v>
      </c>
      <c r="AK775">
        <f t="shared" si="88"/>
        <v>123767.425</v>
      </c>
    </row>
    <row r="776" spans="1:37">
      <c r="A776" t="s">
        <v>839</v>
      </c>
      <c r="B776">
        <v>18</v>
      </c>
      <c r="C776" t="s">
        <v>44</v>
      </c>
      <c r="D776" t="s">
        <v>45</v>
      </c>
      <c r="E776">
        <v>940</v>
      </c>
      <c r="F776">
        <v>6</v>
      </c>
      <c r="G776">
        <v>18</v>
      </c>
      <c r="H776">
        <v>4346.77</v>
      </c>
      <c r="I776">
        <v>75821.23</v>
      </c>
      <c r="J776">
        <v>151</v>
      </c>
      <c r="K776">
        <v>2</v>
      </c>
      <c r="L776">
        <v>3.3</v>
      </c>
      <c r="M776">
        <v>31.1</v>
      </c>
      <c r="N776" t="s">
        <v>78</v>
      </c>
      <c r="O776" t="s">
        <v>53</v>
      </c>
      <c r="P776" t="s">
        <v>54</v>
      </c>
      <c r="R776">
        <f>SUMIF(A776:A5775,"C00775",I776:I5775)</f>
        <v>75821.23</v>
      </c>
      <c r="S776" s="1">
        <v>896.95</v>
      </c>
      <c r="T776">
        <f t="shared" si="84"/>
        <v>502.127350993377</v>
      </c>
      <c r="U776">
        <f t="shared" si="85"/>
        <v>4696.1</v>
      </c>
      <c r="V776">
        <f>U776*2</f>
        <v>9392.2</v>
      </c>
      <c r="W776">
        <f t="shared" si="87"/>
        <v>26723</v>
      </c>
      <c r="X776">
        <f t="shared" si="83"/>
        <v>0.216252527738988</v>
      </c>
      <c r="AH776" t="str">
        <f t="shared" si="82"/>
        <v>1st Quality</v>
      </c>
      <c r="AJ776">
        <f>((T776-X776)*2)/3.3</f>
        <v>304.188544524629</v>
      </c>
      <c r="AK776">
        <f t="shared" si="88"/>
        <v>471999.709933775</v>
      </c>
    </row>
    <row r="777" spans="1:37">
      <c r="A777" t="s">
        <v>840</v>
      </c>
      <c r="B777">
        <v>40</v>
      </c>
      <c r="C777" t="s">
        <v>44</v>
      </c>
      <c r="D777" t="s">
        <v>45</v>
      </c>
      <c r="E777">
        <v>1090</v>
      </c>
      <c r="F777">
        <v>108</v>
      </c>
      <c r="G777">
        <v>1</v>
      </c>
      <c r="H777">
        <v>897.41</v>
      </c>
      <c r="I777">
        <v>896.95</v>
      </c>
      <c r="J777">
        <v>14</v>
      </c>
      <c r="K777">
        <v>0</v>
      </c>
      <c r="L777">
        <v>32.3</v>
      </c>
      <c r="M777">
        <v>25.2</v>
      </c>
      <c r="N777" t="s">
        <v>57</v>
      </c>
      <c r="O777" t="s">
        <v>47</v>
      </c>
      <c r="P777" t="s">
        <v>58</v>
      </c>
      <c r="R777">
        <f>SUMIF(A777:A5776,"C00776",I777:I5776)</f>
        <v>896.95</v>
      </c>
      <c r="S777" s="1">
        <v>67248.85</v>
      </c>
      <c r="T777">
        <f t="shared" si="84"/>
        <v>64.0678571428572</v>
      </c>
      <c r="U777">
        <f t="shared" si="85"/>
        <v>352.8</v>
      </c>
      <c r="V777">
        <f t="shared" si="86"/>
        <v>29.4</v>
      </c>
      <c r="W777">
        <f t="shared" si="87"/>
        <v>598.453333333333</v>
      </c>
      <c r="X777">
        <f t="shared" si="83"/>
        <v>1.2146064786441</v>
      </c>
      <c r="AH777" t="str">
        <f t="shared" si="82"/>
        <v>3rd Quality</v>
      </c>
      <c r="AJ777">
        <f>((T777-X777)*2)/32.3</f>
        <v>3.8918421463909</v>
      </c>
      <c r="AK777">
        <f t="shared" si="88"/>
        <v>69833.9642857143</v>
      </c>
    </row>
    <row r="778" spans="1:37">
      <c r="A778" t="s">
        <v>841</v>
      </c>
      <c r="B778">
        <v>40</v>
      </c>
      <c r="C778" t="s">
        <v>50</v>
      </c>
      <c r="D778" t="s">
        <v>45</v>
      </c>
      <c r="E778">
        <v>777</v>
      </c>
      <c r="F778">
        <v>15</v>
      </c>
      <c r="G778">
        <v>7</v>
      </c>
      <c r="H778">
        <v>10746.34</v>
      </c>
      <c r="I778">
        <v>67248.85</v>
      </c>
      <c r="J778">
        <v>51</v>
      </c>
      <c r="K778">
        <v>0</v>
      </c>
      <c r="L778">
        <v>7.6</v>
      </c>
      <c r="M778">
        <v>41.1</v>
      </c>
      <c r="N778" t="s">
        <v>81</v>
      </c>
      <c r="O778" t="s">
        <v>47</v>
      </c>
      <c r="P778" t="s">
        <v>58</v>
      </c>
      <c r="R778">
        <f>SUMIF(A778:A5777,"C00777",I778:I5777)</f>
        <v>67248.85</v>
      </c>
      <c r="S778" s="1">
        <v>81613.68</v>
      </c>
      <c r="T778">
        <f t="shared" si="84"/>
        <v>1318.60490196078</v>
      </c>
      <c r="U778">
        <f t="shared" si="85"/>
        <v>2096.1</v>
      </c>
      <c r="V778">
        <f t="shared" si="86"/>
        <v>174.675</v>
      </c>
      <c r="W778">
        <f t="shared" si="87"/>
        <v>25998.73</v>
      </c>
      <c r="X778">
        <f t="shared" si="83"/>
        <v>0.0723036866505247</v>
      </c>
      <c r="AH778" t="str">
        <f t="shared" si="82"/>
        <v>2nd Quality</v>
      </c>
      <c r="AJ778">
        <f>((T778-X778)*2)/7.6</f>
        <v>346.982262703718</v>
      </c>
      <c r="AK778">
        <f t="shared" si="88"/>
        <v>1024556.00882353</v>
      </c>
    </row>
    <row r="779" spans="1:37">
      <c r="A779" t="s">
        <v>842</v>
      </c>
      <c r="B779">
        <v>18</v>
      </c>
      <c r="C779" t="s">
        <v>44</v>
      </c>
      <c r="D779" t="s">
        <v>60</v>
      </c>
      <c r="E779">
        <v>861</v>
      </c>
      <c r="F779">
        <v>3</v>
      </c>
      <c r="G779">
        <v>28</v>
      </c>
      <c r="H779">
        <v>2865.88</v>
      </c>
      <c r="I779">
        <v>81613.68</v>
      </c>
      <c r="J779">
        <v>88</v>
      </c>
      <c r="K779">
        <v>3</v>
      </c>
      <c r="L779">
        <v>13</v>
      </c>
      <c r="M779">
        <v>65.5</v>
      </c>
      <c r="N779" t="s">
        <v>46</v>
      </c>
      <c r="O779" t="s">
        <v>53</v>
      </c>
      <c r="P779" t="s">
        <v>66</v>
      </c>
      <c r="R779">
        <f>SUMIF(A779:A5778,"C00778",I779:I5778)</f>
        <v>81613.68</v>
      </c>
      <c r="S779" s="1">
        <v>2241.88</v>
      </c>
      <c r="T779">
        <f t="shared" si="84"/>
        <v>927.428181818182</v>
      </c>
      <c r="U779">
        <f t="shared" si="85"/>
        <v>5764</v>
      </c>
      <c r="V779">
        <f>U779*3</f>
        <v>17292</v>
      </c>
      <c r="W779">
        <f t="shared" si="87"/>
        <v>28160.1866666667</v>
      </c>
      <c r="X779">
        <f t="shared" si="83"/>
        <v>0.300431281142267</v>
      </c>
      <c r="AH779" t="str">
        <f t="shared" si="82"/>
        <v>2nd Quality</v>
      </c>
      <c r="AJ779">
        <f>((T779-X779)*2)/13</f>
        <v>142.63503854416</v>
      </c>
      <c r="AK779">
        <f t="shared" si="88"/>
        <v>798515.664545455</v>
      </c>
    </row>
    <row r="780" spans="1:37">
      <c r="A780" t="s">
        <v>843</v>
      </c>
      <c r="B780">
        <v>34</v>
      </c>
      <c r="C780" t="s">
        <v>50</v>
      </c>
      <c r="D780" t="s">
        <v>51</v>
      </c>
      <c r="E780">
        <v>1263</v>
      </c>
      <c r="F780">
        <v>174</v>
      </c>
      <c r="G780">
        <v>6</v>
      </c>
      <c r="H780">
        <v>401.59</v>
      </c>
      <c r="I780">
        <v>2241.88</v>
      </c>
      <c r="J780">
        <v>38</v>
      </c>
      <c r="K780">
        <v>0</v>
      </c>
      <c r="L780">
        <v>14.3</v>
      </c>
      <c r="M780">
        <v>21.1</v>
      </c>
      <c r="N780" t="s">
        <v>61</v>
      </c>
      <c r="O780" t="s">
        <v>47</v>
      </c>
      <c r="P780" t="s">
        <v>58</v>
      </c>
      <c r="R780">
        <f>SUMIF(A780:A5779,"C00779",I780:I5779)</f>
        <v>2241.88</v>
      </c>
      <c r="S780" s="1">
        <v>857.74</v>
      </c>
      <c r="T780">
        <f t="shared" si="84"/>
        <v>58.9968421052632</v>
      </c>
      <c r="U780">
        <f t="shared" si="85"/>
        <v>801.8</v>
      </c>
      <c r="V780">
        <f t="shared" si="86"/>
        <v>66.8166666666667</v>
      </c>
      <c r="W780">
        <f t="shared" si="87"/>
        <v>881.49</v>
      </c>
      <c r="X780">
        <f t="shared" si="83"/>
        <v>3.14499863044399</v>
      </c>
      <c r="AH780" t="str">
        <f t="shared" si="82"/>
        <v>3rd Quality</v>
      </c>
      <c r="AJ780">
        <f>((T780-X780)*2)/14.3</f>
        <v>7.81144663983485</v>
      </c>
      <c r="AK780">
        <f t="shared" si="88"/>
        <v>74513.0115789474</v>
      </c>
    </row>
    <row r="781" spans="1:37">
      <c r="A781" t="s">
        <v>844</v>
      </c>
      <c r="B781">
        <v>28</v>
      </c>
      <c r="C781" t="s">
        <v>44</v>
      </c>
      <c r="D781" t="s">
        <v>45</v>
      </c>
      <c r="E781">
        <v>978</v>
      </c>
      <c r="F781">
        <v>55</v>
      </c>
      <c r="G781">
        <v>1</v>
      </c>
      <c r="H781">
        <v>970.61</v>
      </c>
      <c r="I781">
        <v>857.74</v>
      </c>
      <c r="J781">
        <v>12</v>
      </c>
      <c r="K781">
        <v>0</v>
      </c>
      <c r="L781">
        <v>39.3</v>
      </c>
      <c r="M781">
        <v>46.4</v>
      </c>
      <c r="N781" t="s">
        <v>63</v>
      </c>
      <c r="O781" t="s">
        <v>47</v>
      </c>
      <c r="P781" t="s">
        <v>58</v>
      </c>
      <c r="R781">
        <f>SUMIF(A781:A5780,"C00780",I781:I5780)</f>
        <v>857.74</v>
      </c>
      <c r="S781" s="1">
        <v>16587.87</v>
      </c>
      <c r="T781">
        <f t="shared" si="84"/>
        <v>71.4783333333333</v>
      </c>
      <c r="U781">
        <f t="shared" si="85"/>
        <v>556.8</v>
      </c>
      <c r="V781">
        <f t="shared" si="86"/>
        <v>46.4</v>
      </c>
      <c r="W781">
        <f t="shared" si="87"/>
        <v>609.783333333333</v>
      </c>
      <c r="X781">
        <f t="shared" si="83"/>
        <v>1.00761376866095</v>
      </c>
      <c r="AH781" t="str">
        <f t="shared" si="82"/>
        <v>3rd Quality</v>
      </c>
      <c r="AJ781">
        <f>((T781-X781)*2)/39.3</f>
        <v>3.58629616105203</v>
      </c>
      <c r="AK781">
        <f t="shared" si="88"/>
        <v>69905.81</v>
      </c>
    </row>
    <row r="782" spans="1:37">
      <c r="A782" t="s">
        <v>845</v>
      </c>
      <c r="B782">
        <v>18</v>
      </c>
      <c r="C782" t="s">
        <v>50</v>
      </c>
      <c r="D782" t="s">
        <v>60</v>
      </c>
      <c r="E782">
        <v>531</v>
      </c>
      <c r="F782">
        <v>27</v>
      </c>
      <c r="G782">
        <v>10</v>
      </c>
      <c r="H782">
        <v>1588.69</v>
      </c>
      <c r="I782">
        <v>16587.87</v>
      </c>
      <c r="J782">
        <v>75</v>
      </c>
      <c r="K782">
        <v>0</v>
      </c>
      <c r="L782">
        <v>23.6</v>
      </c>
      <c r="M782">
        <v>33.9</v>
      </c>
      <c r="N782" t="s">
        <v>61</v>
      </c>
      <c r="O782" t="s">
        <v>53</v>
      </c>
      <c r="P782" t="s">
        <v>58</v>
      </c>
      <c r="R782">
        <f>SUMIF(A782:A5781,"C00781",I782:I5781)</f>
        <v>16587.87</v>
      </c>
      <c r="S782" s="1">
        <v>1944.18</v>
      </c>
      <c r="T782">
        <f t="shared" si="84"/>
        <v>221.1716</v>
      </c>
      <c r="U782">
        <f t="shared" si="85"/>
        <v>2542.5</v>
      </c>
      <c r="V782">
        <f t="shared" si="86"/>
        <v>211.875</v>
      </c>
      <c r="W782">
        <f t="shared" si="87"/>
        <v>6059.18666666667</v>
      </c>
      <c r="X782">
        <f t="shared" si="83"/>
        <v>0.33423764233425</v>
      </c>
      <c r="AH782" t="str">
        <f t="shared" ref="AH782:AH845" si="89">IF(AND(W782&gt;=12550,B782&lt;=33,E782&gt;=915),"1st Quality",IF(AND(W782&gt;=6275,B782&lt;=43,E782&gt;=457),"2nd Quality","3rd Quality"))</f>
        <v>3rd Quality</v>
      </c>
      <c r="AJ782">
        <f>((T782-X782)*2)/23.6</f>
        <v>18.7150307082768</v>
      </c>
      <c r="AK782">
        <f t="shared" si="88"/>
        <v>117442.1196</v>
      </c>
    </row>
    <row r="783" spans="1:37">
      <c r="A783" t="s">
        <v>846</v>
      </c>
      <c r="B783">
        <v>30</v>
      </c>
      <c r="C783" t="s">
        <v>50</v>
      </c>
      <c r="D783" t="s">
        <v>60</v>
      </c>
      <c r="E783">
        <v>920</v>
      </c>
      <c r="F783">
        <v>210</v>
      </c>
      <c r="G783">
        <v>1</v>
      </c>
      <c r="H783">
        <v>2123.73</v>
      </c>
      <c r="I783">
        <v>1944.18</v>
      </c>
      <c r="J783">
        <v>17</v>
      </c>
      <c r="K783">
        <v>1</v>
      </c>
      <c r="L783">
        <v>20.9</v>
      </c>
      <c r="M783">
        <v>16.6</v>
      </c>
      <c r="N783" t="s">
        <v>57</v>
      </c>
      <c r="O783" t="s">
        <v>75</v>
      </c>
      <c r="P783" t="s">
        <v>58</v>
      </c>
      <c r="R783">
        <f>SUMIF(A783:A5782,"C00782",I783:I5782)</f>
        <v>1944.18</v>
      </c>
      <c r="S783" s="1">
        <v>7502.38</v>
      </c>
      <c r="T783">
        <f t="shared" si="84"/>
        <v>114.363529411765</v>
      </c>
      <c r="U783">
        <f t="shared" si="85"/>
        <v>282.2</v>
      </c>
      <c r="V783">
        <f>U783*1</f>
        <v>282.2</v>
      </c>
      <c r="W783">
        <f t="shared" si="87"/>
        <v>1356.30333333333</v>
      </c>
      <c r="X783">
        <f t="shared" si="83"/>
        <v>0.433200077222622</v>
      </c>
      <c r="AH783" t="str">
        <f t="shared" si="89"/>
        <v>3rd Quality</v>
      </c>
      <c r="AJ783">
        <f>((T783-X783)*2)/20.9</f>
        <v>10.9024238597648</v>
      </c>
      <c r="AK783">
        <f t="shared" si="88"/>
        <v>105214.447058824</v>
      </c>
    </row>
    <row r="784" spans="1:37">
      <c r="A784" t="s">
        <v>847</v>
      </c>
      <c r="B784">
        <v>38</v>
      </c>
      <c r="C784" t="s">
        <v>44</v>
      </c>
      <c r="D784" t="s">
        <v>60</v>
      </c>
      <c r="E784">
        <v>516</v>
      </c>
      <c r="F784">
        <v>18</v>
      </c>
      <c r="G784">
        <v>6</v>
      </c>
      <c r="H784">
        <v>1382.76</v>
      </c>
      <c r="I784">
        <v>7502.38</v>
      </c>
      <c r="J784">
        <v>57</v>
      </c>
      <c r="K784">
        <v>0</v>
      </c>
      <c r="L784">
        <v>24.6</v>
      </c>
      <c r="M784">
        <v>12.4</v>
      </c>
      <c r="N784" t="s">
        <v>63</v>
      </c>
      <c r="O784" t="s">
        <v>47</v>
      </c>
      <c r="P784" t="s">
        <v>58</v>
      </c>
      <c r="R784">
        <f>SUMIF(A784:A5783,"C00783",I784:I5783)</f>
        <v>7502.38</v>
      </c>
      <c r="S784" s="1">
        <v>64200.96</v>
      </c>
      <c r="T784">
        <f t="shared" si="84"/>
        <v>131.620701754386</v>
      </c>
      <c r="U784">
        <f t="shared" si="85"/>
        <v>706.8</v>
      </c>
      <c r="V784">
        <f t="shared" si="86"/>
        <v>58.9</v>
      </c>
      <c r="W784">
        <f t="shared" si="87"/>
        <v>2962.04666666667</v>
      </c>
      <c r="X784">
        <f t="shared" si="83"/>
        <v>0.373166710058145</v>
      </c>
      <c r="AH784" t="str">
        <f t="shared" si="89"/>
        <v>3rd Quality</v>
      </c>
      <c r="AJ784">
        <f>((T784-X784)*2)/24.6</f>
        <v>10.6705313044169</v>
      </c>
      <c r="AK784">
        <f t="shared" si="88"/>
        <v>67916.2821052632</v>
      </c>
    </row>
    <row r="785" spans="1:37">
      <c r="A785" t="s">
        <v>848</v>
      </c>
      <c r="B785">
        <v>18</v>
      </c>
      <c r="C785" t="s">
        <v>50</v>
      </c>
      <c r="D785" t="s">
        <v>45</v>
      </c>
      <c r="E785">
        <v>560</v>
      </c>
      <c r="F785">
        <v>136</v>
      </c>
      <c r="G785">
        <v>5</v>
      </c>
      <c r="H785">
        <v>13736.33</v>
      </c>
      <c r="I785">
        <v>64200.96</v>
      </c>
      <c r="J785">
        <v>33</v>
      </c>
      <c r="K785">
        <v>0</v>
      </c>
      <c r="L785">
        <v>1.6</v>
      </c>
      <c r="M785">
        <v>10.6</v>
      </c>
      <c r="N785" t="s">
        <v>61</v>
      </c>
      <c r="O785" t="s">
        <v>47</v>
      </c>
      <c r="P785" t="s">
        <v>48</v>
      </c>
      <c r="R785">
        <f>SUMIF(A785:A5784,"C00784",I785:I5784)</f>
        <v>64200.96</v>
      </c>
      <c r="S785" s="1">
        <v>4467.54</v>
      </c>
      <c r="T785">
        <f t="shared" si="84"/>
        <v>1945.48363636364</v>
      </c>
      <c r="U785">
        <f t="shared" si="85"/>
        <v>349.8</v>
      </c>
      <c r="V785">
        <f t="shared" si="86"/>
        <v>29.15</v>
      </c>
      <c r="W785">
        <f t="shared" si="87"/>
        <v>25979.43</v>
      </c>
      <c r="X785">
        <f t="shared" si="83"/>
        <v>0.0407678033361167</v>
      </c>
      <c r="AH785" t="str">
        <f t="shared" si="89"/>
        <v>2nd Quality</v>
      </c>
      <c r="AJ785">
        <f>((T785-X785)*2)/1.6</f>
        <v>2431.80358570038</v>
      </c>
      <c r="AK785">
        <f t="shared" si="88"/>
        <v>1089470.83636364</v>
      </c>
    </row>
    <row r="786" spans="1:37">
      <c r="A786" t="s">
        <v>849</v>
      </c>
      <c r="B786">
        <v>39</v>
      </c>
      <c r="C786" t="s">
        <v>44</v>
      </c>
      <c r="D786" t="s">
        <v>45</v>
      </c>
      <c r="E786">
        <v>1444</v>
      </c>
      <c r="F786">
        <v>353</v>
      </c>
      <c r="G786">
        <v>4</v>
      </c>
      <c r="H786">
        <v>1223.3</v>
      </c>
      <c r="I786">
        <v>4467.54</v>
      </c>
      <c r="J786">
        <v>28</v>
      </c>
      <c r="K786">
        <v>0</v>
      </c>
      <c r="L786">
        <v>20.6</v>
      </c>
      <c r="M786">
        <v>42</v>
      </c>
      <c r="N786" t="s">
        <v>78</v>
      </c>
      <c r="O786" t="s">
        <v>47</v>
      </c>
      <c r="P786" t="s">
        <v>58</v>
      </c>
      <c r="R786">
        <f>SUMIF(A786:A5785,"C00785",I786:I5785)</f>
        <v>4467.54</v>
      </c>
      <c r="S786" s="1">
        <v>29138.53</v>
      </c>
      <c r="T786">
        <f t="shared" si="84"/>
        <v>159.555</v>
      </c>
      <c r="U786">
        <f t="shared" si="85"/>
        <v>1176</v>
      </c>
      <c r="V786">
        <f t="shared" si="86"/>
        <v>98</v>
      </c>
      <c r="W786">
        <f t="shared" si="87"/>
        <v>1897.28</v>
      </c>
      <c r="X786">
        <f t="shared" si="83"/>
        <v>1.18041363524892</v>
      </c>
      <c r="AH786" t="str">
        <f t="shared" si="89"/>
        <v>3rd Quality</v>
      </c>
      <c r="AJ786">
        <f>((T786-X786)*2)/20.6</f>
        <v>15.376173433471</v>
      </c>
      <c r="AK786">
        <f t="shared" si="88"/>
        <v>230397.42</v>
      </c>
    </row>
    <row r="787" spans="1:37">
      <c r="A787" t="s">
        <v>850</v>
      </c>
      <c r="B787">
        <v>46</v>
      </c>
      <c r="C787" t="s">
        <v>50</v>
      </c>
      <c r="D787" t="s">
        <v>45</v>
      </c>
      <c r="E787">
        <v>1319</v>
      </c>
      <c r="F787">
        <v>9</v>
      </c>
      <c r="G787">
        <v>12</v>
      </c>
      <c r="H787">
        <v>2358.66</v>
      </c>
      <c r="I787">
        <v>29138.53</v>
      </c>
      <c r="J787">
        <v>57</v>
      </c>
      <c r="K787">
        <v>2</v>
      </c>
      <c r="L787">
        <v>22.5</v>
      </c>
      <c r="M787">
        <v>5</v>
      </c>
      <c r="N787" t="s">
        <v>57</v>
      </c>
      <c r="O787" t="s">
        <v>47</v>
      </c>
      <c r="P787" t="s">
        <v>68</v>
      </c>
      <c r="R787">
        <f>SUMIF(A787:A5786,"C00786",I787:I5786)</f>
        <v>29138.53</v>
      </c>
      <c r="S787" s="1">
        <v>1653.94</v>
      </c>
      <c r="T787">
        <f t="shared" si="84"/>
        <v>511.202280701754</v>
      </c>
      <c r="U787">
        <f t="shared" si="85"/>
        <v>285</v>
      </c>
      <c r="V787">
        <f>U787*2</f>
        <v>570</v>
      </c>
      <c r="W787">
        <f t="shared" si="87"/>
        <v>10499.3966666667</v>
      </c>
      <c r="X787">
        <f t="shared" si="83"/>
        <v>0.559215825935065</v>
      </c>
      <c r="AH787" t="str">
        <f t="shared" si="89"/>
        <v>3rd Quality</v>
      </c>
      <c r="AJ787">
        <f>((T787-X787)*2)/22.5</f>
        <v>45.3904946556284</v>
      </c>
      <c r="AK787">
        <f t="shared" si="88"/>
        <v>674275.808245614</v>
      </c>
    </row>
    <row r="788" spans="1:37">
      <c r="A788" t="s">
        <v>851</v>
      </c>
      <c r="B788">
        <v>19</v>
      </c>
      <c r="C788" t="s">
        <v>44</v>
      </c>
      <c r="D788" t="s">
        <v>51</v>
      </c>
      <c r="E788">
        <v>1315</v>
      </c>
      <c r="F788">
        <v>185</v>
      </c>
      <c r="G788">
        <v>3</v>
      </c>
      <c r="H788">
        <v>583.96</v>
      </c>
      <c r="I788">
        <v>1653.94</v>
      </c>
      <c r="J788">
        <v>20</v>
      </c>
      <c r="K788">
        <v>0</v>
      </c>
      <c r="L788">
        <v>29.4</v>
      </c>
      <c r="M788">
        <v>14.7</v>
      </c>
      <c r="N788" t="s">
        <v>52</v>
      </c>
      <c r="O788" t="s">
        <v>53</v>
      </c>
      <c r="P788" t="s">
        <v>58</v>
      </c>
      <c r="R788">
        <f>SUMIF(A788:A5787,"C00787",I788:I5787)</f>
        <v>1653.94</v>
      </c>
      <c r="S788" s="1">
        <v>8093.86</v>
      </c>
      <c r="T788">
        <f t="shared" si="84"/>
        <v>82.697</v>
      </c>
      <c r="U788">
        <f t="shared" si="85"/>
        <v>294</v>
      </c>
      <c r="V788">
        <f t="shared" si="86"/>
        <v>24.5</v>
      </c>
      <c r="W788">
        <f t="shared" si="87"/>
        <v>746.3</v>
      </c>
      <c r="X788">
        <f t="shared" si="83"/>
        <v>2.25186656620316</v>
      </c>
      <c r="AH788" t="str">
        <f t="shared" si="89"/>
        <v>3rd Quality</v>
      </c>
      <c r="AJ788">
        <f>((T788-X788)*2)/29.4</f>
        <v>5.47245805672087</v>
      </c>
      <c r="AK788">
        <f t="shared" si="88"/>
        <v>108746.555</v>
      </c>
    </row>
    <row r="789" spans="1:37">
      <c r="A789" t="s">
        <v>852</v>
      </c>
      <c r="B789">
        <v>18</v>
      </c>
      <c r="C789" t="s">
        <v>44</v>
      </c>
      <c r="D789" t="s">
        <v>60</v>
      </c>
      <c r="E789">
        <v>469</v>
      </c>
      <c r="F789">
        <v>42</v>
      </c>
      <c r="G789">
        <v>6</v>
      </c>
      <c r="H789">
        <v>1295.8</v>
      </c>
      <c r="I789">
        <v>8093.86</v>
      </c>
      <c r="J789">
        <v>23</v>
      </c>
      <c r="K789">
        <v>0</v>
      </c>
      <c r="L789">
        <v>25.5</v>
      </c>
      <c r="M789">
        <v>27.5</v>
      </c>
      <c r="N789" t="s">
        <v>61</v>
      </c>
      <c r="O789" t="s">
        <v>75</v>
      </c>
      <c r="P789" t="s">
        <v>68</v>
      </c>
      <c r="R789">
        <f>SUMIF(A789:A5788,"C00788",I789:I5788)</f>
        <v>8093.86</v>
      </c>
      <c r="S789" s="1">
        <v>1113.14</v>
      </c>
      <c r="T789">
        <f t="shared" si="84"/>
        <v>351.906956521739</v>
      </c>
      <c r="U789">
        <f t="shared" si="85"/>
        <v>632.5</v>
      </c>
      <c r="V789">
        <f t="shared" si="86"/>
        <v>52.7083333333333</v>
      </c>
      <c r="W789">
        <f t="shared" si="87"/>
        <v>3130.22</v>
      </c>
      <c r="X789">
        <f t="shared" si="83"/>
        <v>0.361938570767094</v>
      </c>
      <c r="AH789" t="str">
        <f t="shared" si="89"/>
        <v>3rd Quality</v>
      </c>
      <c r="AJ789">
        <f>((T789-X789)*2)/25.5</f>
        <v>27.5721582706645</v>
      </c>
      <c r="AK789">
        <f t="shared" si="88"/>
        <v>165044.362608696</v>
      </c>
    </row>
    <row r="790" spans="1:37">
      <c r="A790" t="s">
        <v>853</v>
      </c>
      <c r="B790">
        <v>44</v>
      </c>
      <c r="C790" t="s">
        <v>50</v>
      </c>
      <c r="D790" t="s">
        <v>45</v>
      </c>
      <c r="E790">
        <v>1458</v>
      </c>
      <c r="F790">
        <v>120</v>
      </c>
      <c r="G790">
        <v>1</v>
      </c>
      <c r="H790">
        <v>1100.99</v>
      </c>
      <c r="I790">
        <v>1113.14</v>
      </c>
      <c r="J790">
        <v>13</v>
      </c>
      <c r="K790">
        <v>0</v>
      </c>
      <c r="L790">
        <v>28.3</v>
      </c>
      <c r="M790">
        <v>33</v>
      </c>
      <c r="N790" t="s">
        <v>78</v>
      </c>
      <c r="O790" t="s">
        <v>47</v>
      </c>
      <c r="P790" t="s">
        <v>48</v>
      </c>
      <c r="R790">
        <f>SUMIF(A790:A5789,"C00789",I790:I5789)</f>
        <v>1113.14</v>
      </c>
      <c r="S790" s="1">
        <v>22611.58</v>
      </c>
      <c r="T790">
        <f t="shared" si="84"/>
        <v>85.6261538461539</v>
      </c>
      <c r="U790">
        <f t="shared" si="85"/>
        <v>429</v>
      </c>
      <c r="V790">
        <f t="shared" si="86"/>
        <v>35.75</v>
      </c>
      <c r="W790">
        <f t="shared" si="87"/>
        <v>738.376666666667</v>
      </c>
      <c r="X790">
        <f t="shared" si="83"/>
        <v>1.32426270901643</v>
      </c>
      <c r="AH790" t="str">
        <f t="shared" si="89"/>
        <v>3rd Quality</v>
      </c>
      <c r="AJ790">
        <f>((T790-X790)*2)/28.4</f>
        <v>5.93675289698151</v>
      </c>
      <c r="AK790">
        <f t="shared" si="88"/>
        <v>124842.932307692</v>
      </c>
    </row>
    <row r="791" spans="1:37">
      <c r="A791" t="s">
        <v>854</v>
      </c>
      <c r="B791">
        <v>28</v>
      </c>
      <c r="C791" t="s">
        <v>50</v>
      </c>
      <c r="D791" t="s">
        <v>60</v>
      </c>
      <c r="E791">
        <v>602</v>
      </c>
      <c r="F791">
        <v>25</v>
      </c>
      <c r="G791">
        <v>3</v>
      </c>
      <c r="H791">
        <v>7811.6</v>
      </c>
      <c r="I791">
        <v>22611.58</v>
      </c>
      <c r="J791">
        <v>32</v>
      </c>
      <c r="K791">
        <v>0</v>
      </c>
      <c r="L791">
        <v>0</v>
      </c>
      <c r="M791">
        <v>70.2</v>
      </c>
      <c r="N791" t="s">
        <v>46</v>
      </c>
      <c r="O791" t="s">
        <v>53</v>
      </c>
      <c r="P791" t="s">
        <v>68</v>
      </c>
      <c r="R791">
        <f>SUMIF(A791:A5790,"C00790",I791:I5790)</f>
        <v>22611.58</v>
      </c>
      <c r="S791" s="1">
        <v>94577.02</v>
      </c>
      <c r="T791">
        <f t="shared" si="84"/>
        <v>706.611875</v>
      </c>
      <c r="U791">
        <f t="shared" si="85"/>
        <v>2246.4</v>
      </c>
      <c r="V791">
        <f t="shared" si="86"/>
        <v>187.2</v>
      </c>
      <c r="W791">
        <f t="shared" si="87"/>
        <v>10141.3933333333</v>
      </c>
      <c r="X791">
        <f t="shared" si="83"/>
        <v>0.0770648778739311</v>
      </c>
      <c r="AH791" t="str">
        <f t="shared" si="89"/>
        <v>2nd Quality</v>
      </c>
      <c r="AJ791">
        <f>((T791-X791)*2)</f>
        <v>1413.06962024425</v>
      </c>
      <c r="AK791">
        <f t="shared" si="88"/>
        <v>425380.34875</v>
      </c>
    </row>
    <row r="792" spans="1:37">
      <c r="A792" t="s">
        <v>855</v>
      </c>
      <c r="B792">
        <v>45</v>
      </c>
      <c r="C792" t="s">
        <v>50</v>
      </c>
      <c r="D792" t="s">
        <v>45</v>
      </c>
      <c r="E792">
        <v>564</v>
      </c>
      <c r="F792">
        <v>7</v>
      </c>
      <c r="G792">
        <v>24</v>
      </c>
      <c r="H792">
        <v>4253.63</v>
      </c>
      <c r="I792">
        <v>94577.02</v>
      </c>
      <c r="J792">
        <v>174</v>
      </c>
      <c r="K792">
        <v>0</v>
      </c>
      <c r="L792">
        <v>7.7</v>
      </c>
      <c r="M792">
        <v>42.9</v>
      </c>
      <c r="N792" t="s">
        <v>46</v>
      </c>
      <c r="O792" t="s">
        <v>75</v>
      </c>
      <c r="P792" t="s">
        <v>58</v>
      </c>
      <c r="R792">
        <f>SUMIF(A792:A5791,"C00791",I792:I5791)</f>
        <v>94577.02</v>
      </c>
      <c r="S792" s="1">
        <v>11108.26</v>
      </c>
      <c r="T792">
        <f t="shared" si="84"/>
        <v>543.546091954023</v>
      </c>
      <c r="U792">
        <f t="shared" si="85"/>
        <v>7464.6</v>
      </c>
      <c r="V792">
        <f t="shared" si="86"/>
        <v>622.05</v>
      </c>
      <c r="W792">
        <f t="shared" si="87"/>
        <v>32943.8833333333</v>
      </c>
      <c r="X792">
        <f t="shared" si="83"/>
        <v>0.132592632645529</v>
      </c>
      <c r="AH792" t="str">
        <f t="shared" si="89"/>
        <v>3rd Quality</v>
      </c>
      <c r="AJ792">
        <f>((T792-X792)*2)/7.7</f>
        <v>141.146363460098</v>
      </c>
      <c r="AK792">
        <f t="shared" si="88"/>
        <v>306559.995862069</v>
      </c>
    </row>
    <row r="793" spans="1:37">
      <c r="A793" t="s">
        <v>856</v>
      </c>
      <c r="B793">
        <v>33</v>
      </c>
      <c r="C793" t="s">
        <v>44</v>
      </c>
      <c r="D793" t="s">
        <v>60</v>
      </c>
      <c r="E793">
        <v>982</v>
      </c>
      <c r="F793">
        <v>70</v>
      </c>
      <c r="G793">
        <v>9</v>
      </c>
      <c r="H793">
        <v>1185.12</v>
      </c>
      <c r="I793">
        <v>11108.26</v>
      </c>
      <c r="J793">
        <v>79</v>
      </c>
      <c r="K793">
        <v>0</v>
      </c>
      <c r="L793">
        <v>33.4</v>
      </c>
      <c r="M793">
        <v>13.9</v>
      </c>
      <c r="N793" t="s">
        <v>46</v>
      </c>
      <c r="O793" t="s">
        <v>47</v>
      </c>
      <c r="P793" t="s">
        <v>66</v>
      </c>
      <c r="R793">
        <f>SUMIF(A793:A5792,"C00792",I793:I5792)</f>
        <v>11108.26</v>
      </c>
      <c r="S793" s="1">
        <v>18463.36</v>
      </c>
      <c r="T793">
        <f t="shared" si="84"/>
        <v>140.610886075949</v>
      </c>
      <c r="U793">
        <f t="shared" si="85"/>
        <v>1098.1</v>
      </c>
      <c r="V793">
        <f t="shared" si="86"/>
        <v>91.5083333333333</v>
      </c>
      <c r="W793">
        <f t="shared" si="87"/>
        <v>4098.12666666667</v>
      </c>
      <c r="X793">
        <f t="shared" si="83"/>
        <v>0.82860807344404</v>
      </c>
      <c r="AH793" t="str">
        <f t="shared" si="89"/>
        <v>3rd Quality</v>
      </c>
      <c r="AJ793">
        <f>((T793-X793)*2)/33.4</f>
        <v>8.37019628757515</v>
      </c>
      <c r="AK793">
        <f t="shared" si="88"/>
        <v>138079.890126582</v>
      </c>
    </row>
    <row r="794" spans="1:37">
      <c r="A794" t="s">
        <v>857</v>
      </c>
      <c r="B794">
        <v>18</v>
      </c>
      <c r="C794" t="s">
        <v>44</v>
      </c>
      <c r="D794" t="s">
        <v>60</v>
      </c>
      <c r="E794">
        <v>785</v>
      </c>
      <c r="F794">
        <v>13</v>
      </c>
      <c r="G794">
        <v>13</v>
      </c>
      <c r="H794">
        <v>1411.98</v>
      </c>
      <c r="I794">
        <v>18463.36</v>
      </c>
      <c r="J794">
        <v>62</v>
      </c>
      <c r="K794">
        <v>0</v>
      </c>
      <c r="L794">
        <v>18.1</v>
      </c>
      <c r="M794">
        <v>8.4</v>
      </c>
      <c r="N794" t="s">
        <v>78</v>
      </c>
      <c r="O794" t="s">
        <v>47</v>
      </c>
      <c r="P794" t="s">
        <v>68</v>
      </c>
      <c r="R794">
        <f>SUMIF(A794:A5793,"C00793",I794:I5793)</f>
        <v>18463.36</v>
      </c>
      <c r="S794" s="1">
        <v>97510.23</v>
      </c>
      <c r="T794">
        <f t="shared" si="84"/>
        <v>297.796129032258</v>
      </c>
      <c r="U794">
        <f t="shared" si="85"/>
        <v>520.8</v>
      </c>
      <c r="V794">
        <f t="shared" si="86"/>
        <v>43.4</v>
      </c>
      <c r="W794">
        <f t="shared" si="87"/>
        <v>6625.44666666667</v>
      </c>
      <c r="X794">
        <f t="shared" si="83"/>
        <v>0.555956883241972</v>
      </c>
      <c r="AH794" t="str">
        <f t="shared" si="89"/>
        <v>2nd Quality</v>
      </c>
      <c r="AJ794">
        <f>((T794-X794)*2)/18.1</f>
        <v>32.8442179170183</v>
      </c>
      <c r="AK794">
        <f t="shared" si="88"/>
        <v>233769.961290323</v>
      </c>
    </row>
    <row r="795" spans="1:37">
      <c r="A795" t="s">
        <v>858</v>
      </c>
      <c r="B795">
        <v>19</v>
      </c>
      <c r="C795" t="s">
        <v>50</v>
      </c>
      <c r="D795" t="s">
        <v>51</v>
      </c>
      <c r="E795">
        <v>873</v>
      </c>
      <c r="F795">
        <v>23</v>
      </c>
      <c r="G795">
        <v>31</v>
      </c>
      <c r="H795">
        <v>2987.16</v>
      </c>
      <c r="I795">
        <v>97510.23</v>
      </c>
      <c r="J795">
        <v>193</v>
      </c>
      <c r="K795">
        <v>4</v>
      </c>
      <c r="L795">
        <v>9.7</v>
      </c>
      <c r="M795">
        <v>66</v>
      </c>
      <c r="N795" t="s">
        <v>78</v>
      </c>
      <c r="O795" t="s">
        <v>47</v>
      </c>
      <c r="P795" t="s">
        <v>68</v>
      </c>
      <c r="R795">
        <f>SUMIF(A795:A5794,"C00794",I795:I5794)</f>
        <v>97510.23</v>
      </c>
      <c r="S795" s="1">
        <v>66921.88</v>
      </c>
      <c r="T795">
        <f t="shared" si="84"/>
        <v>505.234352331606</v>
      </c>
      <c r="U795">
        <f t="shared" si="85"/>
        <v>12738</v>
      </c>
      <c r="V795">
        <f>U795*4</f>
        <v>50952</v>
      </c>
      <c r="W795">
        <f t="shared" si="87"/>
        <v>33499.4633333333</v>
      </c>
      <c r="X795">
        <f t="shared" si="83"/>
        <v>0.29225083356767</v>
      </c>
      <c r="AH795" t="str">
        <f t="shared" si="89"/>
        <v>2nd Quality</v>
      </c>
      <c r="AJ795">
        <f>((T795-X795)*2)/9.7</f>
        <v>104.11177350475</v>
      </c>
      <c r="AK795">
        <f t="shared" si="88"/>
        <v>441069.589585492</v>
      </c>
    </row>
    <row r="796" spans="1:37">
      <c r="A796" t="s">
        <v>859</v>
      </c>
      <c r="B796">
        <v>55</v>
      </c>
      <c r="C796" t="s">
        <v>44</v>
      </c>
      <c r="D796" t="s">
        <v>45</v>
      </c>
      <c r="E796">
        <v>1314</v>
      </c>
      <c r="F796">
        <v>10</v>
      </c>
      <c r="G796">
        <v>26</v>
      </c>
      <c r="H796">
        <v>2570.14</v>
      </c>
      <c r="I796">
        <v>66921.88</v>
      </c>
      <c r="J796">
        <v>62</v>
      </c>
      <c r="K796">
        <v>1</v>
      </c>
      <c r="L796">
        <v>14.8</v>
      </c>
      <c r="M796">
        <v>24.5</v>
      </c>
      <c r="N796" t="s">
        <v>63</v>
      </c>
      <c r="O796" t="s">
        <v>47</v>
      </c>
      <c r="P796" t="s">
        <v>58</v>
      </c>
      <c r="R796">
        <f>SUMIF(A796:A5795,"C00795",I796:I5795)</f>
        <v>66921.88</v>
      </c>
      <c r="S796" s="1">
        <v>44276.33</v>
      </c>
      <c r="T796">
        <f t="shared" si="84"/>
        <v>1079.38516129032</v>
      </c>
      <c r="U796">
        <f t="shared" si="85"/>
        <v>1519</v>
      </c>
      <c r="V796">
        <f>U796*1</f>
        <v>1519</v>
      </c>
      <c r="W796">
        <f t="shared" si="87"/>
        <v>23164.34</v>
      </c>
      <c r="X796">
        <f t="shared" si="83"/>
        <v>0.51125619616052</v>
      </c>
      <c r="AH796" t="str">
        <f t="shared" si="89"/>
        <v>3rd Quality</v>
      </c>
      <c r="AJ796">
        <f>((T796-X796)*2)/14.8</f>
        <v>145.79377095867</v>
      </c>
      <c r="AK796">
        <f t="shared" si="88"/>
        <v>1418312.10193548</v>
      </c>
    </row>
    <row r="797" spans="1:37">
      <c r="A797" t="s">
        <v>860</v>
      </c>
      <c r="B797">
        <v>18</v>
      </c>
      <c r="C797" t="s">
        <v>44</v>
      </c>
      <c r="D797" t="s">
        <v>60</v>
      </c>
      <c r="E797">
        <v>1019</v>
      </c>
      <c r="F797">
        <v>8</v>
      </c>
      <c r="G797">
        <v>13</v>
      </c>
      <c r="H797">
        <v>3175.65</v>
      </c>
      <c r="I797">
        <v>44276.33</v>
      </c>
      <c r="J797">
        <v>74</v>
      </c>
      <c r="K797">
        <v>0</v>
      </c>
      <c r="L797">
        <v>36.8</v>
      </c>
      <c r="M797">
        <v>28.3</v>
      </c>
      <c r="N797" t="s">
        <v>52</v>
      </c>
      <c r="O797" t="s">
        <v>75</v>
      </c>
      <c r="P797" t="s">
        <v>68</v>
      </c>
      <c r="R797">
        <f>SUMIF(A797:A5796,"C00796",I797:I5796)</f>
        <v>44276.33</v>
      </c>
      <c r="S797" s="1">
        <v>61191.64</v>
      </c>
      <c r="T797">
        <f t="shared" si="84"/>
        <v>598.328783783784</v>
      </c>
      <c r="U797">
        <f t="shared" si="85"/>
        <v>2094.2</v>
      </c>
      <c r="V797">
        <f t="shared" si="86"/>
        <v>174.516666666667</v>
      </c>
      <c r="W797">
        <f t="shared" si="87"/>
        <v>15817.66</v>
      </c>
      <c r="X797">
        <f t="shared" si="83"/>
        <v>0.320879190087069</v>
      </c>
      <c r="AH797" t="str">
        <f t="shared" si="89"/>
        <v>1st Quality</v>
      </c>
      <c r="AJ797">
        <f>((T797-X797)*2)/36.8</f>
        <v>32.5004295974835</v>
      </c>
      <c r="AK797">
        <f t="shared" si="88"/>
        <v>609697.030675676</v>
      </c>
    </row>
    <row r="798" spans="1:37">
      <c r="A798" t="s">
        <v>861</v>
      </c>
      <c r="B798">
        <v>28</v>
      </c>
      <c r="C798" t="s">
        <v>50</v>
      </c>
      <c r="D798" t="s">
        <v>60</v>
      </c>
      <c r="E798">
        <v>696</v>
      </c>
      <c r="F798">
        <v>1</v>
      </c>
      <c r="G798">
        <v>26</v>
      </c>
      <c r="H798">
        <v>2325.76</v>
      </c>
      <c r="I798">
        <v>61191.64</v>
      </c>
      <c r="J798">
        <v>109</v>
      </c>
      <c r="K798">
        <v>3</v>
      </c>
      <c r="L798">
        <v>7.2</v>
      </c>
      <c r="M798">
        <v>66.5</v>
      </c>
      <c r="N798" t="s">
        <v>57</v>
      </c>
      <c r="O798" t="s">
        <v>53</v>
      </c>
      <c r="P798" t="s">
        <v>58</v>
      </c>
      <c r="R798">
        <f>SUMIF(A798:A5797,"C00797",I798:I5797)</f>
        <v>61191.64</v>
      </c>
      <c r="S798" s="1">
        <v>40412.63</v>
      </c>
      <c r="T798">
        <f t="shared" si="84"/>
        <v>561.39119266055</v>
      </c>
      <c r="U798">
        <f t="shared" si="85"/>
        <v>7248.5</v>
      </c>
      <c r="V798">
        <f>U798*3</f>
        <v>21745.5</v>
      </c>
      <c r="W798">
        <f t="shared" si="87"/>
        <v>21172.8</v>
      </c>
      <c r="X798">
        <f t="shared" si="83"/>
        <v>0.29925701706109</v>
      </c>
      <c r="AH798" t="str">
        <f t="shared" si="89"/>
        <v>2nd Quality</v>
      </c>
      <c r="AJ798">
        <f>((T798-X798)*2)/7.2</f>
        <v>155.85887101208</v>
      </c>
      <c r="AK798">
        <f t="shared" si="88"/>
        <v>390728.270091743</v>
      </c>
    </row>
    <row r="799" spans="1:37">
      <c r="A799" t="s">
        <v>862</v>
      </c>
      <c r="B799">
        <v>23</v>
      </c>
      <c r="C799" t="s">
        <v>44</v>
      </c>
      <c r="D799" t="s">
        <v>45</v>
      </c>
      <c r="E799">
        <v>1373</v>
      </c>
      <c r="F799">
        <v>5</v>
      </c>
      <c r="G799">
        <v>28</v>
      </c>
      <c r="H799">
        <v>1342.36</v>
      </c>
      <c r="I799">
        <v>40412.63</v>
      </c>
      <c r="J799">
        <v>233</v>
      </c>
      <c r="K799">
        <v>2</v>
      </c>
      <c r="L799">
        <v>0.4</v>
      </c>
      <c r="M799">
        <v>50.6</v>
      </c>
      <c r="N799" t="s">
        <v>46</v>
      </c>
      <c r="O799" t="s">
        <v>47</v>
      </c>
      <c r="P799" t="s">
        <v>58</v>
      </c>
      <c r="R799">
        <f>SUMIF(A799:A5798,"C00798",I799:I5798)</f>
        <v>40412.63</v>
      </c>
      <c r="S799" s="1">
        <v>1267.59</v>
      </c>
      <c r="T799">
        <f t="shared" si="84"/>
        <v>173.444763948498</v>
      </c>
      <c r="U799">
        <f t="shared" si="85"/>
        <v>11789.8</v>
      </c>
      <c r="V799">
        <f>U799*2</f>
        <v>23579.6</v>
      </c>
      <c r="W799">
        <f t="shared" si="87"/>
        <v>13918.6633333333</v>
      </c>
      <c r="X799">
        <f t="shared" si="83"/>
        <v>1.02282547155756</v>
      </c>
      <c r="AH799" t="str">
        <f t="shared" si="89"/>
        <v>1st Quality</v>
      </c>
      <c r="AJ799">
        <f>((T799-X799)*2)/0.4</f>
        <v>862.109692384702</v>
      </c>
      <c r="AK799">
        <f t="shared" si="88"/>
        <v>238139.660901288</v>
      </c>
    </row>
    <row r="800" spans="1:37">
      <c r="A800" t="s">
        <v>863</v>
      </c>
      <c r="B800">
        <v>18</v>
      </c>
      <c r="C800" t="s">
        <v>44</v>
      </c>
      <c r="D800" t="s">
        <v>60</v>
      </c>
      <c r="E800">
        <v>1139</v>
      </c>
      <c r="F800">
        <v>58</v>
      </c>
      <c r="G800">
        <v>2</v>
      </c>
      <c r="H800">
        <v>626.32</v>
      </c>
      <c r="I800">
        <v>1267.59</v>
      </c>
      <c r="J800">
        <v>15</v>
      </c>
      <c r="K800">
        <v>0</v>
      </c>
      <c r="L800">
        <v>33.7</v>
      </c>
      <c r="M800">
        <v>33.1</v>
      </c>
      <c r="N800" t="s">
        <v>52</v>
      </c>
      <c r="O800" t="s">
        <v>75</v>
      </c>
      <c r="P800" t="s">
        <v>58</v>
      </c>
      <c r="R800">
        <f>SUMIF(A800:A5799,"C00799",I800:I5799)</f>
        <v>1267.59</v>
      </c>
      <c r="S800" s="1">
        <v>3969.98</v>
      </c>
      <c r="T800">
        <f t="shared" si="84"/>
        <v>84.506</v>
      </c>
      <c r="U800">
        <f t="shared" si="85"/>
        <v>496.5</v>
      </c>
      <c r="V800">
        <f t="shared" si="86"/>
        <v>41.375</v>
      </c>
      <c r="W800">
        <f t="shared" si="87"/>
        <v>631.636666666667</v>
      </c>
      <c r="X800">
        <f t="shared" si="83"/>
        <v>1.81855920296334</v>
      </c>
      <c r="AH800" t="str">
        <f t="shared" si="89"/>
        <v>3rd Quality</v>
      </c>
      <c r="AJ800">
        <f>((T800-X800)*2)/33.7</f>
        <v>4.90726651614461</v>
      </c>
      <c r="AK800">
        <f t="shared" si="88"/>
        <v>96252.334</v>
      </c>
    </row>
    <row r="801" spans="1:37">
      <c r="A801" t="s">
        <v>864</v>
      </c>
      <c r="B801">
        <v>39</v>
      </c>
      <c r="C801" t="s">
        <v>44</v>
      </c>
      <c r="D801" t="s">
        <v>60</v>
      </c>
      <c r="E801">
        <v>682</v>
      </c>
      <c r="F801">
        <v>18</v>
      </c>
      <c r="G801">
        <v>4</v>
      </c>
      <c r="H801">
        <v>893.48</v>
      </c>
      <c r="I801">
        <v>3969.98</v>
      </c>
      <c r="J801">
        <v>30</v>
      </c>
      <c r="K801">
        <v>1</v>
      </c>
      <c r="L801">
        <v>23.3</v>
      </c>
      <c r="M801">
        <v>16.8</v>
      </c>
      <c r="N801" t="s">
        <v>63</v>
      </c>
      <c r="O801" t="s">
        <v>53</v>
      </c>
      <c r="P801" t="s">
        <v>58</v>
      </c>
      <c r="R801">
        <f>SUMIF(A801:A5800,"C00800",I801:I5800)</f>
        <v>3969.98</v>
      </c>
      <c r="S801" s="1">
        <v>2397.08</v>
      </c>
      <c r="T801">
        <f t="shared" si="84"/>
        <v>132.332666666667</v>
      </c>
      <c r="U801">
        <f t="shared" si="85"/>
        <v>504</v>
      </c>
      <c r="V801">
        <f>U801*1</f>
        <v>504</v>
      </c>
      <c r="W801">
        <f t="shared" si="87"/>
        <v>1621.48666666667</v>
      </c>
      <c r="X801">
        <f t="shared" si="83"/>
        <v>0.763307516676367</v>
      </c>
      <c r="AH801" t="str">
        <f t="shared" si="89"/>
        <v>3rd Quality</v>
      </c>
      <c r="AJ801">
        <f>((T801-X801)*2)/23.3</f>
        <v>11.2935072231752</v>
      </c>
      <c r="AK801">
        <f t="shared" si="88"/>
        <v>90250.8786666667</v>
      </c>
    </row>
    <row r="802" spans="1:37">
      <c r="A802" t="s">
        <v>865</v>
      </c>
      <c r="B802">
        <v>23</v>
      </c>
      <c r="C802" t="s">
        <v>50</v>
      </c>
      <c r="D802" t="s">
        <v>51</v>
      </c>
      <c r="E802">
        <v>429</v>
      </c>
      <c r="F802">
        <v>131</v>
      </c>
      <c r="G802">
        <v>3</v>
      </c>
      <c r="H802">
        <v>736.59</v>
      </c>
      <c r="I802">
        <v>2397.08</v>
      </c>
      <c r="J802">
        <v>30</v>
      </c>
      <c r="K802">
        <v>1</v>
      </c>
      <c r="L802">
        <v>31.1</v>
      </c>
      <c r="M802">
        <v>40.6</v>
      </c>
      <c r="N802" t="s">
        <v>52</v>
      </c>
      <c r="O802" t="s">
        <v>53</v>
      </c>
      <c r="P802" t="s">
        <v>58</v>
      </c>
      <c r="R802">
        <f>SUMIF(A802:A5801,"C00801",I802:I5801)</f>
        <v>2397.08</v>
      </c>
      <c r="S802" s="1">
        <v>16836.75</v>
      </c>
      <c r="T802">
        <f t="shared" si="84"/>
        <v>79.9026666666667</v>
      </c>
      <c r="U802">
        <f t="shared" si="85"/>
        <v>1218</v>
      </c>
      <c r="V802">
        <f>U802*1</f>
        <v>1218</v>
      </c>
      <c r="W802">
        <f t="shared" si="87"/>
        <v>1044.89</v>
      </c>
      <c r="X802">
        <f t="shared" si="83"/>
        <v>0.58241355435181</v>
      </c>
      <c r="AH802" t="str">
        <f t="shared" si="89"/>
        <v>3rd Quality</v>
      </c>
      <c r="AJ802">
        <f>((T802-X802)*2)/31.1</f>
        <v>5.10098090754437</v>
      </c>
      <c r="AK802">
        <f t="shared" si="88"/>
        <v>34278.244</v>
      </c>
    </row>
    <row r="803" spans="1:37">
      <c r="A803" t="s">
        <v>866</v>
      </c>
      <c r="B803">
        <v>39</v>
      </c>
      <c r="C803" t="s">
        <v>44</v>
      </c>
      <c r="D803" t="s">
        <v>45</v>
      </c>
      <c r="E803">
        <v>534</v>
      </c>
      <c r="F803">
        <v>55</v>
      </c>
      <c r="G803">
        <v>9</v>
      </c>
      <c r="H803">
        <v>1988.07</v>
      </c>
      <c r="I803">
        <v>16836.75</v>
      </c>
      <c r="J803">
        <v>48</v>
      </c>
      <c r="K803">
        <v>0</v>
      </c>
      <c r="L803">
        <v>26.2</v>
      </c>
      <c r="M803">
        <v>16.5</v>
      </c>
      <c r="N803" t="s">
        <v>46</v>
      </c>
      <c r="O803" t="s">
        <v>53</v>
      </c>
      <c r="P803" t="s">
        <v>68</v>
      </c>
      <c r="R803">
        <f>SUMIF(A803:A5802,"C00802",I803:I5802)</f>
        <v>16836.75</v>
      </c>
      <c r="S803" s="1">
        <v>2604.3</v>
      </c>
      <c r="T803">
        <f t="shared" si="84"/>
        <v>350.765625</v>
      </c>
      <c r="U803">
        <f t="shared" si="85"/>
        <v>792</v>
      </c>
      <c r="V803">
        <f t="shared" si="86"/>
        <v>66</v>
      </c>
      <c r="W803">
        <f t="shared" si="87"/>
        <v>6275.27333333333</v>
      </c>
      <c r="X803">
        <f t="shared" si="83"/>
        <v>0.268602212195748</v>
      </c>
      <c r="AH803" t="str">
        <f t="shared" si="89"/>
        <v>2nd Quality</v>
      </c>
      <c r="AJ803">
        <f>((T803-X803)*2)/26.2</f>
        <v>26.7554979227332</v>
      </c>
      <c r="AK803">
        <f t="shared" si="88"/>
        <v>187308.84375</v>
      </c>
    </row>
    <row r="804" spans="1:37">
      <c r="A804" t="s">
        <v>867</v>
      </c>
      <c r="B804">
        <v>32</v>
      </c>
      <c r="C804" t="s">
        <v>44</v>
      </c>
      <c r="D804" t="s">
        <v>45</v>
      </c>
      <c r="E804">
        <v>592</v>
      </c>
      <c r="F804">
        <v>313</v>
      </c>
      <c r="G804">
        <v>1</v>
      </c>
      <c r="H804">
        <v>2469.11</v>
      </c>
      <c r="I804">
        <v>2604.3</v>
      </c>
      <c r="J804">
        <v>16</v>
      </c>
      <c r="K804">
        <v>0</v>
      </c>
      <c r="L804">
        <v>13.6</v>
      </c>
      <c r="M804">
        <v>15.6</v>
      </c>
      <c r="N804" t="s">
        <v>63</v>
      </c>
      <c r="O804" t="s">
        <v>53</v>
      </c>
      <c r="P804" t="s">
        <v>58</v>
      </c>
      <c r="R804">
        <f>SUMIF(A804:A5803,"C00803",I804:I5803)</f>
        <v>2604.3</v>
      </c>
      <c r="S804" s="1">
        <v>46043.78</v>
      </c>
      <c r="T804">
        <f t="shared" si="84"/>
        <v>162.76875</v>
      </c>
      <c r="U804">
        <f t="shared" si="85"/>
        <v>249.6</v>
      </c>
      <c r="V804">
        <f t="shared" si="86"/>
        <v>20.8</v>
      </c>
      <c r="W804">
        <f t="shared" si="87"/>
        <v>1691.47</v>
      </c>
      <c r="X804">
        <f t="shared" si="83"/>
        <v>0.239762505518183</v>
      </c>
      <c r="AH804" t="str">
        <f t="shared" si="89"/>
        <v>3rd Quality</v>
      </c>
      <c r="AJ804">
        <f>((T804-X804)*2)/13.6</f>
        <v>23.901321690365</v>
      </c>
      <c r="AK804">
        <f t="shared" si="88"/>
        <v>96359.1</v>
      </c>
    </row>
    <row r="805" spans="1:37">
      <c r="A805" t="s">
        <v>868</v>
      </c>
      <c r="B805">
        <v>40</v>
      </c>
      <c r="C805" t="s">
        <v>44</v>
      </c>
      <c r="D805" t="s">
        <v>60</v>
      </c>
      <c r="E805">
        <v>502</v>
      </c>
      <c r="F805">
        <v>54</v>
      </c>
      <c r="G805">
        <v>6</v>
      </c>
      <c r="H805">
        <v>8417.42</v>
      </c>
      <c r="I805">
        <v>46043.78</v>
      </c>
      <c r="J805">
        <v>23</v>
      </c>
      <c r="K805">
        <v>0</v>
      </c>
      <c r="L805">
        <v>4.1</v>
      </c>
      <c r="M805">
        <v>27.8</v>
      </c>
      <c r="N805" t="s">
        <v>63</v>
      </c>
      <c r="O805" t="s">
        <v>75</v>
      </c>
      <c r="P805" t="s">
        <v>68</v>
      </c>
      <c r="R805">
        <f>SUMIF(A805:A5804,"C00804",I805:I5804)</f>
        <v>46043.78</v>
      </c>
      <c r="S805" s="1">
        <v>35249.03</v>
      </c>
      <c r="T805">
        <f t="shared" si="84"/>
        <v>2001.90347826087</v>
      </c>
      <c r="U805">
        <f t="shared" si="85"/>
        <v>639.4</v>
      </c>
      <c r="V805">
        <f t="shared" si="86"/>
        <v>53.2833333333333</v>
      </c>
      <c r="W805">
        <f t="shared" si="87"/>
        <v>18154.0666666667</v>
      </c>
      <c r="X805">
        <f t="shared" si="83"/>
        <v>0.0596382264399305</v>
      </c>
      <c r="AH805" t="str">
        <f t="shared" si="89"/>
        <v>2nd Quality</v>
      </c>
      <c r="AJ805">
        <f>((T805-X805)*2)/4.1</f>
        <v>976.509190260698</v>
      </c>
      <c r="AK805">
        <f t="shared" si="88"/>
        <v>1004955.54608696</v>
      </c>
    </row>
    <row r="806" spans="1:37">
      <c r="A806" t="s">
        <v>869</v>
      </c>
      <c r="B806">
        <v>18</v>
      </c>
      <c r="C806" t="s">
        <v>50</v>
      </c>
      <c r="D806" t="s">
        <v>45</v>
      </c>
      <c r="E806">
        <v>1378</v>
      </c>
      <c r="F806">
        <v>6</v>
      </c>
      <c r="G806">
        <v>19</v>
      </c>
      <c r="H806">
        <v>1688.61</v>
      </c>
      <c r="I806">
        <v>35249.03</v>
      </c>
      <c r="J806">
        <v>144</v>
      </c>
      <c r="K806">
        <v>3</v>
      </c>
      <c r="L806">
        <v>14.7</v>
      </c>
      <c r="M806">
        <v>41.2</v>
      </c>
      <c r="N806" t="s">
        <v>57</v>
      </c>
      <c r="O806" t="s">
        <v>47</v>
      </c>
      <c r="P806" t="s">
        <v>58</v>
      </c>
      <c r="R806">
        <f>SUMIF(A806:A5805,"C00805",I806:I5805)</f>
        <v>35249.03</v>
      </c>
      <c r="S806" s="1">
        <v>35953.22</v>
      </c>
      <c r="T806">
        <f t="shared" si="84"/>
        <v>244.784930555556</v>
      </c>
      <c r="U806">
        <f t="shared" si="85"/>
        <v>5932.8</v>
      </c>
      <c r="V806">
        <f>U806*3</f>
        <v>17798.4</v>
      </c>
      <c r="W806">
        <f t="shared" si="87"/>
        <v>12312.88</v>
      </c>
      <c r="X806">
        <f t="shared" si="83"/>
        <v>0.816055809215864</v>
      </c>
      <c r="AH806" t="str">
        <f t="shared" si="89"/>
        <v>2nd Quality</v>
      </c>
      <c r="AJ806">
        <f>((T806-X806)*2)/14.7</f>
        <v>33.1930441831755</v>
      </c>
      <c r="AK806">
        <f t="shared" si="88"/>
        <v>337313.634305556</v>
      </c>
    </row>
    <row r="807" spans="1:37">
      <c r="A807" t="s">
        <v>870</v>
      </c>
      <c r="B807">
        <v>29</v>
      </c>
      <c r="C807" t="s">
        <v>44</v>
      </c>
      <c r="D807" t="s">
        <v>51</v>
      </c>
      <c r="E807">
        <v>434</v>
      </c>
      <c r="F807">
        <v>12</v>
      </c>
      <c r="G807">
        <v>19</v>
      </c>
      <c r="H807">
        <v>1965.12</v>
      </c>
      <c r="I807">
        <v>35953.22</v>
      </c>
      <c r="J807">
        <v>45</v>
      </c>
      <c r="K807">
        <v>1</v>
      </c>
      <c r="L807">
        <v>16.6</v>
      </c>
      <c r="M807">
        <v>45</v>
      </c>
      <c r="N807" t="s">
        <v>61</v>
      </c>
      <c r="O807" t="s">
        <v>47</v>
      </c>
      <c r="P807" t="s">
        <v>66</v>
      </c>
      <c r="R807">
        <f>SUMIF(A807:A5806,"C00806",I807:I5806)</f>
        <v>35953.22</v>
      </c>
      <c r="S807" s="1">
        <v>835.11</v>
      </c>
      <c r="T807">
        <f t="shared" si="84"/>
        <v>798.960444444444</v>
      </c>
      <c r="U807">
        <f t="shared" si="85"/>
        <v>2025</v>
      </c>
      <c r="V807">
        <f>U807*1</f>
        <v>2025</v>
      </c>
      <c r="W807">
        <f t="shared" si="87"/>
        <v>12639.78</v>
      </c>
      <c r="X807">
        <f t="shared" si="83"/>
        <v>0.220851652825273</v>
      </c>
      <c r="AH807" t="str">
        <f t="shared" si="89"/>
        <v>3rd Quality</v>
      </c>
      <c r="AJ807">
        <f>((T807-X807)*2)/16.6</f>
        <v>96.2336858785083</v>
      </c>
      <c r="AK807">
        <f t="shared" si="88"/>
        <v>346748.832888889</v>
      </c>
    </row>
    <row r="808" spans="1:37">
      <c r="A808" t="s">
        <v>871</v>
      </c>
      <c r="B808">
        <v>43</v>
      </c>
      <c r="C808" t="s">
        <v>50</v>
      </c>
      <c r="D808" t="s">
        <v>45</v>
      </c>
      <c r="E808">
        <v>1404</v>
      </c>
      <c r="F808">
        <v>171</v>
      </c>
      <c r="G808">
        <v>1</v>
      </c>
      <c r="H808">
        <v>839.66</v>
      </c>
      <c r="I808">
        <v>835.11</v>
      </c>
      <c r="J808">
        <v>11</v>
      </c>
      <c r="K808">
        <v>0</v>
      </c>
      <c r="L808">
        <v>29.3</v>
      </c>
      <c r="M808">
        <v>30.4</v>
      </c>
      <c r="N808" t="s">
        <v>63</v>
      </c>
      <c r="O808" t="s">
        <v>47</v>
      </c>
      <c r="P808" t="s">
        <v>58</v>
      </c>
      <c r="R808">
        <f>SUMIF(A808:A5807,"C00807",I808:I5807)</f>
        <v>835.11</v>
      </c>
      <c r="S808" s="1">
        <v>39066.86</v>
      </c>
      <c r="T808">
        <f t="shared" si="84"/>
        <v>75.9190909090909</v>
      </c>
      <c r="U808">
        <f t="shared" si="85"/>
        <v>334.4</v>
      </c>
      <c r="V808">
        <f t="shared" si="86"/>
        <v>27.8666666666667</v>
      </c>
      <c r="W808">
        <f t="shared" si="87"/>
        <v>558.59</v>
      </c>
      <c r="X808">
        <f t="shared" si="83"/>
        <v>1.67210537598552</v>
      </c>
      <c r="AH808" t="str">
        <f t="shared" si="89"/>
        <v>3rd Quality</v>
      </c>
      <c r="AJ808">
        <f>((T808-X808)*2)/29.3</f>
        <v>5.06805362000719</v>
      </c>
      <c r="AK808">
        <f t="shared" si="88"/>
        <v>106590.403636364</v>
      </c>
    </row>
    <row r="809" spans="1:37">
      <c r="A809" t="s">
        <v>872</v>
      </c>
      <c r="B809">
        <v>27</v>
      </c>
      <c r="C809" t="s">
        <v>44</v>
      </c>
      <c r="D809" t="s">
        <v>60</v>
      </c>
      <c r="E809">
        <v>1232</v>
      </c>
      <c r="F809">
        <v>14</v>
      </c>
      <c r="G809">
        <v>25</v>
      </c>
      <c r="H809">
        <v>1765.86</v>
      </c>
      <c r="I809">
        <v>39066.86</v>
      </c>
      <c r="J809">
        <v>128</v>
      </c>
      <c r="K809">
        <v>0</v>
      </c>
      <c r="L809">
        <v>10.2</v>
      </c>
      <c r="M809">
        <v>65.7</v>
      </c>
      <c r="N809" t="s">
        <v>61</v>
      </c>
      <c r="O809" t="s">
        <v>53</v>
      </c>
      <c r="P809" t="s">
        <v>66</v>
      </c>
      <c r="R809">
        <f>SUMIF(A809:A5808,"C00808",I809:I5808)</f>
        <v>39066.86</v>
      </c>
      <c r="S809" s="1">
        <v>8989.75</v>
      </c>
      <c r="T809">
        <f t="shared" si="84"/>
        <v>305.20984375</v>
      </c>
      <c r="U809">
        <f t="shared" si="85"/>
        <v>8409.6</v>
      </c>
      <c r="V809">
        <f t="shared" si="86"/>
        <v>700.8</v>
      </c>
      <c r="W809">
        <f t="shared" si="87"/>
        <v>13611.24</v>
      </c>
      <c r="X809">
        <f t="shared" si="83"/>
        <v>0.697677052540972</v>
      </c>
      <c r="AH809" t="str">
        <f t="shared" si="89"/>
        <v>1st Quality</v>
      </c>
      <c r="AJ809">
        <f>((T809-X809)*2)/10.2</f>
        <v>59.7082679798939</v>
      </c>
      <c r="AK809">
        <f t="shared" si="88"/>
        <v>376018.5275</v>
      </c>
    </row>
    <row r="810" spans="1:37">
      <c r="A810" t="s">
        <v>873</v>
      </c>
      <c r="B810">
        <v>29</v>
      </c>
      <c r="C810" t="s">
        <v>44</v>
      </c>
      <c r="D810" t="s">
        <v>60</v>
      </c>
      <c r="E810">
        <v>452</v>
      </c>
      <c r="F810">
        <v>34</v>
      </c>
      <c r="G810">
        <v>1</v>
      </c>
      <c r="H810">
        <v>8260.89</v>
      </c>
      <c r="I810">
        <v>8989.75</v>
      </c>
      <c r="J810">
        <v>9</v>
      </c>
      <c r="K810">
        <v>0</v>
      </c>
      <c r="L810">
        <v>0</v>
      </c>
      <c r="M810">
        <v>51.9</v>
      </c>
      <c r="N810" t="s">
        <v>57</v>
      </c>
      <c r="O810" t="s">
        <v>53</v>
      </c>
      <c r="P810" t="s">
        <v>68</v>
      </c>
      <c r="R810">
        <f>SUMIF(A810:A5809,"C00809",I810:I5809)</f>
        <v>8989.75</v>
      </c>
      <c r="S810" s="1">
        <v>3231.19</v>
      </c>
      <c r="T810">
        <f t="shared" si="84"/>
        <v>998.861111111111</v>
      </c>
      <c r="U810">
        <f t="shared" si="85"/>
        <v>467.1</v>
      </c>
      <c r="V810">
        <f t="shared" si="86"/>
        <v>38.925</v>
      </c>
      <c r="W810">
        <f t="shared" si="87"/>
        <v>5750.54666666667</v>
      </c>
      <c r="X810">
        <f t="shared" si="83"/>
        <v>0.0547156541244345</v>
      </c>
      <c r="AH810" t="str">
        <f t="shared" si="89"/>
        <v>3rd Quality</v>
      </c>
      <c r="AJ810">
        <f>((T810-X810)*2)</f>
        <v>1997.61279091397</v>
      </c>
      <c r="AK810">
        <f t="shared" si="88"/>
        <v>451485.222222222</v>
      </c>
    </row>
    <row r="811" spans="1:37">
      <c r="A811" t="s">
        <v>874</v>
      </c>
      <c r="B811">
        <v>20</v>
      </c>
      <c r="C811" t="s">
        <v>50</v>
      </c>
      <c r="D811" t="s">
        <v>51</v>
      </c>
      <c r="E811">
        <v>869</v>
      </c>
      <c r="F811">
        <v>365</v>
      </c>
      <c r="G811">
        <v>1</v>
      </c>
      <c r="H811">
        <v>2917.49</v>
      </c>
      <c r="I811">
        <v>3231.19</v>
      </c>
      <c r="J811">
        <v>14</v>
      </c>
      <c r="K811">
        <v>0</v>
      </c>
      <c r="L811">
        <v>17.8</v>
      </c>
      <c r="M811">
        <v>40.4</v>
      </c>
      <c r="N811" t="s">
        <v>61</v>
      </c>
      <c r="O811" t="s">
        <v>47</v>
      </c>
      <c r="P811" t="s">
        <v>66</v>
      </c>
      <c r="R811">
        <f>SUMIF(A811:A5810,"C00810",I811:I5810)</f>
        <v>3231.19</v>
      </c>
      <c r="S811" s="1">
        <v>104964.13</v>
      </c>
      <c r="T811">
        <f t="shared" si="84"/>
        <v>230.799285714286</v>
      </c>
      <c r="U811">
        <f t="shared" si="85"/>
        <v>565.6</v>
      </c>
      <c r="V811">
        <f t="shared" si="86"/>
        <v>47.1333333333333</v>
      </c>
      <c r="W811">
        <f t="shared" si="87"/>
        <v>2049.89333333333</v>
      </c>
      <c r="X811">
        <f t="shared" si="83"/>
        <v>0.297858775865556</v>
      </c>
      <c r="AH811" t="str">
        <f t="shared" si="89"/>
        <v>3rd Quality</v>
      </c>
      <c r="AJ811">
        <f>((T811-X811)*2)/17.8</f>
        <v>25.899036734654</v>
      </c>
      <c r="AK811">
        <f t="shared" si="88"/>
        <v>200564.579285714</v>
      </c>
    </row>
    <row r="812" spans="1:37">
      <c r="A812" t="s">
        <v>875</v>
      </c>
      <c r="B812">
        <v>31</v>
      </c>
      <c r="C812" t="s">
        <v>50</v>
      </c>
      <c r="D812" t="s">
        <v>60</v>
      </c>
      <c r="E812">
        <v>377</v>
      </c>
      <c r="F812">
        <v>7</v>
      </c>
      <c r="G812">
        <v>29</v>
      </c>
      <c r="H812">
        <v>3645.26</v>
      </c>
      <c r="I812">
        <v>104964.13</v>
      </c>
      <c r="J812">
        <v>67</v>
      </c>
      <c r="K812">
        <v>1</v>
      </c>
      <c r="L812">
        <v>6.3</v>
      </c>
      <c r="M812">
        <v>39.1</v>
      </c>
      <c r="N812" t="s">
        <v>81</v>
      </c>
      <c r="O812" t="s">
        <v>75</v>
      </c>
      <c r="P812" t="s">
        <v>66</v>
      </c>
      <c r="R812">
        <f>SUMIF(A812:A5811,"C00811",I812:I5811)</f>
        <v>104964.13</v>
      </c>
      <c r="S812" s="1">
        <v>87351.91</v>
      </c>
      <c r="T812">
        <f t="shared" si="84"/>
        <v>1566.62880597015</v>
      </c>
      <c r="U812">
        <f t="shared" si="85"/>
        <v>2619.7</v>
      </c>
      <c r="V812">
        <f>U812*1</f>
        <v>2619.7</v>
      </c>
      <c r="W812">
        <f t="shared" si="87"/>
        <v>36203.4633333333</v>
      </c>
      <c r="X812">
        <f t="shared" si="83"/>
        <v>0.103421978130504</v>
      </c>
      <c r="AH812" t="str">
        <f t="shared" si="89"/>
        <v>3rd Quality</v>
      </c>
      <c r="AJ812">
        <f>((T812-X812)*2)/6.3</f>
        <v>497.309645711752</v>
      </c>
      <c r="AK812">
        <f t="shared" si="88"/>
        <v>590619.059850746</v>
      </c>
    </row>
    <row r="813" spans="1:37">
      <c r="A813" t="s">
        <v>876</v>
      </c>
      <c r="B813">
        <v>20</v>
      </c>
      <c r="C813" t="s">
        <v>44</v>
      </c>
      <c r="D813" t="s">
        <v>45</v>
      </c>
      <c r="E813">
        <v>649</v>
      </c>
      <c r="F813">
        <v>7</v>
      </c>
      <c r="G813">
        <v>29</v>
      </c>
      <c r="H813">
        <v>3256.02</v>
      </c>
      <c r="I813">
        <v>87351.91</v>
      </c>
      <c r="J813">
        <v>92</v>
      </c>
      <c r="K813">
        <v>0</v>
      </c>
      <c r="L813">
        <v>9.6</v>
      </c>
      <c r="M813">
        <v>17.3</v>
      </c>
      <c r="N813" t="s">
        <v>57</v>
      </c>
      <c r="O813" t="s">
        <v>75</v>
      </c>
      <c r="P813" t="s">
        <v>58</v>
      </c>
      <c r="R813">
        <f>SUMIF(A813:A5812,"C00812",I813:I5812)</f>
        <v>87351.91</v>
      </c>
      <c r="S813" s="1">
        <v>1197.93</v>
      </c>
      <c r="T813">
        <f t="shared" si="84"/>
        <v>949.477282608696</v>
      </c>
      <c r="U813">
        <f t="shared" si="85"/>
        <v>1591.6</v>
      </c>
      <c r="V813">
        <f t="shared" si="86"/>
        <v>132.633333333333</v>
      </c>
      <c r="W813">
        <f t="shared" si="87"/>
        <v>30202.9766666667</v>
      </c>
      <c r="X813">
        <f t="shared" si="83"/>
        <v>0.199323099980958</v>
      </c>
      <c r="AH813" t="str">
        <f t="shared" si="89"/>
        <v>2nd Quality</v>
      </c>
      <c r="AJ813">
        <f>((T813-X813)*2)/9.6</f>
        <v>197.766241564316</v>
      </c>
      <c r="AK813">
        <f t="shared" si="88"/>
        <v>616210.756413043</v>
      </c>
    </row>
    <row r="814" spans="1:37">
      <c r="A814" t="s">
        <v>877</v>
      </c>
      <c r="B814">
        <v>30</v>
      </c>
      <c r="C814" t="s">
        <v>44</v>
      </c>
      <c r="D814" t="s">
        <v>60</v>
      </c>
      <c r="E814">
        <v>664</v>
      </c>
      <c r="F814">
        <v>223</v>
      </c>
      <c r="G814">
        <v>1</v>
      </c>
      <c r="H814">
        <v>1144.69</v>
      </c>
      <c r="I814">
        <v>1197.93</v>
      </c>
      <c r="J814">
        <v>15</v>
      </c>
      <c r="K814">
        <v>0</v>
      </c>
      <c r="L814">
        <v>26.9</v>
      </c>
      <c r="M814">
        <v>23.2</v>
      </c>
      <c r="N814" t="s">
        <v>46</v>
      </c>
      <c r="O814" t="s">
        <v>47</v>
      </c>
      <c r="P814" t="s">
        <v>66</v>
      </c>
      <c r="R814">
        <f>SUMIF(A814:A5813,"C00813",I814:I5813)</f>
        <v>1197.93</v>
      </c>
      <c r="S814" s="1">
        <v>29049.69</v>
      </c>
      <c r="T814">
        <f t="shared" si="84"/>
        <v>79.862</v>
      </c>
      <c r="U814">
        <f t="shared" si="85"/>
        <v>348</v>
      </c>
      <c r="V814">
        <f t="shared" si="86"/>
        <v>29</v>
      </c>
      <c r="W814">
        <f t="shared" si="87"/>
        <v>781.206666666667</v>
      </c>
      <c r="X814">
        <f t="shared" si="83"/>
        <v>0.58006971319746</v>
      </c>
      <c r="AH814" t="str">
        <f t="shared" si="89"/>
        <v>3rd Quality</v>
      </c>
      <c r="AJ814">
        <f>((T814-X814)*2)/26.9</f>
        <v>5.89456730756896</v>
      </c>
      <c r="AK814">
        <f t="shared" si="88"/>
        <v>53028.368</v>
      </c>
    </row>
    <row r="815" spans="1:37">
      <c r="A815" t="s">
        <v>878</v>
      </c>
      <c r="B815">
        <v>22</v>
      </c>
      <c r="C815" t="s">
        <v>44</v>
      </c>
      <c r="D815" t="s">
        <v>60</v>
      </c>
      <c r="E815">
        <v>1105</v>
      </c>
      <c r="F815">
        <v>31</v>
      </c>
      <c r="G815">
        <v>3</v>
      </c>
      <c r="H815">
        <v>10179.26</v>
      </c>
      <c r="I815">
        <v>29049.69</v>
      </c>
      <c r="J815">
        <v>24</v>
      </c>
      <c r="K815">
        <v>0</v>
      </c>
      <c r="L815">
        <v>0</v>
      </c>
      <c r="M815">
        <v>10.7</v>
      </c>
      <c r="N815" t="s">
        <v>61</v>
      </c>
      <c r="O815" t="s">
        <v>47</v>
      </c>
      <c r="P815" t="s">
        <v>68</v>
      </c>
      <c r="R815">
        <f>SUMIF(A815:A5814,"C00814",I815:I5814)</f>
        <v>29049.69</v>
      </c>
      <c r="S815" s="1">
        <v>83741.01</v>
      </c>
      <c r="T815">
        <f t="shared" si="84"/>
        <v>1210.40375</v>
      </c>
      <c r="U815">
        <f t="shared" si="85"/>
        <v>256.8</v>
      </c>
      <c r="V815">
        <f t="shared" si="86"/>
        <v>21.4</v>
      </c>
      <c r="W815">
        <f t="shared" si="87"/>
        <v>13076.65</v>
      </c>
      <c r="X815">
        <f t="shared" ref="X815:X878" si="90">E815/H815</f>
        <v>0.108554059921841</v>
      </c>
      <c r="AH815" t="str">
        <f t="shared" si="89"/>
        <v>1st Quality</v>
      </c>
      <c r="AJ815">
        <f>((T815-X815)*2)</f>
        <v>2420.59039188016</v>
      </c>
      <c r="AK815">
        <f t="shared" si="88"/>
        <v>1337496.14375</v>
      </c>
    </row>
    <row r="816" spans="1:37">
      <c r="A816" t="s">
        <v>879</v>
      </c>
      <c r="B816">
        <v>45</v>
      </c>
      <c r="C816" t="s">
        <v>44</v>
      </c>
      <c r="D816" t="s">
        <v>60</v>
      </c>
      <c r="E816">
        <v>578</v>
      </c>
      <c r="F816">
        <v>10</v>
      </c>
      <c r="G816">
        <v>26</v>
      </c>
      <c r="H816">
        <v>2900.58</v>
      </c>
      <c r="I816">
        <v>83741.01</v>
      </c>
      <c r="J816">
        <v>164</v>
      </c>
      <c r="K816">
        <v>0</v>
      </c>
      <c r="L816">
        <v>17.2</v>
      </c>
      <c r="M816">
        <v>16.4</v>
      </c>
      <c r="N816" t="s">
        <v>57</v>
      </c>
      <c r="O816" t="s">
        <v>75</v>
      </c>
      <c r="P816" t="s">
        <v>68</v>
      </c>
      <c r="R816">
        <f>SUMIF(A816:A5815,"C00815",I816:I5815)</f>
        <v>83741.01</v>
      </c>
      <c r="S816" s="1">
        <v>1777.01</v>
      </c>
      <c r="T816">
        <f t="shared" si="84"/>
        <v>510.615914634146</v>
      </c>
      <c r="U816">
        <f t="shared" si="85"/>
        <v>2689.6</v>
      </c>
      <c r="V816">
        <f t="shared" si="86"/>
        <v>224.133333333333</v>
      </c>
      <c r="W816">
        <f t="shared" si="87"/>
        <v>28880.8633333333</v>
      </c>
      <c r="X816">
        <f t="shared" si="90"/>
        <v>0.19927049072944</v>
      </c>
      <c r="AH816" t="str">
        <f t="shared" si="89"/>
        <v>3rd Quality</v>
      </c>
      <c r="AJ816">
        <f>((T816-X816)*2)/17.2</f>
        <v>59.3507725748159</v>
      </c>
      <c r="AK816">
        <f t="shared" si="88"/>
        <v>295135.998658537</v>
      </c>
    </row>
    <row r="817" spans="1:37">
      <c r="A817" t="s">
        <v>880</v>
      </c>
      <c r="B817">
        <v>43</v>
      </c>
      <c r="C817" t="s">
        <v>44</v>
      </c>
      <c r="D817" t="s">
        <v>60</v>
      </c>
      <c r="E817">
        <v>1218</v>
      </c>
      <c r="F817">
        <v>44</v>
      </c>
      <c r="G817">
        <v>1</v>
      </c>
      <c r="H817">
        <v>1861.37</v>
      </c>
      <c r="I817">
        <v>1777.01</v>
      </c>
      <c r="J817">
        <v>12</v>
      </c>
      <c r="K817">
        <v>0</v>
      </c>
      <c r="L817">
        <v>18.4</v>
      </c>
      <c r="M817">
        <v>25.3</v>
      </c>
      <c r="N817" t="s">
        <v>52</v>
      </c>
      <c r="O817" t="s">
        <v>47</v>
      </c>
      <c r="P817" t="s">
        <v>68</v>
      </c>
      <c r="R817">
        <f>SUMIF(A817:A5816,"C00816",I817:I5816)</f>
        <v>1777.01</v>
      </c>
      <c r="S817" s="1">
        <v>2281.74</v>
      </c>
      <c r="T817">
        <f t="shared" si="84"/>
        <v>148.084166666667</v>
      </c>
      <c r="U817">
        <f t="shared" si="85"/>
        <v>303.6</v>
      </c>
      <c r="V817">
        <f t="shared" si="86"/>
        <v>25.3</v>
      </c>
      <c r="W817">
        <f t="shared" si="87"/>
        <v>1213.12666666667</v>
      </c>
      <c r="X817">
        <f t="shared" si="90"/>
        <v>0.654356737241924</v>
      </c>
      <c r="AH817" t="str">
        <f t="shared" si="89"/>
        <v>3rd Quality</v>
      </c>
      <c r="AJ817">
        <f>((T817-X817)*2)/18.4</f>
        <v>16.0249793401549</v>
      </c>
      <c r="AK817">
        <f t="shared" si="88"/>
        <v>180366.515</v>
      </c>
    </row>
    <row r="818" spans="1:37">
      <c r="A818" t="s">
        <v>881</v>
      </c>
      <c r="B818">
        <v>20</v>
      </c>
      <c r="C818" t="s">
        <v>101</v>
      </c>
      <c r="D818" t="s">
        <v>45</v>
      </c>
      <c r="E818">
        <v>1138</v>
      </c>
      <c r="F818">
        <v>365</v>
      </c>
      <c r="G818">
        <v>1</v>
      </c>
      <c r="H818">
        <v>2241.01</v>
      </c>
      <c r="I818">
        <v>2281.74</v>
      </c>
      <c r="J818">
        <v>11</v>
      </c>
      <c r="K818">
        <v>0</v>
      </c>
      <c r="L818">
        <v>16.8</v>
      </c>
      <c r="M818">
        <v>25.3</v>
      </c>
      <c r="N818" t="s">
        <v>46</v>
      </c>
      <c r="O818" t="s">
        <v>53</v>
      </c>
      <c r="P818" t="s">
        <v>68</v>
      </c>
      <c r="R818">
        <f>SUMIF(A818:A5817,"C00817",I818:I5817)</f>
        <v>2281.74</v>
      </c>
      <c r="S818" s="1">
        <v>35757.23</v>
      </c>
      <c r="T818">
        <f t="shared" si="84"/>
        <v>207.430909090909</v>
      </c>
      <c r="U818">
        <f t="shared" si="85"/>
        <v>278.3</v>
      </c>
      <c r="V818">
        <f t="shared" si="86"/>
        <v>23.1916666666667</v>
      </c>
      <c r="W818">
        <f t="shared" si="87"/>
        <v>1507.91666666667</v>
      </c>
      <c r="X818">
        <f t="shared" si="90"/>
        <v>0.5078067478503</v>
      </c>
      <c r="AH818" t="str">
        <f t="shared" si="89"/>
        <v>3rd Quality</v>
      </c>
      <c r="AJ818">
        <f>((T818-X818)*2)/16.8</f>
        <v>24.6337026598879</v>
      </c>
      <c r="AK818">
        <f t="shared" si="88"/>
        <v>236056.374545455</v>
      </c>
    </row>
    <row r="819" spans="1:37">
      <c r="A819" t="s">
        <v>882</v>
      </c>
      <c r="B819">
        <v>60</v>
      </c>
      <c r="C819" t="s">
        <v>44</v>
      </c>
      <c r="D819" t="s">
        <v>60</v>
      </c>
      <c r="E819">
        <v>1392</v>
      </c>
      <c r="F819">
        <v>37</v>
      </c>
      <c r="G819">
        <v>3</v>
      </c>
      <c r="H819">
        <v>13364.19</v>
      </c>
      <c r="I819">
        <v>35757.23</v>
      </c>
      <c r="J819">
        <v>25</v>
      </c>
      <c r="K819">
        <v>0</v>
      </c>
      <c r="L819">
        <v>0</v>
      </c>
      <c r="M819">
        <v>17.2</v>
      </c>
      <c r="N819" t="s">
        <v>46</v>
      </c>
      <c r="O819" t="s">
        <v>75</v>
      </c>
      <c r="P819" t="s">
        <v>68</v>
      </c>
      <c r="R819">
        <f>SUMIF(A819:A5818,"C00818",I819:I5818)</f>
        <v>35757.23</v>
      </c>
      <c r="S819" s="1">
        <v>66898.21</v>
      </c>
      <c r="T819">
        <f t="shared" si="84"/>
        <v>1430.2892</v>
      </c>
      <c r="U819">
        <f t="shared" si="85"/>
        <v>430</v>
      </c>
      <c r="V819">
        <f t="shared" si="86"/>
        <v>35.8333333333333</v>
      </c>
      <c r="W819">
        <f t="shared" si="87"/>
        <v>16374.14</v>
      </c>
      <c r="X819">
        <f t="shared" si="90"/>
        <v>0.104158950149616</v>
      </c>
      <c r="AH819" t="str">
        <f t="shared" si="89"/>
        <v>3rd Quality</v>
      </c>
      <c r="AJ819">
        <f>((T819-X819)*2)</f>
        <v>2860.3700820997</v>
      </c>
      <c r="AK819">
        <f t="shared" si="88"/>
        <v>1990962.5664</v>
      </c>
    </row>
    <row r="820" spans="1:37">
      <c r="A820" t="s">
        <v>883</v>
      </c>
      <c r="B820">
        <v>36</v>
      </c>
      <c r="C820" t="s">
        <v>50</v>
      </c>
      <c r="D820" t="s">
        <v>51</v>
      </c>
      <c r="E820">
        <v>971</v>
      </c>
      <c r="F820">
        <v>1</v>
      </c>
      <c r="G820">
        <v>6</v>
      </c>
      <c r="H820">
        <v>9976.88</v>
      </c>
      <c r="I820">
        <v>66898.21</v>
      </c>
      <c r="J820">
        <v>39</v>
      </c>
      <c r="K820">
        <v>0</v>
      </c>
      <c r="L820">
        <v>8</v>
      </c>
      <c r="M820">
        <v>30.8</v>
      </c>
      <c r="N820" t="s">
        <v>57</v>
      </c>
      <c r="O820" t="s">
        <v>53</v>
      </c>
      <c r="P820" t="s">
        <v>48</v>
      </c>
      <c r="R820">
        <f>SUMIF(A820:A5819,"C00819",I820:I5819)</f>
        <v>66898.21</v>
      </c>
      <c r="S820" s="1">
        <v>3339.75</v>
      </c>
      <c r="T820">
        <f t="shared" si="84"/>
        <v>1715.33871794872</v>
      </c>
      <c r="U820">
        <f t="shared" si="85"/>
        <v>1201.2</v>
      </c>
      <c r="V820">
        <f t="shared" si="86"/>
        <v>100.1</v>
      </c>
      <c r="W820">
        <f t="shared" si="87"/>
        <v>25625.3633333333</v>
      </c>
      <c r="X820">
        <f t="shared" si="90"/>
        <v>0.0973250154356873</v>
      </c>
      <c r="AH820" t="str">
        <f t="shared" si="89"/>
        <v>2nd Quality</v>
      </c>
      <c r="AJ820">
        <f>((T820-X820)*2)/8</f>
        <v>428.810348233321</v>
      </c>
      <c r="AK820">
        <f t="shared" si="88"/>
        <v>1665593.89512821</v>
      </c>
    </row>
    <row r="821" spans="1:37">
      <c r="A821" t="s">
        <v>884</v>
      </c>
      <c r="B821">
        <v>37</v>
      </c>
      <c r="C821" t="s">
        <v>56</v>
      </c>
      <c r="D821" t="s">
        <v>45</v>
      </c>
      <c r="E821">
        <v>805</v>
      </c>
      <c r="F821">
        <v>4</v>
      </c>
      <c r="G821">
        <v>2</v>
      </c>
      <c r="H821">
        <v>1639.9</v>
      </c>
      <c r="I821">
        <v>3339.75</v>
      </c>
      <c r="J821">
        <v>20</v>
      </c>
      <c r="K821">
        <v>0</v>
      </c>
      <c r="L821">
        <v>37.2</v>
      </c>
      <c r="M821">
        <v>54.4</v>
      </c>
      <c r="N821" t="s">
        <v>63</v>
      </c>
      <c r="O821" t="s">
        <v>47</v>
      </c>
      <c r="P821" t="s">
        <v>58</v>
      </c>
      <c r="R821">
        <f>SUMIF(A821:A5820,"C00820",I821:I5820)</f>
        <v>3339.75</v>
      </c>
      <c r="S821" s="1">
        <v>64564.57</v>
      </c>
      <c r="T821">
        <f t="shared" si="84"/>
        <v>166.9875</v>
      </c>
      <c r="U821">
        <f t="shared" si="85"/>
        <v>1088</v>
      </c>
      <c r="V821">
        <f t="shared" si="86"/>
        <v>90.6666666666667</v>
      </c>
      <c r="W821">
        <f t="shared" si="87"/>
        <v>1660.21666666667</v>
      </c>
      <c r="X821">
        <f t="shared" si="90"/>
        <v>0.490883590462833</v>
      </c>
      <c r="AH821" t="str">
        <f t="shared" si="89"/>
        <v>3rd Quality</v>
      </c>
      <c r="AJ821">
        <f>((T821-X821)*2)/37.2</f>
        <v>8.95143098976006</v>
      </c>
      <c r="AK821">
        <f t="shared" si="88"/>
        <v>134424.9375</v>
      </c>
    </row>
    <row r="822" spans="1:37">
      <c r="A822" t="s">
        <v>885</v>
      </c>
      <c r="B822">
        <v>49</v>
      </c>
      <c r="C822" t="s">
        <v>101</v>
      </c>
      <c r="D822" t="s">
        <v>60</v>
      </c>
      <c r="E822">
        <v>1154</v>
      </c>
      <c r="F822">
        <v>23</v>
      </c>
      <c r="G822">
        <v>22</v>
      </c>
      <c r="H822">
        <v>2634.25</v>
      </c>
      <c r="I822">
        <v>64564.57</v>
      </c>
      <c r="J822">
        <v>183</v>
      </c>
      <c r="K822">
        <v>2</v>
      </c>
      <c r="L822">
        <v>0</v>
      </c>
      <c r="M822">
        <v>30.4</v>
      </c>
      <c r="N822" t="s">
        <v>46</v>
      </c>
      <c r="O822" t="s">
        <v>53</v>
      </c>
      <c r="P822" t="s">
        <v>48</v>
      </c>
      <c r="R822">
        <f>SUMIF(A822:A5821,"C00821",I822:I5821)</f>
        <v>64564.57</v>
      </c>
      <c r="S822" s="1">
        <v>69553.54</v>
      </c>
      <c r="T822">
        <f t="shared" si="84"/>
        <v>352.811857923497</v>
      </c>
      <c r="U822">
        <f t="shared" si="85"/>
        <v>5563.2</v>
      </c>
      <c r="V822">
        <f>U822*2</f>
        <v>11126.4</v>
      </c>
      <c r="W822">
        <f t="shared" si="87"/>
        <v>22399.94</v>
      </c>
      <c r="X822">
        <f t="shared" si="90"/>
        <v>0.438075353516181</v>
      </c>
      <c r="AH822" t="str">
        <f t="shared" si="89"/>
        <v>3rd Quality</v>
      </c>
      <c r="AJ822">
        <f>((T822-X822)*2)</f>
        <v>704.747565139962</v>
      </c>
      <c r="AK822">
        <f t="shared" si="88"/>
        <v>407144.884043716</v>
      </c>
    </row>
    <row r="823" spans="1:37">
      <c r="A823" t="s">
        <v>886</v>
      </c>
      <c r="B823">
        <v>38</v>
      </c>
      <c r="C823" t="s">
        <v>44</v>
      </c>
      <c r="D823" t="s">
        <v>51</v>
      </c>
      <c r="E823">
        <v>1122</v>
      </c>
      <c r="F823">
        <v>18</v>
      </c>
      <c r="G823">
        <v>5</v>
      </c>
      <c r="H823">
        <v>14609.44</v>
      </c>
      <c r="I823">
        <v>69553.54</v>
      </c>
      <c r="J823">
        <v>41</v>
      </c>
      <c r="K823">
        <v>0</v>
      </c>
      <c r="L823">
        <v>0</v>
      </c>
      <c r="M823">
        <v>50.2</v>
      </c>
      <c r="N823" t="s">
        <v>57</v>
      </c>
      <c r="O823" t="s">
        <v>53</v>
      </c>
      <c r="P823" t="s">
        <v>68</v>
      </c>
      <c r="R823">
        <f>SUMIF(A823:A5822,"C00822",I823:I5822)</f>
        <v>69553.54</v>
      </c>
      <c r="S823" s="1">
        <v>7759.61</v>
      </c>
      <c r="T823">
        <f t="shared" si="84"/>
        <v>1696.42780487805</v>
      </c>
      <c r="U823">
        <f t="shared" si="85"/>
        <v>2058.2</v>
      </c>
      <c r="V823">
        <f t="shared" si="86"/>
        <v>171.516666666667</v>
      </c>
      <c r="W823">
        <f t="shared" si="87"/>
        <v>28054.66</v>
      </c>
      <c r="X823">
        <f t="shared" si="90"/>
        <v>0.0767996583031245</v>
      </c>
      <c r="AH823" t="str">
        <f t="shared" si="89"/>
        <v>2nd Quality</v>
      </c>
      <c r="AJ823">
        <f>((T823-X823)*2)</f>
        <v>3392.70201043949</v>
      </c>
      <c r="AK823">
        <f t="shared" si="88"/>
        <v>1903391.99707317</v>
      </c>
    </row>
    <row r="824" spans="1:37">
      <c r="A824" t="s">
        <v>887</v>
      </c>
      <c r="B824">
        <v>24</v>
      </c>
      <c r="C824" t="s">
        <v>44</v>
      </c>
      <c r="D824" t="s">
        <v>45</v>
      </c>
      <c r="E824">
        <v>599</v>
      </c>
      <c r="F824">
        <v>36</v>
      </c>
      <c r="G824">
        <v>8</v>
      </c>
      <c r="H824">
        <v>963.67</v>
      </c>
      <c r="I824">
        <v>7759.61</v>
      </c>
      <c r="J824">
        <v>48</v>
      </c>
      <c r="K824">
        <v>1</v>
      </c>
      <c r="L824">
        <v>20.8</v>
      </c>
      <c r="M824">
        <v>17.4</v>
      </c>
      <c r="N824" t="s">
        <v>63</v>
      </c>
      <c r="O824" t="s">
        <v>75</v>
      </c>
      <c r="P824" t="s">
        <v>66</v>
      </c>
      <c r="R824">
        <f>SUMIF(A824:A5823,"C00823",I824:I5823)</f>
        <v>7759.61</v>
      </c>
      <c r="S824" s="1">
        <v>2779.04</v>
      </c>
      <c r="T824">
        <f t="shared" si="84"/>
        <v>161.658541666667</v>
      </c>
      <c r="U824">
        <f t="shared" si="85"/>
        <v>835.2</v>
      </c>
      <c r="V824">
        <f>U824*1</f>
        <v>835.2</v>
      </c>
      <c r="W824">
        <f t="shared" si="87"/>
        <v>2908.09333333333</v>
      </c>
      <c r="X824">
        <f t="shared" si="90"/>
        <v>0.621582076852034</v>
      </c>
      <c r="AH824" t="str">
        <f t="shared" si="89"/>
        <v>3rd Quality</v>
      </c>
      <c r="AJ824">
        <f>((T824-X824)*2)/20.8</f>
        <v>15.4843230374822</v>
      </c>
      <c r="AK824">
        <f t="shared" si="88"/>
        <v>96833.4664583333</v>
      </c>
    </row>
    <row r="825" spans="1:37">
      <c r="A825" t="s">
        <v>888</v>
      </c>
      <c r="B825">
        <v>18</v>
      </c>
      <c r="C825" t="s">
        <v>50</v>
      </c>
      <c r="D825" t="s">
        <v>45</v>
      </c>
      <c r="E825">
        <v>665</v>
      </c>
      <c r="F825">
        <v>36</v>
      </c>
      <c r="G825">
        <v>4</v>
      </c>
      <c r="H825">
        <v>785.56</v>
      </c>
      <c r="I825">
        <v>2779.04</v>
      </c>
      <c r="J825">
        <v>18</v>
      </c>
      <c r="K825">
        <v>0</v>
      </c>
      <c r="L825">
        <v>31.3</v>
      </c>
      <c r="M825">
        <v>39.1</v>
      </c>
      <c r="N825" t="s">
        <v>61</v>
      </c>
      <c r="O825" t="s">
        <v>47</v>
      </c>
      <c r="P825" t="s">
        <v>58</v>
      </c>
      <c r="R825">
        <f>SUMIF(A825:A5824,"C00824",I825:I5824)</f>
        <v>2779.04</v>
      </c>
      <c r="S825" s="1">
        <v>4344.81</v>
      </c>
      <c r="T825">
        <f t="shared" si="84"/>
        <v>154.391111111111</v>
      </c>
      <c r="U825">
        <f t="shared" si="85"/>
        <v>703.8</v>
      </c>
      <c r="V825">
        <f t="shared" si="86"/>
        <v>58.65</v>
      </c>
      <c r="W825">
        <f t="shared" si="87"/>
        <v>1188.53333333333</v>
      </c>
      <c r="X825">
        <f t="shared" si="90"/>
        <v>0.846529864046031</v>
      </c>
      <c r="AH825" t="str">
        <f t="shared" si="89"/>
        <v>3rd Quality</v>
      </c>
      <c r="AJ825">
        <f>((T825-X825)*2)/31.3</f>
        <v>9.81115535125016</v>
      </c>
      <c r="AK825">
        <f t="shared" si="88"/>
        <v>102670.088888889</v>
      </c>
    </row>
    <row r="826" spans="1:37">
      <c r="A826" t="s">
        <v>889</v>
      </c>
      <c r="B826">
        <v>18</v>
      </c>
      <c r="C826" t="s">
        <v>50</v>
      </c>
      <c r="D826" t="s">
        <v>60</v>
      </c>
      <c r="E826">
        <v>1067</v>
      </c>
      <c r="F826">
        <v>365</v>
      </c>
      <c r="G826">
        <v>3</v>
      </c>
      <c r="H826">
        <v>1359.88</v>
      </c>
      <c r="I826">
        <v>4344.81</v>
      </c>
      <c r="J826">
        <v>24</v>
      </c>
      <c r="K826">
        <v>0</v>
      </c>
      <c r="L826">
        <v>35.6</v>
      </c>
      <c r="M826">
        <v>30</v>
      </c>
      <c r="N826" t="s">
        <v>63</v>
      </c>
      <c r="O826" t="s">
        <v>75</v>
      </c>
      <c r="P826" t="s">
        <v>58</v>
      </c>
      <c r="R826">
        <f>SUMIF(A826:A5825,"C00825",I826:I5825)</f>
        <v>4344.81</v>
      </c>
      <c r="S826" s="1">
        <v>56384.08</v>
      </c>
      <c r="T826">
        <f t="shared" si="84"/>
        <v>181.03375</v>
      </c>
      <c r="U826">
        <f t="shared" si="85"/>
        <v>720</v>
      </c>
      <c r="V826">
        <f t="shared" si="86"/>
        <v>60</v>
      </c>
      <c r="W826">
        <f t="shared" si="87"/>
        <v>1901.89666666667</v>
      </c>
      <c r="X826">
        <f t="shared" si="90"/>
        <v>0.784628055416654</v>
      </c>
      <c r="AH826" t="str">
        <f t="shared" si="89"/>
        <v>3rd Quality</v>
      </c>
      <c r="AJ826">
        <f>((T826-X826)*2)/35.6</f>
        <v>10.126355165426</v>
      </c>
      <c r="AK826">
        <f t="shared" si="88"/>
        <v>193163.01125</v>
      </c>
    </row>
    <row r="827" spans="1:37">
      <c r="A827" t="s">
        <v>890</v>
      </c>
      <c r="B827">
        <v>56</v>
      </c>
      <c r="C827" t="s">
        <v>50</v>
      </c>
      <c r="D827" t="s">
        <v>45</v>
      </c>
      <c r="E827">
        <v>1314</v>
      </c>
      <c r="F827">
        <v>9</v>
      </c>
      <c r="G827">
        <v>23</v>
      </c>
      <c r="H827">
        <v>2664.77</v>
      </c>
      <c r="I827">
        <v>56384.08</v>
      </c>
      <c r="J827">
        <v>190</v>
      </c>
      <c r="K827">
        <v>1</v>
      </c>
      <c r="L827">
        <v>12.2</v>
      </c>
      <c r="M827">
        <v>57.6</v>
      </c>
      <c r="N827" t="s">
        <v>46</v>
      </c>
      <c r="O827" t="s">
        <v>75</v>
      </c>
      <c r="P827" t="s">
        <v>58</v>
      </c>
      <c r="R827">
        <f>SUMIF(A827:A5826,"C00826",I827:I5826)</f>
        <v>56384.08</v>
      </c>
      <c r="S827" s="1">
        <v>33631.71</v>
      </c>
      <c r="T827">
        <f t="shared" si="84"/>
        <v>296.758315789474</v>
      </c>
      <c r="U827">
        <f t="shared" si="85"/>
        <v>10944</v>
      </c>
      <c r="V827">
        <f>U827*1</f>
        <v>10944</v>
      </c>
      <c r="W827">
        <f t="shared" si="87"/>
        <v>19683.2833333333</v>
      </c>
      <c r="X827">
        <f t="shared" si="90"/>
        <v>0.493100717885596</v>
      </c>
      <c r="AH827" t="str">
        <f t="shared" si="89"/>
        <v>3rd Quality</v>
      </c>
      <c r="AJ827">
        <f>((T827-X827)*2)/12.2</f>
        <v>48.5680680445227</v>
      </c>
      <c r="AK827">
        <f t="shared" si="88"/>
        <v>389940.426947368</v>
      </c>
    </row>
    <row r="828" spans="1:37">
      <c r="A828" t="s">
        <v>891</v>
      </c>
      <c r="B828">
        <v>36</v>
      </c>
      <c r="C828" t="s">
        <v>44</v>
      </c>
      <c r="D828" t="s">
        <v>60</v>
      </c>
      <c r="E828">
        <v>942</v>
      </c>
      <c r="F828">
        <v>19</v>
      </c>
      <c r="G828">
        <v>6</v>
      </c>
      <c r="H828">
        <v>5707.57</v>
      </c>
      <c r="I828">
        <v>33631.71</v>
      </c>
      <c r="J828">
        <v>41</v>
      </c>
      <c r="K828">
        <v>2</v>
      </c>
      <c r="L828">
        <v>0</v>
      </c>
      <c r="M828">
        <v>33.9</v>
      </c>
      <c r="N828" t="s">
        <v>78</v>
      </c>
      <c r="O828" t="s">
        <v>47</v>
      </c>
      <c r="P828" t="s">
        <v>48</v>
      </c>
      <c r="R828">
        <f>SUMIF(A828:A5827,"C00827",I828:I5827)</f>
        <v>33631.71</v>
      </c>
      <c r="S828" s="1">
        <v>16828.56</v>
      </c>
      <c r="T828">
        <f t="shared" si="84"/>
        <v>820.285609756098</v>
      </c>
      <c r="U828">
        <f t="shared" si="85"/>
        <v>1389.9</v>
      </c>
      <c r="V828">
        <f>U828*2</f>
        <v>2779.8</v>
      </c>
      <c r="W828">
        <f t="shared" si="87"/>
        <v>13113.4266666667</v>
      </c>
      <c r="X828">
        <f t="shared" si="90"/>
        <v>0.165043967923302</v>
      </c>
      <c r="AH828" t="str">
        <f t="shared" si="89"/>
        <v>2nd Quality</v>
      </c>
      <c r="AJ828">
        <f>((T828-X828)*2)</f>
        <v>1640.24113157635</v>
      </c>
      <c r="AK828">
        <f t="shared" si="88"/>
        <v>772709.044390244</v>
      </c>
    </row>
    <row r="829" spans="1:37">
      <c r="A829" t="s">
        <v>892</v>
      </c>
      <c r="B829">
        <v>37</v>
      </c>
      <c r="C829" t="s">
        <v>50</v>
      </c>
      <c r="D829" t="s">
        <v>60</v>
      </c>
      <c r="E829">
        <v>1361</v>
      </c>
      <c r="F829">
        <v>67</v>
      </c>
      <c r="G829">
        <v>14</v>
      </c>
      <c r="H829">
        <v>1154.91</v>
      </c>
      <c r="I829">
        <v>16828.56</v>
      </c>
      <c r="J829">
        <v>48</v>
      </c>
      <c r="K829">
        <v>2</v>
      </c>
      <c r="L829">
        <v>26.3</v>
      </c>
      <c r="M829">
        <v>7.8</v>
      </c>
      <c r="N829" t="s">
        <v>63</v>
      </c>
      <c r="O829" t="s">
        <v>47</v>
      </c>
      <c r="P829" t="s">
        <v>68</v>
      </c>
      <c r="R829">
        <f>SUMIF(A829:A5828,"C00828",I829:I5828)</f>
        <v>16828.56</v>
      </c>
      <c r="S829" s="1">
        <v>7786.69</v>
      </c>
      <c r="T829">
        <f t="shared" si="84"/>
        <v>350.595</v>
      </c>
      <c r="U829">
        <f t="shared" si="85"/>
        <v>374.4</v>
      </c>
      <c r="V829">
        <f>U829*2</f>
        <v>748.8</v>
      </c>
      <c r="W829">
        <f t="shared" si="87"/>
        <v>5994.82333333333</v>
      </c>
      <c r="X829">
        <f t="shared" si="90"/>
        <v>1.17844680537877</v>
      </c>
      <c r="AH829" t="str">
        <f t="shared" si="89"/>
        <v>3rd Quality</v>
      </c>
      <c r="AJ829">
        <f>((T829-X829)*2)/26.3</f>
        <v>26.5716010033933</v>
      </c>
      <c r="AK829">
        <f t="shared" si="88"/>
        <v>477159.795</v>
      </c>
    </row>
    <row r="830" spans="1:37">
      <c r="A830" t="s">
        <v>893</v>
      </c>
      <c r="B830">
        <v>40</v>
      </c>
      <c r="C830" t="s">
        <v>44</v>
      </c>
      <c r="D830" t="s">
        <v>45</v>
      </c>
      <c r="E830">
        <v>965</v>
      </c>
      <c r="F830">
        <v>69</v>
      </c>
      <c r="G830">
        <v>3</v>
      </c>
      <c r="H830">
        <v>2884.89</v>
      </c>
      <c r="I830">
        <v>7786.69</v>
      </c>
      <c r="J830">
        <v>20</v>
      </c>
      <c r="K830">
        <v>1</v>
      </c>
      <c r="L830">
        <v>15.8</v>
      </c>
      <c r="M830">
        <v>28.5</v>
      </c>
      <c r="N830" t="s">
        <v>61</v>
      </c>
      <c r="O830" t="s">
        <v>47</v>
      </c>
      <c r="P830" t="s">
        <v>54</v>
      </c>
      <c r="R830">
        <f>SUMIF(A830:A5829,"C00829",I830:I5829)</f>
        <v>7786.69</v>
      </c>
      <c r="S830" s="1">
        <v>4867.24</v>
      </c>
      <c r="T830">
        <f t="shared" si="84"/>
        <v>389.3345</v>
      </c>
      <c r="U830">
        <f t="shared" si="85"/>
        <v>570</v>
      </c>
      <c r="V830">
        <f>U830*1</f>
        <v>570</v>
      </c>
      <c r="W830">
        <f t="shared" si="87"/>
        <v>3557.52666666667</v>
      </c>
      <c r="X830">
        <f t="shared" si="90"/>
        <v>0.3345014887916</v>
      </c>
      <c r="AH830" t="str">
        <f t="shared" si="89"/>
        <v>3rd Quality</v>
      </c>
      <c r="AJ830">
        <f>((T830-X830)*2)/15.8</f>
        <v>49.2405061406593</v>
      </c>
      <c r="AK830">
        <f t="shared" si="88"/>
        <v>375707.7925</v>
      </c>
    </row>
    <row r="831" spans="1:37">
      <c r="A831" t="s">
        <v>894</v>
      </c>
      <c r="B831">
        <v>27</v>
      </c>
      <c r="C831" t="s">
        <v>44</v>
      </c>
      <c r="D831" t="s">
        <v>60</v>
      </c>
      <c r="E831">
        <v>1057</v>
      </c>
      <c r="F831">
        <v>74</v>
      </c>
      <c r="G831">
        <v>8</v>
      </c>
      <c r="H831">
        <v>569.63</v>
      </c>
      <c r="I831">
        <v>4867.24</v>
      </c>
      <c r="J831">
        <v>61</v>
      </c>
      <c r="K831">
        <v>1</v>
      </c>
      <c r="L831">
        <v>28.2</v>
      </c>
      <c r="M831">
        <v>24.2</v>
      </c>
      <c r="N831" t="s">
        <v>46</v>
      </c>
      <c r="O831" t="s">
        <v>47</v>
      </c>
      <c r="P831" t="s">
        <v>54</v>
      </c>
      <c r="R831">
        <f>SUMIF(A831:A5830,"C00830",I831:I5830)</f>
        <v>4867.24</v>
      </c>
      <c r="S831" s="1">
        <v>42407.18</v>
      </c>
      <c r="T831">
        <f t="shared" si="84"/>
        <v>79.7908196721311</v>
      </c>
      <c r="U831">
        <f t="shared" si="85"/>
        <v>1476.2</v>
      </c>
      <c r="V831">
        <f>U831*1</f>
        <v>1476.2</v>
      </c>
      <c r="W831">
        <f t="shared" si="87"/>
        <v>1812.62333333333</v>
      </c>
      <c r="X831">
        <f t="shared" si="90"/>
        <v>1.8555904710075</v>
      </c>
      <c r="AH831" t="str">
        <f t="shared" si="89"/>
        <v>3rd Quality</v>
      </c>
      <c r="AJ831">
        <f>((T831-X831)*2)/28.2</f>
        <v>5.52732121993784</v>
      </c>
      <c r="AK831">
        <f t="shared" si="88"/>
        <v>84338.8963934426</v>
      </c>
    </row>
    <row r="832" spans="1:37">
      <c r="A832" t="s">
        <v>895</v>
      </c>
      <c r="B832">
        <v>39</v>
      </c>
      <c r="C832" t="s">
        <v>44</v>
      </c>
      <c r="D832" t="s">
        <v>45</v>
      </c>
      <c r="E832">
        <v>768</v>
      </c>
      <c r="F832">
        <v>24</v>
      </c>
      <c r="G832">
        <v>4</v>
      </c>
      <c r="H832">
        <v>9876.92</v>
      </c>
      <c r="I832">
        <v>42407.18</v>
      </c>
      <c r="J832">
        <v>36</v>
      </c>
      <c r="K832">
        <v>1</v>
      </c>
      <c r="L832">
        <v>1</v>
      </c>
      <c r="M832">
        <v>17.7</v>
      </c>
      <c r="N832" t="s">
        <v>52</v>
      </c>
      <c r="O832" t="s">
        <v>53</v>
      </c>
      <c r="P832" t="s">
        <v>68</v>
      </c>
      <c r="R832">
        <f>SUMIF(A832:A5831,"C00831",I832:I5831)</f>
        <v>42407.18</v>
      </c>
      <c r="S832" s="1">
        <v>30088.63</v>
      </c>
      <c r="T832">
        <f t="shared" si="84"/>
        <v>1177.97722222222</v>
      </c>
      <c r="U832">
        <f t="shared" si="85"/>
        <v>637.2</v>
      </c>
      <c r="V832">
        <f>U832*1</f>
        <v>637.2</v>
      </c>
      <c r="W832">
        <f t="shared" si="87"/>
        <v>17428.3666666667</v>
      </c>
      <c r="X832">
        <f t="shared" si="90"/>
        <v>0.0777570335691693</v>
      </c>
      <c r="AH832" t="str">
        <f t="shared" si="89"/>
        <v>2nd Quality</v>
      </c>
      <c r="AJ832">
        <f>((T832-X832)*2)/1</f>
        <v>2355.7989303773</v>
      </c>
      <c r="AK832">
        <f t="shared" si="88"/>
        <v>904686.506666667</v>
      </c>
    </row>
    <row r="833" spans="1:37">
      <c r="A833" t="s">
        <v>896</v>
      </c>
      <c r="B833">
        <v>18</v>
      </c>
      <c r="C833" t="s">
        <v>50</v>
      </c>
      <c r="D833" t="s">
        <v>60</v>
      </c>
      <c r="E833">
        <v>1088</v>
      </c>
      <c r="F833">
        <v>48</v>
      </c>
      <c r="G833">
        <v>4</v>
      </c>
      <c r="H833">
        <v>7466.08</v>
      </c>
      <c r="I833">
        <v>30088.63</v>
      </c>
      <c r="J833">
        <v>27</v>
      </c>
      <c r="K833">
        <v>0</v>
      </c>
      <c r="L833">
        <v>0</v>
      </c>
      <c r="M833">
        <v>19.1</v>
      </c>
      <c r="N833" t="s">
        <v>81</v>
      </c>
      <c r="O833" t="s">
        <v>47</v>
      </c>
      <c r="P833" t="s">
        <v>66</v>
      </c>
      <c r="R833">
        <f>SUMIF(A833:A5832,"C00832",I833:I5832)</f>
        <v>30088.63</v>
      </c>
      <c r="S833" s="1">
        <v>9090.19</v>
      </c>
      <c r="T833">
        <f t="shared" si="84"/>
        <v>1114.3937037037</v>
      </c>
      <c r="U833">
        <f t="shared" si="85"/>
        <v>515.7</v>
      </c>
      <c r="V833">
        <f t="shared" si="86"/>
        <v>42.975</v>
      </c>
      <c r="W833">
        <f t="shared" si="87"/>
        <v>12518.57</v>
      </c>
      <c r="X833">
        <f t="shared" si="90"/>
        <v>0.145725735593511</v>
      </c>
      <c r="AH833" t="str">
        <f t="shared" si="89"/>
        <v>2nd Quality</v>
      </c>
      <c r="AJ833">
        <f>((T833-X833)*2)</f>
        <v>2228.49595593621</v>
      </c>
      <c r="AK833">
        <f t="shared" si="88"/>
        <v>1212460.34962963</v>
      </c>
    </row>
    <row r="834" spans="1:37">
      <c r="A834" t="s">
        <v>897</v>
      </c>
      <c r="B834">
        <v>35</v>
      </c>
      <c r="C834" t="s">
        <v>50</v>
      </c>
      <c r="D834" t="s">
        <v>45</v>
      </c>
      <c r="E834">
        <v>453</v>
      </c>
      <c r="F834">
        <v>42</v>
      </c>
      <c r="G834">
        <v>7</v>
      </c>
      <c r="H834">
        <v>1266.69</v>
      </c>
      <c r="I834">
        <v>9090.19</v>
      </c>
      <c r="J834">
        <v>65</v>
      </c>
      <c r="K834">
        <v>0</v>
      </c>
      <c r="L834">
        <v>18.8</v>
      </c>
      <c r="M834">
        <v>5.1</v>
      </c>
      <c r="N834" t="s">
        <v>63</v>
      </c>
      <c r="O834" t="s">
        <v>47</v>
      </c>
      <c r="P834" t="s">
        <v>58</v>
      </c>
      <c r="R834">
        <f>SUMIF(A834:A5833,"C00833",I834:I5833)</f>
        <v>9090.19</v>
      </c>
      <c r="S834" s="1">
        <v>1344.1</v>
      </c>
      <c r="T834">
        <f t="shared" si="84"/>
        <v>139.849076923077</v>
      </c>
      <c r="U834">
        <f t="shared" si="85"/>
        <v>331.5</v>
      </c>
      <c r="V834">
        <f t="shared" si="86"/>
        <v>27.625</v>
      </c>
      <c r="W834">
        <f t="shared" si="87"/>
        <v>3452.62666666667</v>
      </c>
      <c r="X834">
        <f t="shared" si="90"/>
        <v>0.357624991118585</v>
      </c>
      <c r="AH834" t="str">
        <f t="shared" si="89"/>
        <v>3rd Quality</v>
      </c>
      <c r="AJ834">
        <f>((T834-X834)*2)/18.8</f>
        <v>14.8395161629743</v>
      </c>
      <c r="AK834">
        <f t="shared" si="88"/>
        <v>63351.6318461538</v>
      </c>
    </row>
    <row r="835" spans="1:37">
      <c r="A835" t="s">
        <v>898</v>
      </c>
      <c r="B835">
        <v>42</v>
      </c>
      <c r="C835" t="s">
        <v>44</v>
      </c>
      <c r="D835" t="s">
        <v>45</v>
      </c>
      <c r="E835">
        <v>1089</v>
      </c>
      <c r="F835">
        <v>73</v>
      </c>
      <c r="G835">
        <v>2</v>
      </c>
      <c r="H835">
        <v>744.56</v>
      </c>
      <c r="I835">
        <v>1344.1</v>
      </c>
      <c r="J835">
        <v>23</v>
      </c>
      <c r="K835">
        <v>1</v>
      </c>
      <c r="L835">
        <v>32.4</v>
      </c>
      <c r="M835">
        <v>25.7</v>
      </c>
      <c r="N835" t="s">
        <v>78</v>
      </c>
      <c r="O835" t="s">
        <v>47</v>
      </c>
      <c r="P835" t="s">
        <v>58</v>
      </c>
      <c r="R835">
        <f>SUMIF(A835:A5834,"C00834",I835:I5834)</f>
        <v>1344.1</v>
      </c>
      <c r="S835" s="1">
        <v>6046.89</v>
      </c>
      <c r="T835">
        <f t="shared" ref="T835:T898" si="91">I835/J835</f>
        <v>58.4391304347826</v>
      </c>
      <c r="U835">
        <f t="shared" ref="U835:U898" si="92">J835*M835</f>
        <v>591.1</v>
      </c>
      <c r="V835">
        <f>U835*1</f>
        <v>591.1</v>
      </c>
      <c r="W835">
        <f t="shared" ref="W835:W898" si="93">(H835+I835+1)/3</f>
        <v>696.553333333333</v>
      </c>
      <c r="X835">
        <f t="shared" si="90"/>
        <v>1.46260878908349</v>
      </c>
      <c r="AH835" t="str">
        <f t="shared" si="89"/>
        <v>3rd Quality</v>
      </c>
      <c r="AJ835">
        <f>((T835-X835)*2)/32.4</f>
        <v>3.51706923738883</v>
      </c>
      <c r="AK835">
        <f t="shared" ref="AK835:AK898" si="94">I835/J835*E835</f>
        <v>63640.2130434783</v>
      </c>
    </row>
    <row r="836" spans="1:37">
      <c r="A836" t="s">
        <v>899</v>
      </c>
      <c r="B836">
        <v>23</v>
      </c>
      <c r="C836" t="s">
        <v>50</v>
      </c>
      <c r="D836" t="s">
        <v>60</v>
      </c>
      <c r="E836">
        <v>807</v>
      </c>
      <c r="F836">
        <v>19</v>
      </c>
      <c r="G836">
        <v>5</v>
      </c>
      <c r="H836">
        <v>1224.42</v>
      </c>
      <c r="I836">
        <v>6046.89</v>
      </c>
      <c r="J836">
        <v>42</v>
      </c>
      <c r="K836">
        <v>1</v>
      </c>
      <c r="L836">
        <v>31.7</v>
      </c>
      <c r="M836">
        <v>10.1</v>
      </c>
      <c r="N836" t="s">
        <v>78</v>
      </c>
      <c r="O836" t="s">
        <v>75</v>
      </c>
      <c r="P836" t="s">
        <v>68</v>
      </c>
      <c r="R836">
        <f>SUMIF(A836:A5835,"C00835",I836:I5835)</f>
        <v>6046.89</v>
      </c>
      <c r="S836" s="1">
        <v>31470.39</v>
      </c>
      <c r="T836">
        <f t="shared" si="91"/>
        <v>143.973571428571</v>
      </c>
      <c r="U836">
        <f t="shared" si="92"/>
        <v>424.2</v>
      </c>
      <c r="V836">
        <f>U836*1</f>
        <v>424.2</v>
      </c>
      <c r="W836">
        <f t="shared" si="93"/>
        <v>2424.10333333333</v>
      </c>
      <c r="X836">
        <f t="shared" si="90"/>
        <v>0.659087567991375</v>
      </c>
      <c r="AH836" t="str">
        <f t="shared" si="89"/>
        <v>3rd Quality</v>
      </c>
      <c r="AJ836">
        <f>((T836-X836)*2)/31.7</f>
        <v>9.04192327196086</v>
      </c>
      <c r="AK836">
        <f t="shared" si="94"/>
        <v>116186.672142857</v>
      </c>
    </row>
    <row r="837" spans="1:37">
      <c r="A837" t="s">
        <v>900</v>
      </c>
      <c r="B837">
        <v>66</v>
      </c>
      <c r="C837" t="s">
        <v>50</v>
      </c>
      <c r="D837" t="s">
        <v>45</v>
      </c>
      <c r="E837">
        <v>1015</v>
      </c>
      <c r="F837">
        <v>31</v>
      </c>
      <c r="G837">
        <v>3</v>
      </c>
      <c r="H837">
        <v>9696.25</v>
      </c>
      <c r="I837">
        <v>31470.39</v>
      </c>
      <c r="J837">
        <v>32</v>
      </c>
      <c r="K837">
        <v>0</v>
      </c>
      <c r="L837">
        <v>6.1</v>
      </c>
      <c r="M837">
        <v>30</v>
      </c>
      <c r="N837" t="s">
        <v>52</v>
      </c>
      <c r="O837" t="s">
        <v>47</v>
      </c>
      <c r="P837" t="s">
        <v>58</v>
      </c>
      <c r="R837">
        <f>SUMIF(A837:A5836,"C00836",I837:I5836)</f>
        <v>31470.39</v>
      </c>
      <c r="S837" s="1">
        <v>4499.71</v>
      </c>
      <c r="T837">
        <f t="shared" si="91"/>
        <v>983.4496875</v>
      </c>
      <c r="U837">
        <f t="shared" si="92"/>
        <v>960</v>
      </c>
      <c r="V837">
        <f t="shared" ref="V835:V898" si="95">U837/12</f>
        <v>80</v>
      </c>
      <c r="W837">
        <f t="shared" si="93"/>
        <v>13722.5466666667</v>
      </c>
      <c r="X837">
        <f t="shared" si="90"/>
        <v>0.104679644192342</v>
      </c>
      <c r="AH837" t="str">
        <f t="shared" si="89"/>
        <v>3rd Quality</v>
      </c>
      <c r="AJ837">
        <f>((T837-X837)*2)/6.1</f>
        <v>322.408199296986</v>
      </c>
      <c r="AK837">
        <f t="shared" si="94"/>
        <v>998201.4328125</v>
      </c>
    </row>
    <row r="838" spans="1:37">
      <c r="A838" t="s">
        <v>901</v>
      </c>
      <c r="B838">
        <v>18</v>
      </c>
      <c r="C838" t="s">
        <v>44</v>
      </c>
      <c r="D838" t="s">
        <v>51</v>
      </c>
      <c r="E838">
        <v>1447</v>
      </c>
      <c r="F838">
        <v>44</v>
      </c>
      <c r="G838">
        <v>4</v>
      </c>
      <c r="H838">
        <v>1247.93</v>
      </c>
      <c r="I838">
        <v>4499.71</v>
      </c>
      <c r="J838">
        <v>33</v>
      </c>
      <c r="K838">
        <v>0</v>
      </c>
      <c r="L838">
        <v>24.7</v>
      </c>
      <c r="M838">
        <v>65.1</v>
      </c>
      <c r="N838" t="s">
        <v>57</v>
      </c>
      <c r="O838" t="s">
        <v>53</v>
      </c>
      <c r="P838" t="s">
        <v>68</v>
      </c>
      <c r="R838">
        <f>SUMIF(A838:A5837,"C00837",I838:I5837)</f>
        <v>4499.71</v>
      </c>
      <c r="S838" s="1">
        <v>3094.12</v>
      </c>
      <c r="T838">
        <f t="shared" si="91"/>
        <v>136.354848484848</v>
      </c>
      <c r="U838">
        <f t="shared" si="92"/>
        <v>2148.3</v>
      </c>
      <c r="V838">
        <f t="shared" si="95"/>
        <v>179.025</v>
      </c>
      <c r="W838">
        <f t="shared" si="93"/>
        <v>1916.21333333333</v>
      </c>
      <c r="X838">
        <f t="shared" si="90"/>
        <v>1.15952016539389</v>
      </c>
      <c r="AH838" t="str">
        <f t="shared" si="89"/>
        <v>3rd Quality</v>
      </c>
      <c r="AJ838">
        <f>((T838-X838)*2)/24.7</f>
        <v>10.9469901473242</v>
      </c>
      <c r="AK838">
        <f t="shared" si="94"/>
        <v>197305.465757576</v>
      </c>
    </row>
    <row r="839" spans="1:37">
      <c r="A839" t="s">
        <v>902</v>
      </c>
      <c r="B839">
        <v>40</v>
      </c>
      <c r="C839" t="s">
        <v>44</v>
      </c>
      <c r="D839" t="s">
        <v>51</v>
      </c>
      <c r="E839">
        <v>848</v>
      </c>
      <c r="F839">
        <v>216</v>
      </c>
      <c r="G839">
        <v>1</v>
      </c>
      <c r="H839">
        <v>2769.31</v>
      </c>
      <c r="I839">
        <v>3094.12</v>
      </c>
      <c r="J839">
        <v>16</v>
      </c>
      <c r="K839">
        <v>0</v>
      </c>
      <c r="L839">
        <v>16.1</v>
      </c>
      <c r="M839">
        <v>34.7</v>
      </c>
      <c r="N839" t="s">
        <v>63</v>
      </c>
      <c r="O839" t="s">
        <v>75</v>
      </c>
      <c r="P839" t="s">
        <v>48</v>
      </c>
      <c r="R839">
        <f>SUMIF(A839:A5838,"C00838",I839:I5838)</f>
        <v>3094.12</v>
      </c>
      <c r="S839" s="1">
        <v>8164.83</v>
      </c>
      <c r="T839">
        <f t="shared" si="91"/>
        <v>193.3825</v>
      </c>
      <c r="U839">
        <f t="shared" si="92"/>
        <v>555.2</v>
      </c>
      <c r="V839">
        <f t="shared" si="95"/>
        <v>46.2666666666667</v>
      </c>
      <c r="W839">
        <f t="shared" si="93"/>
        <v>1954.81</v>
      </c>
      <c r="X839">
        <f t="shared" si="90"/>
        <v>0.306213461114863</v>
      </c>
      <c r="AH839" t="str">
        <f t="shared" si="89"/>
        <v>3rd Quality</v>
      </c>
      <c r="AJ839">
        <f>((T839-X839)*2)/16.1</f>
        <v>23.9846318681845</v>
      </c>
      <c r="AK839">
        <f t="shared" si="94"/>
        <v>163988.36</v>
      </c>
    </row>
    <row r="840" spans="1:37">
      <c r="A840" t="s">
        <v>903</v>
      </c>
      <c r="B840">
        <v>33</v>
      </c>
      <c r="C840" t="s">
        <v>50</v>
      </c>
      <c r="D840" t="s">
        <v>60</v>
      </c>
      <c r="E840">
        <v>1108</v>
      </c>
      <c r="F840">
        <v>63</v>
      </c>
      <c r="G840">
        <v>6</v>
      </c>
      <c r="H840">
        <v>1365.42</v>
      </c>
      <c r="I840">
        <v>8164.83</v>
      </c>
      <c r="J840">
        <v>22</v>
      </c>
      <c r="K840">
        <v>0</v>
      </c>
      <c r="L840">
        <v>32.4</v>
      </c>
      <c r="M840">
        <v>27.8</v>
      </c>
      <c r="N840" t="s">
        <v>46</v>
      </c>
      <c r="O840" t="s">
        <v>53</v>
      </c>
      <c r="P840" t="s">
        <v>58</v>
      </c>
      <c r="R840">
        <f>SUMIF(A840:A5839,"C00839",I840:I5839)</f>
        <v>8164.83</v>
      </c>
      <c r="S840" s="1">
        <v>14635.93</v>
      </c>
      <c r="T840">
        <f t="shared" si="91"/>
        <v>371.128636363636</v>
      </c>
      <c r="U840">
        <f t="shared" si="92"/>
        <v>611.6</v>
      </c>
      <c r="V840">
        <f t="shared" si="95"/>
        <v>50.9666666666667</v>
      </c>
      <c r="W840">
        <f t="shared" si="93"/>
        <v>3177.08333333333</v>
      </c>
      <c r="X840">
        <f t="shared" si="90"/>
        <v>0.811471928051442</v>
      </c>
      <c r="AH840" t="str">
        <f t="shared" si="89"/>
        <v>3rd Quality</v>
      </c>
      <c r="AJ840">
        <f>((T840-X840)*2)/32.4</f>
        <v>22.8590842244188</v>
      </c>
      <c r="AK840">
        <f t="shared" si="94"/>
        <v>411210.529090909</v>
      </c>
    </row>
    <row r="841" spans="1:37">
      <c r="A841" t="s">
        <v>904</v>
      </c>
      <c r="B841">
        <v>49</v>
      </c>
      <c r="C841" t="s">
        <v>44</v>
      </c>
      <c r="D841" t="s">
        <v>60</v>
      </c>
      <c r="E841">
        <v>1177</v>
      </c>
      <c r="F841">
        <v>42</v>
      </c>
      <c r="G841">
        <v>2</v>
      </c>
      <c r="H841">
        <v>8286.96</v>
      </c>
      <c r="I841">
        <v>14635.93</v>
      </c>
      <c r="J841">
        <v>15</v>
      </c>
      <c r="K841">
        <v>0</v>
      </c>
      <c r="L841">
        <v>23.9</v>
      </c>
      <c r="M841">
        <v>45.8</v>
      </c>
      <c r="N841" t="s">
        <v>52</v>
      </c>
      <c r="O841" t="s">
        <v>47</v>
      </c>
      <c r="P841" t="s">
        <v>48</v>
      </c>
      <c r="R841">
        <f>SUMIF(A841:A5840,"C00840",I841:I5840)</f>
        <v>14635.93</v>
      </c>
      <c r="S841" s="1">
        <v>81678.72</v>
      </c>
      <c r="T841">
        <f t="shared" si="91"/>
        <v>975.728666666667</v>
      </c>
      <c r="U841">
        <f t="shared" si="92"/>
        <v>687</v>
      </c>
      <c r="V841">
        <f t="shared" si="95"/>
        <v>57.25</v>
      </c>
      <c r="W841">
        <f t="shared" si="93"/>
        <v>7641.29666666667</v>
      </c>
      <c r="X841">
        <f t="shared" si="90"/>
        <v>0.14203037060635</v>
      </c>
      <c r="AH841" t="str">
        <f t="shared" si="89"/>
        <v>3rd Quality</v>
      </c>
      <c r="AJ841">
        <f>((T841-X841)*2)/23.9</f>
        <v>81.6390490624319</v>
      </c>
      <c r="AK841">
        <f t="shared" si="94"/>
        <v>1148432.64066667</v>
      </c>
    </row>
    <row r="842" spans="1:37">
      <c r="A842" t="s">
        <v>905</v>
      </c>
      <c r="B842">
        <v>30</v>
      </c>
      <c r="C842" t="s">
        <v>50</v>
      </c>
      <c r="D842" t="s">
        <v>60</v>
      </c>
      <c r="E842">
        <v>553</v>
      </c>
      <c r="F842">
        <v>1</v>
      </c>
      <c r="G842">
        <v>23</v>
      </c>
      <c r="H842">
        <v>3693.15</v>
      </c>
      <c r="I842">
        <v>81678.72</v>
      </c>
      <c r="J842">
        <v>127</v>
      </c>
      <c r="K842">
        <v>2</v>
      </c>
      <c r="L842">
        <v>12</v>
      </c>
      <c r="M842">
        <v>52.2</v>
      </c>
      <c r="N842" t="s">
        <v>63</v>
      </c>
      <c r="O842" t="s">
        <v>75</v>
      </c>
      <c r="P842" t="s">
        <v>48</v>
      </c>
      <c r="R842">
        <f>SUMIF(A842:A5841,"C00841",I842:I5841)</f>
        <v>81678.72</v>
      </c>
      <c r="S842" s="1">
        <v>5279.03</v>
      </c>
      <c r="T842">
        <f t="shared" si="91"/>
        <v>643.139527559055</v>
      </c>
      <c r="U842">
        <f t="shared" si="92"/>
        <v>6629.4</v>
      </c>
      <c r="V842">
        <f>U842*2</f>
        <v>13258.8</v>
      </c>
      <c r="W842">
        <f t="shared" si="93"/>
        <v>28457.6233333333</v>
      </c>
      <c r="X842">
        <f t="shared" si="90"/>
        <v>0.149736674654428</v>
      </c>
      <c r="AH842" t="str">
        <f t="shared" si="89"/>
        <v>2nd Quality</v>
      </c>
      <c r="AJ842">
        <f>((T842-X842)*2)/12</f>
        <v>107.1649651474</v>
      </c>
      <c r="AK842">
        <f t="shared" si="94"/>
        <v>355656.158740157</v>
      </c>
    </row>
    <row r="843" spans="1:37">
      <c r="A843" t="s">
        <v>906</v>
      </c>
      <c r="B843">
        <v>22</v>
      </c>
      <c r="C843" t="s">
        <v>44</v>
      </c>
      <c r="D843" t="s">
        <v>51</v>
      </c>
      <c r="E843">
        <v>1435</v>
      </c>
      <c r="F843">
        <v>67</v>
      </c>
      <c r="G843">
        <v>5</v>
      </c>
      <c r="H843">
        <v>1055.65</v>
      </c>
      <c r="I843">
        <v>5279.03</v>
      </c>
      <c r="J843">
        <v>39</v>
      </c>
      <c r="K843">
        <v>0</v>
      </c>
      <c r="L843">
        <v>36.2</v>
      </c>
      <c r="M843">
        <v>24.6</v>
      </c>
      <c r="N843" t="s">
        <v>46</v>
      </c>
      <c r="O843" t="s">
        <v>75</v>
      </c>
      <c r="P843" t="s">
        <v>58</v>
      </c>
      <c r="R843">
        <f>SUMIF(A843:A5842,"C00842",I843:I5842)</f>
        <v>5279.03</v>
      </c>
      <c r="S843" s="1">
        <v>6804.22</v>
      </c>
      <c r="T843">
        <f t="shared" si="91"/>
        <v>135.359743589744</v>
      </c>
      <c r="U843">
        <f t="shared" si="92"/>
        <v>959.4</v>
      </c>
      <c r="V843">
        <f t="shared" si="95"/>
        <v>79.95</v>
      </c>
      <c r="W843">
        <f t="shared" si="93"/>
        <v>2111.89333333333</v>
      </c>
      <c r="X843">
        <f t="shared" si="90"/>
        <v>1.35935205797376</v>
      </c>
      <c r="AH843" t="str">
        <f t="shared" si="89"/>
        <v>3rd Quality</v>
      </c>
      <c r="AJ843">
        <f>((T843-X843)*2)/36.2</f>
        <v>7.40333654871659</v>
      </c>
      <c r="AK843">
        <f t="shared" si="94"/>
        <v>194241.232051282</v>
      </c>
    </row>
    <row r="844" spans="1:37">
      <c r="A844" t="s">
        <v>907</v>
      </c>
      <c r="B844">
        <v>43</v>
      </c>
      <c r="C844" t="s">
        <v>44</v>
      </c>
      <c r="D844" t="s">
        <v>51</v>
      </c>
      <c r="E844">
        <v>975</v>
      </c>
      <c r="F844">
        <v>16</v>
      </c>
      <c r="G844">
        <v>1</v>
      </c>
      <c r="H844">
        <v>6129.06</v>
      </c>
      <c r="I844">
        <v>6804.22</v>
      </c>
      <c r="J844">
        <v>13</v>
      </c>
      <c r="K844">
        <v>0</v>
      </c>
      <c r="L844">
        <v>0.9</v>
      </c>
      <c r="M844">
        <v>41.6</v>
      </c>
      <c r="N844" t="s">
        <v>46</v>
      </c>
      <c r="O844" t="s">
        <v>75</v>
      </c>
      <c r="P844" t="s">
        <v>58</v>
      </c>
      <c r="R844">
        <f>SUMIF(A844:A5843,"C00843",I844:I5843)</f>
        <v>6804.22</v>
      </c>
      <c r="S844" s="1">
        <v>15494.36</v>
      </c>
      <c r="T844">
        <f t="shared" si="91"/>
        <v>523.401538461539</v>
      </c>
      <c r="U844">
        <f t="shared" si="92"/>
        <v>540.8</v>
      </c>
      <c r="V844">
        <f t="shared" si="95"/>
        <v>45.0666666666667</v>
      </c>
      <c r="W844">
        <f t="shared" si="93"/>
        <v>4311.42666666667</v>
      </c>
      <c r="X844">
        <f t="shared" si="90"/>
        <v>0.159078227330129</v>
      </c>
      <c r="AH844" t="str">
        <f t="shared" si="89"/>
        <v>3rd Quality</v>
      </c>
      <c r="AJ844">
        <f>((T844-X844)*2)/0.9</f>
        <v>1162.76102274269</v>
      </c>
      <c r="AK844">
        <f t="shared" si="94"/>
        <v>510316.5</v>
      </c>
    </row>
    <row r="845" spans="1:37">
      <c r="A845" t="s">
        <v>908</v>
      </c>
      <c r="B845">
        <v>24</v>
      </c>
      <c r="C845" t="s">
        <v>44</v>
      </c>
      <c r="D845" t="s">
        <v>51</v>
      </c>
      <c r="E845">
        <v>1183</v>
      </c>
      <c r="F845">
        <v>22</v>
      </c>
      <c r="G845">
        <v>10</v>
      </c>
      <c r="H845">
        <v>1476.7</v>
      </c>
      <c r="I845">
        <v>15494.36</v>
      </c>
      <c r="J845">
        <v>64</v>
      </c>
      <c r="K845">
        <v>0</v>
      </c>
      <c r="L845">
        <v>31.5</v>
      </c>
      <c r="M845">
        <v>40</v>
      </c>
      <c r="N845" t="s">
        <v>81</v>
      </c>
      <c r="O845" t="s">
        <v>47</v>
      </c>
      <c r="P845" t="s">
        <v>48</v>
      </c>
      <c r="R845">
        <f>SUMIF(A845:A5844,"C00844",I845:I5844)</f>
        <v>15494.36</v>
      </c>
      <c r="S845" s="1">
        <v>82952.21</v>
      </c>
      <c r="T845">
        <f t="shared" si="91"/>
        <v>242.099375</v>
      </c>
      <c r="U845">
        <f t="shared" si="92"/>
        <v>2560</v>
      </c>
      <c r="V845">
        <f t="shared" si="95"/>
        <v>213.333333333333</v>
      </c>
      <c r="W845">
        <f t="shared" si="93"/>
        <v>5657.35333333333</v>
      </c>
      <c r="X845">
        <f t="shared" si="90"/>
        <v>0.801110584411187</v>
      </c>
      <c r="AH845" t="str">
        <f t="shared" si="89"/>
        <v>3rd Quality</v>
      </c>
      <c r="AJ845">
        <f>((T845-X845)*2)/31.5</f>
        <v>15.3205247247993</v>
      </c>
      <c r="AK845">
        <f t="shared" si="94"/>
        <v>286403.560625</v>
      </c>
    </row>
    <row r="846" spans="1:37">
      <c r="A846" t="s">
        <v>909</v>
      </c>
      <c r="B846">
        <v>43</v>
      </c>
      <c r="C846" t="s">
        <v>50</v>
      </c>
      <c r="D846" t="s">
        <v>45</v>
      </c>
      <c r="E846">
        <v>508</v>
      </c>
      <c r="F846">
        <v>11</v>
      </c>
      <c r="G846">
        <v>28</v>
      </c>
      <c r="H846">
        <v>2906.06</v>
      </c>
      <c r="I846">
        <v>82952.21</v>
      </c>
      <c r="J846">
        <v>151</v>
      </c>
      <c r="K846">
        <v>1</v>
      </c>
      <c r="L846">
        <v>6.6</v>
      </c>
      <c r="M846">
        <v>45.7</v>
      </c>
      <c r="N846" t="s">
        <v>81</v>
      </c>
      <c r="O846" t="s">
        <v>47</v>
      </c>
      <c r="P846" t="s">
        <v>58</v>
      </c>
      <c r="R846">
        <f>SUMIF(A846:A5845,"C00845",I846:I5845)</f>
        <v>82952.21</v>
      </c>
      <c r="S846" s="1">
        <v>1611.27</v>
      </c>
      <c r="T846">
        <f t="shared" si="91"/>
        <v>549.35238410596</v>
      </c>
      <c r="U846">
        <f t="shared" si="92"/>
        <v>6900.7</v>
      </c>
      <c r="V846">
        <f>U846*1</f>
        <v>6900.7</v>
      </c>
      <c r="W846">
        <f t="shared" si="93"/>
        <v>28619.7566666667</v>
      </c>
      <c r="X846">
        <f t="shared" si="90"/>
        <v>0.174807127175626</v>
      </c>
      <c r="AH846" t="str">
        <f t="shared" ref="AH846:AH909" si="96">IF(AND(W846&gt;=12550,B846&lt;=33,E846&gt;=915),"1st Quality",IF(AND(W846&gt;=6275,B846&lt;=43,E846&gt;=457),"2nd Quality","3rd Quality"))</f>
        <v>2nd Quality</v>
      </c>
      <c r="AJ846">
        <f>((T846-X846)*2)/6.6</f>
        <v>166.417447569329</v>
      </c>
      <c r="AK846">
        <f t="shared" si="94"/>
        <v>279071.011125828</v>
      </c>
    </row>
    <row r="847" spans="1:37">
      <c r="A847" t="s">
        <v>910</v>
      </c>
      <c r="B847">
        <v>19</v>
      </c>
      <c r="C847" t="s">
        <v>44</v>
      </c>
      <c r="D847" t="s">
        <v>60</v>
      </c>
      <c r="E847">
        <v>707</v>
      </c>
      <c r="F847">
        <v>135</v>
      </c>
      <c r="G847">
        <v>1</v>
      </c>
      <c r="H847">
        <v>1449.03</v>
      </c>
      <c r="I847">
        <v>1611.27</v>
      </c>
      <c r="J847">
        <v>14</v>
      </c>
      <c r="K847">
        <v>0</v>
      </c>
      <c r="L847">
        <v>8.1</v>
      </c>
      <c r="M847">
        <v>13.3</v>
      </c>
      <c r="N847" t="s">
        <v>46</v>
      </c>
      <c r="O847" t="s">
        <v>47</v>
      </c>
      <c r="P847" t="s">
        <v>68</v>
      </c>
      <c r="R847">
        <f>SUMIF(A847:A5846,"C00846",I847:I5846)</f>
        <v>1611.27</v>
      </c>
      <c r="S847" s="1">
        <v>11846.06</v>
      </c>
      <c r="T847">
        <f t="shared" si="91"/>
        <v>115.090714285714</v>
      </c>
      <c r="U847">
        <f t="shared" si="92"/>
        <v>186.2</v>
      </c>
      <c r="V847">
        <f t="shared" si="95"/>
        <v>15.5166666666667</v>
      </c>
      <c r="W847">
        <f t="shared" si="93"/>
        <v>1020.43333333333</v>
      </c>
      <c r="X847">
        <f t="shared" si="90"/>
        <v>0.48791260360379</v>
      </c>
      <c r="AH847" t="str">
        <f t="shared" si="96"/>
        <v>3rd Quality</v>
      </c>
      <c r="AJ847">
        <f>((T847-X847)*2)/8.1</f>
        <v>28.2969880696568</v>
      </c>
      <c r="AK847">
        <f t="shared" si="94"/>
        <v>81369.135</v>
      </c>
    </row>
    <row r="848" spans="1:37">
      <c r="A848" t="s">
        <v>911</v>
      </c>
      <c r="B848">
        <v>25</v>
      </c>
      <c r="C848" t="s">
        <v>50</v>
      </c>
      <c r="D848" t="s">
        <v>45</v>
      </c>
      <c r="E848">
        <v>1394</v>
      </c>
      <c r="F848">
        <v>16</v>
      </c>
      <c r="G848">
        <v>12</v>
      </c>
      <c r="H848">
        <v>1038.26</v>
      </c>
      <c r="I848">
        <v>11846.06</v>
      </c>
      <c r="J848">
        <v>90</v>
      </c>
      <c r="K848">
        <v>1</v>
      </c>
      <c r="L848">
        <v>30.1</v>
      </c>
      <c r="M848">
        <v>48.4</v>
      </c>
      <c r="N848" t="s">
        <v>52</v>
      </c>
      <c r="O848" t="s">
        <v>53</v>
      </c>
      <c r="P848" t="s">
        <v>58</v>
      </c>
      <c r="R848">
        <f>SUMIF(A848:A5847,"C00847",I848:I5847)</f>
        <v>11846.06</v>
      </c>
      <c r="S848" s="1">
        <v>1952.32</v>
      </c>
      <c r="T848">
        <f t="shared" si="91"/>
        <v>131.622888888889</v>
      </c>
      <c r="U848">
        <f t="shared" si="92"/>
        <v>4356</v>
      </c>
      <c r="V848">
        <f>U848*1</f>
        <v>4356</v>
      </c>
      <c r="W848">
        <f t="shared" si="93"/>
        <v>4295.10666666667</v>
      </c>
      <c r="X848">
        <f t="shared" si="90"/>
        <v>1.34263094022692</v>
      </c>
      <c r="AH848" t="str">
        <f t="shared" si="96"/>
        <v>3rd Quality</v>
      </c>
      <c r="AJ848">
        <f>((T848-X848)*2)/30.1</f>
        <v>8.6564955447616</v>
      </c>
      <c r="AK848">
        <f t="shared" si="94"/>
        <v>183482.307111111</v>
      </c>
    </row>
    <row r="849" spans="1:37">
      <c r="A849" t="s">
        <v>912</v>
      </c>
      <c r="B849">
        <v>23</v>
      </c>
      <c r="C849" t="s">
        <v>50</v>
      </c>
      <c r="D849" t="s">
        <v>45</v>
      </c>
      <c r="E849">
        <v>915</v>
      </c>
      <c r="F849">
        <v>26</v>
      </c>
      <c r="G849">
        <v>3</v>
      </c>
      <c r="H849">
        <v>670.12</v>
      </c>
      <c r="I849">
        <v>1952.32</v>
      </c>
      <c r="J849">
        <v>17</v>
      </c>
      <c r="K849">
        <v>0</v>
      </c>
      <c r="L849">
        <v>29.6</v>
      </c>
      <c r="M849">
        <v>31.9</v>
      </c>
      <c r="N849" t="s">
        <v>57</v>
      </c>
      <c r="O849" t="s">
        <v>75</v>
      </c>
      <c r="P849" t="s">
        <v>58</v>
      </c>
      <c r="R849">
        <f>SUMIF(A849:A5848,"C00848",I849:I5848)</f>
        <v>1952.32</v>
      </c>
      <c r="S849" s="1">
        <v>104284.03</v>
      </c>
      <c r="T849">
        <f t="shared" si="91"/>
        <v>114.842352941176</v>
      </c>
      <c r="U849">
        <f t="shared" si="92"/>
        <v>542.3</v>
      </c>
      <c r="V849">
        <f t="shared" si="95"/>
        <v>45.1916666666667</v>
      </c>
      <c r="W849">
        <f t="shared" si="93"/>
        <v>874.48</v>
      </c>
      <c r="X849">
        <f t="shared" si="90"/>
        <v>1.36542708768579</v>
      </c>
      <c r="AH849" t="str">
        <f t="shared" si="96"/>
        <v>3rd Quality</v>
      </c>
      <c r="AJ849">
        <f>((T849-X849)*2)/29.6</f>
        <v>7.66735985496555</v>
      </c>
      <c r="AK849">
        <f t="shared" si="94"/>
        <v>105080.752941176</v>
      </c>
    </row>
    <row r="850" spans="1:37">
      <c r="A850" t="s">
        <v>913</v>
      </c>
      <c r="B850">
        <v>18</v>
      </c>
      <c r="C850" t="s">
        <v>50</v>
      </c>
      <c r="D850" t="s">
        <v>45</v>
      </c>
      <c r="E850">
        <v>393</v>
      </c>
      <c r="F850">
        <v>7</v>
      </c>
      <c r="G850">
        <v>19</v>
      </c>
      <c r="H850">
        <v>5156.69</v>
      </c>
      <c r="I850">
        <v>104284.03</v>
      </c>
      <c r="J850">
        <v>71</v>
      </c>
      <c r="K850">
        <v>0</v>
      </c>
      <c r="L850">
        <v>18.8</v>
      </c>
      <c r="M850">
        <v>40</v>
      </c>
      <c r="N850" t="s">
        <v>63</v>
      </c>
      <c r="O850" t="s">
        <v>47</v>
      </c>
      <c r="P850" t="s">
        <v>54</v>
      </c>
      <c r="R850">
        <f>SUMIF(A850:A5849,"C00849",I850:I5849)</f>
        <v>104284.03</v>
      </c>
      <c r="S850" s="1">
        <v>1513.97</v>
      </c>
      <c r="T850">
        <f t="shared" si="91"/>
        <v>1468.78915492958</v>
      </c>
      <c r="U850">
        <f t="shared" si="92"/>
        <v>2840</v>
      </c>
      <c r="V850">
        <f t="shared" si="95"/>
        <v>236.666666666667</v>
      </c>
      <c r="W850">
        <f t="shared" si="93"/>
        <v>36480.5733333333</v>
      </c>
      <c r="X850">
        <f t="shared" si="90"/>
        <v>0.0762116784216232</v>
      </c>
      <c r="AH850" t="str">
        <f t="shared" si="96"/>
        <v>3rd Quality</v>
      </c>
      <c r="AJ850">
        <f>((T850-X850)*2)/18.8</f>
        <v>156.246057792676</v>
      </c>
      <c r="AK850">
        <f t="shared" si="94"/>
        <v>577234.137887324</v>
      </c>
    </row>
    <row r="851" spans="1:37">
      <c r="A851" t="s">
        <v>914</v>
      </c>
      <c r="B851">
        <v>19</v>
      </c>
      <c r="C851" t="s">
        <v>50</v>
      </c>
      <c r="D851" t="s">
        <v>45</v>
      </c>
      <c r="E851">
        <v>1021</v>
      </c>
      <c r="F851">
        <v>351</v>
      </c>
      <c r="G851">
        <v>1</v>
      </c>
      <c r="H851">
        <v>1480.4</v>
      </c>
      <c r="I851">
        <v>1513.97</v>
      </c>
      <c r="J851">
        <v>20</v>
      </c>
      <c r="K851">
        <v>0</v>
      </c>
      <c r="L851">
        <v>22.8</v>
      </c>
      <c r="M851">
        <v>25.7</v>
      </c>
      <c r="N851" t="s">
        <v>78</v>
      </c>
      <c r="O851" t="s">
        <v>47</v>
      </c>
      <c r="P851" t="s">
        <v>68</v>
      </c>
      <c r="R851">
        <f>SUMIF(A851:A5850,"C00850",I851:I5850)</f>
        <v>1513.97</v>
      </c>
      <c r="S851" s="1">
        <v>110609.81</v>
      </c>
      <c r="T851">
        <f t="shared" si="91"/>
        <v>75.6985</v>
      </c>
      <c r="U851">
        <f t="shared" si="92"/>
        <v>514</v>
      </c>
      <c r="V851">
        <f t="shared" si="95"/>
        <v>42.8333333333333</v>
      </c>
      <c r="W851">
        <f t="shared" si="93"/>
        <v>998.456666666667</v>
      </c>
      <c r="X851">
        <f t="shared" si="90"/>
        <v>0.689678465279654</v>
      </c>
      <c r="AH851" t="str">
        <f t="shared" si="96"/>
        <v>3rd Quality</v>
      </c>
      <c r="AJ851">
        <f>((T851-X851)*2)/22.8</f>
        <v>6.57972118725617</v>
      </c>
      <c r="AK851">
        <f t="shared" si="94"/>
        <v>77288.1685</v>
      </c>
    </row>
    <row r="852" spans="1:37">
      <c r="A852" t="s">
        <v>915</v>
      </c>
      <c r="B852">
        <v>50</v>
      </c>
      <c r="C852" t="s">
        <v>56</v>
      </c>
      <c r="D852" t="s">
        <v>60</v>
      </c>
      <c r="E852">
        <v>1299</v>
      </c>
      <c r="F852">
        <v>17</v>
      </c>
      <c r="G852">
        <v>24</v>
      </c>
      <c r="H852">
        <v>4942.04</v>
      </c>
      <c r="I852">
        <v>110609.81</v>
      </c>
      <c r="J852">
        <v>199</v>
      </c>
      <c r="K852">
        <v>6</v>
      </c>
      <c r="L852">
        <v>0</v>
      </c>
      <c r="M852">
        <v>31.6</v>
      </c>
      <c r="N852" t="s">
        <v>61</v>
      </c>
      <c r="O852" t="s">
        <v>47</v>
      </c>
      <c r="P852" t="s">
        <v>66</v>
      </c>
      <c r="R852">
        <f>SUMIF(A852:A5851,"C00851",I852:I5851)</f>
        <v>110609.81</v>
      </c>
      <c r="S852" s="1">
        <v>89150.54</v>
      </c>
      <c r="T852">
        <f t="shared" si="91"/>
        <v>555.828190954774</v>
      </c>
      <c r="U852">
        <f t="shared" si="92"/>
        <v>6288.4</v>
      </c>
      <c r="V852">
        <f>U852*6</f>
        <v>37730.4</v>
      </c>
      <c r="W852">
        <f t="shared" si="93"/>
        <v>38517.6166666667</v>
      </c>
      <c r="X852">
        <f t="shared" si="90"/>
        <v>0.262846921514193</v>
      </c>
      <c r="AH852" t="str">
        <f t="shared" si="96"/>
        <v>3rd Quality</v>
      </c>
      <c r="AJ852">
        <f>((T852-X852)*2)</f>
        <v>1111.13068806652</v>
      </c>
      <c r="AK852">
        <f t="shared" si="94"/>
        <v>722020.820050251</v>
      </c>
    </row>
    <row r="853" spans="1:37">
      <c r="A853" t="s">
        <v>916</v>
      </c>
      <c r="B853">
        <v>58</v>
      </c>
      <c r="C853" t="s">
        <v>44</v>
      </c>
      <c r="D853" t="s">
        <v>60</v>
      </c>
      <c r="E853">
        <v>459</v>
      </c>
      <c r="F853">
        <v>12</v>
      </c>
      <c r="G853">
        <v>25</v>
      </c>
      <c r="H853">
        <v>3363.36</v>
      </c>
      <c r="I853">
        <v>89150.54</v>
      </c>
      <c r="J853">
        <v>108</v>
      </c>
      <c r="K853">
        <v>2</v>
      </c>
      <c r="L853">
        <v>10.3</v>
      </c>
      <c r="M853">
        <v>12.9</v>
      </c>
      <c r="N853" t="s">
        <v>57</v>
      </c>
      <c r="O853" t="s">
        <v>75</v>
      </c>
      <c r="P853" t="s">
        <v>58</v>
      </c>
      <c r="R853">
        <f>SUMIF(A853:A5852,"C00852",I853:I5852)</f>
        <v>89150.54</v>
      </c>
      <c r="S853" s="1">
        <v>2087.25</v>
      </c>
      <c r="T853">
        <f t="shared" si="91"/>
        <v>825.467962962963</v>
      </c>
      <c r="U853">
        <f t="shared" si="92"/>
        <v>1393.2</v>
      </c>
      <c r="V853">
        <f>U853*2</f>
        <v>2786.4</v>
      </c>
      <c r="W853">
        <f t="shared" si="93"/>
        <v>30838.3</v>
      </c>
      <c r="X853">
        <f t="shared" si="90"/>
        <v>0.136470672184958</v>
      </c>
      <c r="AH853" t="str">
        <f t="shared" si="96"/>
        <v>3rd Quality</v>
      </c>
      <c r="AJ853">
        <f>((T853-X853)*2)/10.3</f>
        <v>160.258542192384</v>
      </c>
      <c r="AK853">
        <f t="shared" si="94"/>
        <v>378889.795</v>
      </c>
    </row>
    <row r="854" spans="1:37">
      <c r="A854" t="s">
        <v>917</v>
      </c>
      <c r="B854">
        <v>18</v>
      </c>
      <c r="C854" t="s">
        <v>50</v>
      </c>
      <c r="D854" t="s">
        <v>60</v>
      </c>
      <c r="E854">
        <v>577</v>
      </c>
      <c r="F854">
        <v>9</v>
      </c>
      <c r="G854">
        <v>4</v>
      </c>
      <c r="H854">
        <v>552.69</v>
      </c>
      <c r="I854">
        <v>2087.25</v>
      </c>
      <c r="J854">
        <v>29</v>
      </c>
      <c r="K854">
        <v>1</v>
      </c>
      <c r="L854">
        <v>22.7</v>
      </c>
      <c r="M854">
        <v>34.7</v>
      </c>
      <c r="N854" t="s">
        <v>46</v>
      </c>
      <c r="O854" t="s">
        <v>47</v>
      </c>
      <c r="P854" t="s">
        <v>58</v>
      </c>
      <c r="R854">
        <f>SUMIF(A854:A5853,"C00854",I854:I5853)</f>
        <v>1853.64</v>
      </c>
      <c r="S854" s="1">
        <v>1853.64</v>
      </c>
      <c r="T854">
        <f t="shared" si="91"/>
        <v>71.9741379310345</v>
      </c>
      <c r="U854">
        <f t="shared" si="92"/>
        <v>1006.3</v>
      </c>
      <c r="V854">
        <f>U854*1</f>
        <v>1006.3</v>
      </c>
      <c r="W854">
        <f t="shared" si="93"/>
        <v>880.313333333333</v>
      </c>
      <c r="X854">
        <f t="shared" si="90"/>
        <v>1.04398487397999</v>
      </c>
      <c r="AH854" t="str">
        <f t="shared" si="96"/>
        <v>3rd Quality</v>
      </c>
      <c r="AJ854">
        <f>((T854-X854)*2)/22.7</f>
        <v>6.2493526922515</v>
      </c>
      <c r="AK854">
        <f t="shared" si="94"/>
        <v>41529.0775862069</v>
      </c>
    </row>
    <row r="855" spans="1:37">
      <c r="A855" t="s">
        <v>918</v>
      </c>
      <c r="B855">
        <v>48</v>
      </c>
      <c r="C855" t="s">
        <v>50</v>
      </c>
      <c r="D855" t="s">
        <v>60</v>
      </c>
      <c r="E855">
        <v>906</v>
      </c>
      <c r="F855">
        <v>232</v>
      </c>
      <c r="G855">
        <v>1</v>
      </c>
      <c r="H855">
        <v>1827.81</v>
      </c>
      <c r="I855">
        <v>1853.64</v>
      </c>
      <c r="J855">
        <v>10</v>
      </c>
      <c r="K855">
        <v>0</v>
      </c>
      <c r="L855">
        <v>25.8</v>
      </c>
      <c r="M855">
        <v>11.4</v>
      </c>
      <c r="N855" t="s">
        <v>57</v>
      </c>
      <c r="O855" t="s">
        <v>47</v>
      </c>
      <c r="P855" t="s">
        <v>68</v>
      </c>
      <c r="R855">
        <f>SUMIF(A855:A5854,"C00854",I855:I5854)</f>
        <v>1853.64</v>
      </c>
      <c r="S855" s="1">
        <v>59717.09</v>
      </c>
      <c r="T855">
        <f t="shared" si="91"/>
        <v>185.364</v>
      </c>
      <c r="U855">
        <f t="shared" si="92"/>
        <v>114</v>
      </c>
      <c r="V855">
        <f t="shared" si="95"/>
        <v>9.5</v>
      </c>
      <c r="W855">
        <f t="shared" si="93"/>
        <v>1227.48333333333</v>
      </c>
      <c r="X855">
        <f t="shared" si="90"/>
        <v>0.495675152231359</v>
      </c>
      <c r="AH855" t="str">
        <f t="shared" si="96"/>
        <v>3rd Quality</v>
      </c>
      <c r="AJ855">
        <f>((T855-X855)*2)/25.8</f>
        <v>14.3308778951759</v>
      </c>
      <c r="AK855">
        <f t="shared" si="94"/>
        <v>167939.784</v>
      </c>
    </row>
    <row r="856" spans="1:37">
      <c r="A856" t="s">
        <v>919</v>
      </c>
      <c r="B856">
        <v>38</v>
      </c>
      <c r="C856" t="s">
        <v>44</v>
      </c>
      <c r="D856" t="s">
        <v>60</v>
      </c>
      <c r="E856">
        <v>807</v>
      </c>
      <c r="F856">
        <v>25</v>
      </c>
      <c r="G856">
        <v>27</v>
      </c>
      <c r="H856">
        <v>2037.54</v>
      </c>
      <c r="I856">
        <v>59717.09</v>
      </c>
      <c r="J856">
        <v>146</v>
      </c>
      <c r="K856">
        <v>0</v>
      </c>
      <c r="L856">
        <v>9.6</v>
      </c>
      <c r="M856">
        <v>49.9</v>
      </c>
      <c r="N856" t="s">
        <v>46</v>
      </c>
      <c r="O856" t="s">
        <v>53</v>
      </c>
      <c r="P856" t="s">
        <v>48</v>
      </c>
      <c r="R856">
        <f>SUMIF(A856:A5855,"C00855",I856:I5855)</f>
        <v>59717.09</v>
      </c>
      <c r="S856" s="1">
        <v>24128.32</v>
      </c>
      <c r="T856">
        <f t="shared" si="91"/>
        <v>409.021164383562</v>
      </c>
      <c r="U856">
        <f t="shared" si="92"/>
        <v>7285.4</v>
      </c>
      <c r="V856">
        <f t="shared" si="95"/>
        <v>607.116666666667</v>
      </c>
      <c r="W856">
        <f t="shared" si="93"/>
        <v>20585.21</v>
      </c>
      <c r="X856">
        <f t="shared" si="90"/>
        <v>0.396065844106128</v>
      </c>
      <c r="AH856" t="str">
        <f t="shared" si="96"/>
        <v>2nd Quality</v>
      </c>
      <c r="AJ856">
        <f>((T856-X856)*2)/9.6</f>
        <v>85.1302288623866</v>
      </c>
      <c r="AK856">
        <f t="shared" si="94"/>
        <v>330080.079657534</v>
      </c>
    </row>
    <row r="857" spans="1:37">
      <c r="A857" t="s">
        <v>920</v>
      </c>
      <c r="B857">
        <v>34</v>
      </c>
      <c r="C857" t="s">
        <v>101</v>
      </c>
      <c r="D857" t="s">
        <v>51</v>
      </c>
      <c r="E857">
        <v>481</v>
      </c>
      <c r="F857">
        <v>11</v>
      </c>
      <c r="G857">
        <v>15</v>
      </c>
      <c r="H857">
        <v>1700.33</v>
      </c>
      <c r="I857">
        <v>24128.32</v>
      </c>
      <c r="J857">
        <v>113</v>
      </c>
      <c r="K857">
        <v>1</v>
      </c>
      <c r="L857">
        <v>17.4</v>
      </c>
      <c r="M857">
        <v>42.1</v>
      </c>
      <c r="N857" t="s">
        <v>63</v>
      </c>
      <c r="O857" t="s">
        <v>75</v>
      </c>
      <c r="P857" t="s">
        <v>58</v>
      </c>
      <c r="R857">
        <f>SUMIF(A857:A5856,"C00856",I857:I5856)</f>
        <v>24128.32</v>
      </c>
      <c r="S857" s="1">
        <v>3338.81</v>
      </c>
      <c r="T857">
        <f t="shared" si="91"/>
        <v>213.524955752212</v>
      </c>
      <c r="U857">
        <f t="shared" si="92"/>
        <v>4757.3</v>
      </c>
      <c r="V857">
        <f>U857*1</f>
        <v>4757.3</v>
      </c>
      <c r="W857">
        <f t="shared" si="93"/>
        <v>8609.88333333333</v>
      </c>
      <c r="X857">
        <f t="shared" si="90"/>
        <v>0.28288626325478</v>
      </c>
      <c r="AH857" t="str">
        <f t="shared" si="96"/>
        <v>2nd Quality</v>
      </c>
      <c r="AJ857">
        <f>((T857-X857)*2)/17.4</f>
        <v>24.5105826998801</v>
      </c>
      <c r="AK857">
        <f t="shared" si="94"/>
        <v>102705.503716814</v>
      </c>
    </row>
    <row r="858" spans="1:37">
      <c r="A858" t="s">
        <v>921</v>
      </c>
      <c r="B858">
        <v>18</v>
      </c>
      <c r="C858" t="s">
        <v>44</v>
      </c>
      <c r="D858" t="s">
        <v>45</v>
      </c>
      <c r="E858">
        <v>579</v>
      </c>
      <c r="F858">
        <v>62</v>
      </c>
      <c r="G858">
        <v>4</v>
      </c>
      <c r="H858">
        <v>785.47</v>
      </c>
      <c r="I858">
        <v>3338.81</v>
      </c>
      <c r="J858">
        <v>16</v>
      </c>
      <c r="K858">
        <v>0</v>
      </c>
      <c r="L858">
        <v>14.8</v>
      </c>
      <c r="M858">
        <v>16.1</v>
      </c>
      <c r="N858" t="s">
        <v>61</v>
      </c>
      <c r="O858" t="s">
        <v>75</v>
      </c>
      <c r="P858" t="s">
        <v>58</v>
      </c>
      <c r="R858">
        <f>SUMIF(A858:A5857,"C00857",I858:I5857)</f>
        <v>3338.81</v>
      </c>
      <c r="S858" s="1">
        <v>7670.44</v>
      </c>
      <c r="T858">
        <f t="shared" si="91"/>
        <v>208.675625</v>
      </c>
      <c r="U858">
        <f t="shared" si="92"/>
        <v>257.6</v>
      </c>
      <c r="V858">
        <f t="shared" si="95"/>
        <v>21.4666666666667</v>
      </c>
      <c r="W858">
        <f t="shared" si="93"/>
        <v>1375.09333333333</v>
      </c>
      <c r="X858">
        <f t="shared" si="90"/>
        <v>0.737138273899703</v>
      </c>
      <c r="AH858" t="str">
        <f t="shared" si="96"/>
        <v>3rd Quality</v>
      </c>
      <c r="AJ858">
        <f>((T858-X858)*2)/14.8</f>
        <v>28.0997955035271</v>
      </c>
      <c r="AK858">
        <f t="shared" si="94"/>
        <v>120823.186875</v>
      </c>
    </row>
    <row r="859" spans="1:37">
      <c r="A859" t="s">
        <v>922</v>
      </c>
      <c r="B859">
        <v>46</v>
      </c>
      <c r="C859" t="s">
        <v>44</v>
      </c>
      <c r="D859" t="s">
        <v>45</v>
      </c>
      <c r="E859">
        <v>926</v>
      </c>
      <c r="F859">
        <v>353</v>
      </c>
      <c r="G859">
        <v>3</v>
      </c>
      <c r="H859">
        <v>2352.78</v>
      </c>
      <c r="I859">
        <v>7670.44</v>
      </c>
      <c r="J859">
        <v>33</v>
      </c>
      <c r="K859">
        <v>1</v>
      </c>
      <c r="L859">
        <v>25.2</v>
      </c>
      <c r="M859">
        <v>34</v>
      </c>
      <c r="N859" t="s">
        <v>46</v>
      </c>
      <c r="O859" t="s">
        <v>47</v>
      </c>
      <c r="P859" t="s">
        <v>48</v>
      </c>
      <c r="R859">
        <f>SUMIF(A859:A5858,"C00858",I859:I5858)</f>
        <v>7670.44</v>
      </c>
      <c r="S859" s="1">
        <v>13352.9</v>
      </c>
      <c r="T859">
        <f t="shared" si="91"/>
        <v>232.437575757576</v>
      </c>
      <c r="U859">
        <f t="shared" si="92"/>
        <v>1122</v>
      </c>
      <c r="V859">
        <f>U859*1</f>
        <v>1122</v>
      </c>
      <c r="W859">
        <f t="shared" si="93"/>
        <v>3341.40666666667</v>
      </c>
      <c r="X859">
        <f t="shared" si="90"/>
        <v>0.393576960021761</v>
      </c>
      <c r="AH859" t="str">
        <f t="shared" si="96"/>
        <v>3rd Quality</v>
      </c>
      <c r="AJ859">
        <f>((T859-X859)*2)/25.2</f>
        <v>18.4161903807583</v>
      </c>
      <c r="AK859">
        <f t="shared" si="94"/>
        <v>215237.195151515</v>
      </c>
    </row>
    <row r="860" spans="1:37">
      <c r="A860" t="s">
        <v>923</v>
      </c>
      <c r="B860">
        <v>18</v>
      </c>
      <c r="C860" t="s">
        <v>44</v>
      </c>
      <c r="D860" t="s">
        <v>45</v>
      </c>
      <c r="E860">
        <v>1023</v>
      </c>
      <c r="F860">
        <v>4</v>
      </c>
      <c r="G860">
        <v>6</v>
      </c>
      <c r="H860">
        <v>2327.63</v>
      </c>
      <c r="I860">
        <v>13352.9</v>
      </c>
      <c r="J860">
        <v>40</v>
      </c>
      <c r="K860">
        <v>0</v>
      </c>
      <c r="L860">
        <v>19.6</v>
      </c>
      <c r="M860">
        <v>36</v>
      </c>
      <c r="N860" t="s">
        <v>78</v>
      </c>
      <c r="O860" t="s">
        <v>47</v>
      </c>
      <c r="P860" t="s">
        <v>48</v>
      </c>
      <c r="R860">
        <f>SUMIF(A860:A5859,"C00859",I860:I5859)</f>
        <v>13352.9</v>
      </c>
      <c r="S860" s="1">
        <v>22775.77</v>
      </c>
      <c r="T860">
        <f t="shared" si="91"/>
        <v>333.8225</v>
      </c>
      <c r="U860">
        <f t="shared" si="92"/>
        <v>1440</v>
      </c>
      <c r="V860">
        <f t="shared" si="95"/>
        <v>120</v>
      </c>
      <c r="W860">
        <f t="shared" si="93"/>
        <v>5227.17666666667</v>
      </c>
      <c r="X860">
        <f t="shared" si="90"/>
        <v>0.439502841946529</v>
      </c>
      <c r="AH860" t="str">
        <f t="shared" si="96"/>
        <v>3rd Quality</v>
      </c>
      <c r="AJ860">
        <f>((T860-X860)*2)/19.6</f>
        <v>34.0186731793932</v>
      </c>
      <c r="AK860">
        <f t="shared" si="94"/>
        <v>341500.4175</v>
      </c>
    </row>
    <row r="861" spans="1:37">
      <c r="A861" t="s">
        <v>924</v>
      </c>
      <c r="B861">
        <v>31</v>
      </c>
      <c r="C861" t="s">
        <v>44</v>
      </c>
      <c r="D861" t="s">
        <v>45</v>
      </c>
      <c r="E861">
        <v>464</v>
      </c>
      <c r="F861">
        <v>20</v>
      </c>
      <c r="G861">
        <v>5</v>
      </c>
      <c r="H861">
        <v>4912.88</v>
      </c>
      <c r="I861">
        <v>22775.77</v>
      </c>
      <c r="J861">
        <v>41</v>
      </c>
      <c r="K861">
        <v>0</v>
      </c>
      <c r="L861">
        <v>4.2</v>
      </c>
      <c r="M861">
        <v>19.5</v>
      </c>
      <c r="N861" t="s">
        <v>61</v>
      </c>
      <c r="O861" t="s">
        <v>47</v>
      </c>
      <c r="P861" t="s">
        <v>48</v>
      </c>
      <c r="R861">
        <f>SUMIF(A861:A5860,"C00860",I861:I5860)</f>
        <v>22775.77</v>
      </c>
      <c r="S861" s="1">
        <v>2327.97</v>
      </c>
      <c r="T861">
        <f t="shared" si="91"/>
        <v>555.506585365854</v>
      </c>
      <c r="U861">
        <f t="shared" si="92"/>
        <v>799.5</v>
      </c>
      <c r="V861">
        <f t="shared" si="95"/>
        <v>66.625</v>
      </c>
      <c r="W861">
        <f t="shared" si="93"/>
        <v>9229.88333333333</v>
      </c>
      <c r="X861">
        <f t="shared" si="90"/>
        <v>0.0944456204914429</v>
      </c>
      <c r="AH861" t="str">
        <f t="shared" si="96"/>
        <v>2nd Quality</v>
      </c>
      <c r="AJ861">
        <f>((T861-X861)*2)/4.2</f>
        <v>264.481971307315</v>
      </c>
      <c r="AK861">
        <f t="shared" si="94"/>
        <v>257755.055609756</v>
      </c>
    </row>
    <row r="862" spans="1:37">
      <c r="A862" t="s">
        <v>925</v>
      </c>
      <c r="B862">
        <v>25</v>
      </c>
      <c r="C862" t="s">
        <v>44</v>
      </c>
      <c r="D862" t="s">
        <v>60</v>
      </c>
      <c r="E862">
        <v>1153</v>
      </c>
      <c r="F862">
        <v>274</v>
      </c>
      <c r="G862">
        <v>3</v>
      </c>
      <c r="H862">
        <v>713.37</v>
      </c>
      <c r="I862">
        <v>2327.97</v>
      </c>
      <c r="J862">
        <v>21</v>
      </c>
      <c r="K862">
        <v>0</v>
      </c>
      <c r="L862">
        <v>32.4</v>
      </c>
      <c r="M862">
        <v>23.1</v>
      </c>
      <c r="N862" t="s">
        <v>46</v>
      </c>
      <c r="O862" t="s">
        <v>75</v>
      </c>
      <c r="P862" t="s">
        <v>66</v>
      </c>
      <c r="R862">
        <f>SUMIF(A862:A5861,"C00861",I862:I5861)</f>
        <v>2327.97</v>
      </c>
      <c r="S862" s="1">
        <v>2129.93</v>
      </c>
      <c r="T862">
        <f t="shared" si="91"/>
        <v>110.855714285714</v>
      </c>
      <c r="U862">
        <f t="shared" si="92"/>
        <v>485.1</v>
      </c>
      <c r="V862">
        <f t="shared" si="95"/>
        <v>40.425</v>
      </c>
      <c r="W862">
        <f t="shared" si="93"/>
        <v>1014.11333333333</v>
      </c>
      <c r="X862">
        <f t="shared" si="90"/>
        <v>1.61627206078192</v>
      </c>
      <c r="AH862" t="str">
        <f t="shared" si="96"/>
        <v>3rd Quality</v>
      </c>
      <c r="AJ862">
        <f>((T862-X862)*2)/32.4</f>
        <v>6.74317544598346</v>
      </c>
      <c r="AK862">
        <f t="shared" si="94"/>
        <v>127816.638571429</v>
      </c>
    </row>
    <row r="863" spans="1:37">
      <c r="A863" t="s">
        <v>926</v>
      </c>
      <c r="B863">
        <v>31</v>
      </c>
      <c r="C863" t="s">
        <v>50</v>
      </c>
      <c r="D863" t="s">
        <v>45</v>
      </c>
      <c r="E863">
        <v>764</v>
      </c>
      <c r="F863">
        <v>253</v>
      </c>
      <c r="G863">
        <v>4</v>
      </c>
      <c r="H863">
        <v>536.81</v>
      </c>
      <c r="I863">
        <v>2129.93</v>
      </c>
      <c r="J863">
        <v>37</v>
      </c>
      <c r="K863">
        <v>1</v>
      </c>
      <c r="L863">
        <v>22.8</v>
      </c>
      <c r="M863">
        <v>18</v>
      </c>
      <c r="N863" t="s">
        <v>63</v>
      </c>
      <c r="O863" t="s">
        <v>47</v>
      </c>
      <c r="P863" t="s">
        <v>58</v>
      </c>
      <c r="R863">
        <f>SUMIF(A863:A5862,"C00862",I863:I5862)</f>
        <v>2129.93</v>
      </c>
      <c r="S863" s="1">
        <v>7371.2</v>
      </c>
      <c r="T863">
        <f t="shared" si="91"/>
        <v>57.5656756756757</v>
      </c>
      <c r="U863">
        <f t="shared" si="92"/>
        <v>666</v>
      </c>
      <c r="V863">
        <f>U863*1</f>
        <v>666</v>
      </c>
      <c r="W863">
        <f t="shared" si="93"/>
        <v>889.246666666667</v>
      </c>
      <c r="X863">
        <f t="shared" si="90"/>
        <v>1.4232223691809</v>
      </c>
      <c r="AH863" t="str">
        <f t="shared" si="96"/>
        <v>3rd Quality</v>
      </c>
      <c r="AJ863">
        <f>((T863-X863)*2)/22.8</f>
        <v>4.92477660583288</v>
      </c>
      <c r="AK863">
        <f t="shared" si="94"/>
        <v>43980.1762162162</v>
      </c>
    </row>
    <row r="864" spans="1:37">
      <c r="A864" t="s">
        <v>927</v>
      </c>
      <c r="B864">
        <v>49</v>
      </c>
      <c r="C864" t="s">
        <v>44</v>
      </c>
      <c r="D864" t="s">
        <v>45</v>
      </c>
      <c r="E864">
        <v>1459</v>
      </c>
      <c r="F864">
        <v>254</v>
      </c>
      <c r="G864">
        <v>4</v>
      </c>
      <c r="H864">
        <v>1930.19</v>
      </c>
      <c r="I864">
        <v>7371.2</v>
      </c>
      <c r="J864">
        <v>25</v>
      </c>
      <c r="K864">
        <v>0</v>
      </c>
      <c r="L864">
        <v>18.4</v>
      </c>
      <c r="M864">
        <v>28</v>
      </c>
      <c r="N864" t="s">
        <v>61</v>
      </c>
      <c r="O864" t="s">
        <v>47</v>
      </c>
      <c r="P864" t="s">
        <v>66</v>
      </c>
      <c r="R864">
        <f>SUMIF(A864:A5863,"C00864",I864:I5863)</f>
        <v>28367.97</v>
      </c>
      <c r="S864" s="1">
        <v>28367.97</v>
      </c>
      <c r="T864">
        <f t="shared" si="91"/>
        <v>294.848</v>
      </c>
      <c r="U864">
        <f t="shared" si="92"/>
        <v>700</v>
      </c>
      <c r="V864">
        <f t="shared" si="95"/>
        <v>58.3333333333333</v>
      </c>
      <c r="W864">
        <f t="shared" si="93"/>
        <v>3100.79666666667</v>
      </c>
      <c r="X864">
        <f t="shared" si="90"/>
        <v>0.755884135758656</v>
      </c>
      <c r="AH864" t="str">
        <f t="shared" si="96"/>
        <v>3rd Quality</v>
      </c>
      <c r="AJ864">
        <f>((T864-X864)*2)/18.4</f>
        <v>31.9665343330697</v>
      </c>
      <c r="AK864">
        <f t="shared" si="94"/>
        <v>430183.232</v>
      </c>
    </row>
    <row r="865" spans="1:37">
      <c r="A865" t="s">
        <v>928</v>
      </c>
      <c r="B865">
        <v>18</v>
      </c>
      <c r="C865" t="s">
        <v>44</v>
      </c>
      <c r="D865" t="s">
        <v>60</v>
      </c>
      <c r="E865">
        <v>1411</v>
      </c>
      <c r="F865">
        <v>20</v>
      </c>
      <c r="G865">
        <v>4</v>
      </c>
      <c r="H865">
        <v>8036.33</v>
      </c>
      <c r="I865">
        <v>28367.97</v>
      </c>
      <c r="J865">
        <v>23</v>
      </c>
      <c r="K865">
        <v>0</v>
      </c>
      <c r="L865">
        <v>7.4</v>
      </c>
      <c r="M865">
        <v>41.8</v>
      </c>
      <c r="N865" t="s">
        <v>63</v>
      </c>
      <c r="O865" t="s">
        <v>47</v>
      </c>
      <c r="P865" t="s">
        <v>58</v>
      </c>
      <c r="R865">
        <f>SUMIF(A865:A5864,"C00864",I865:I5864)</f>
        <v>28367.97</v>
      </c>
      <c r="S865" s="1">
        <v>41373.01</v>
      </c>
      <c r="T865">
        <f t="shared" si="91"/>
        <v>1233.39</v>
      </c>
      <c r="U865">
        <f t="shared" si="92"/>
        <v>961.4</v>
      </c>
      <c r="V865">
        <f t="shared" si="95"/>
        <v>80.1166666666667</v>
      </c>
      <c r="W865">
        <f t="shared" si="93"/>
        <v>12135.1</v>
      </c>
      <c r="X865">
        <f t="shared" si="90"/>
        <v>0.175577657960786</v>
      </c>
      <c r="AH865" t="str">
        <f t="shared" si="96"/>
        <v>2nd Quality</v>
      </c>
      <c r="AJ865">
        <f>((T865-X865)*2)/7.4</f>
        <v>333.301195227578</v>
      </c>
      <c r="AK865">
        <f t="shared" si="94"/>
        <v>1740313.29</v>
      </c>
    </row>
    <row r="866" spans="1:37">
      <c r="A866" t="s">
        <v>929</v>
      </c>
      <c r="B866">
        <v>18</v>
      </c>
      <c r="C866" t="s">
        <v>50</v>
      </c>
      <c r="D866" t="s">
        <v>60</v>
      </c>
      <c r="E866">
        <v>1044</v>
      </c>
      <c r="F866">
        <v>23</v>
      </c>
      <c r="G866">
        <v>23</v>
      </c>
      <c r="H866">
        <v>1941.4</v>
      </c>
      <c r="I866">
        <v>41373.01</v>
      </c>
      <c r="J866">
        <v>99</v>
      </c>
      <c r="K866">
        <v>0</v>
      </c>
      <c r="L866">
        <v>2.5</v>
      </c>
      <c r="M866">
        <v>47.9</v>
      </c>
      <c r="N866" t="s">
        <v>52</v>
      </c>
      <c r="O866" t="s">
        <v>47</v>
      </c>
      <c r="P866" t="s">
        <v>58</v>
      </c>
      <c r="R866">
        <f>SUMIF(A866:A5865,"C00865",I866:I5865)</f>
        <v>41373.01</v>
      </c>
      <c r="S866" s="1">
        <v>3994.84</v>
      </c>
      <c r="T866">
        <f t="shared" si="91"/>
        <v>417.909191919192</v>
      </c>
      <c r="U866">
        <f t="shared" si="92"/>
        <v>4742.1</v>
      </c>
      <c r="V866">
        <f t="shared" si="95"/>
        <v>395.175</v>
      </c>
      <c r="W866">
        <f t="shared" si="93"/>
        <v>14438.47</v>
      </c>
      <c r="X866">
        <f t="shared" si="90"/>
        <v>0.537756258370248</v>
      </c>
      <c r="AH866" t="str">
        <f t="shared" si="96"/>
        <v>1st Quality</v>
      </c>
      <c r="AJ866">
        <f>((T866-X866)*2)/2.5</f>
        <v>333.897148528657</v>
      </c>
      <c r="AK866">
        <f t="shared" si="94"/>
        <v>436297.196363636</v>
      </c>
    </row>
    <row r="867" spans="1:37">
      <c r="A867" t="s">
        <v>930</v>
      </c>
      <c r="B867">
        <v>29</v>
      </c>
      <c r="C867" t="s">
        <v>44</v>
      </c>
      <c r="D867" t="s">
        <v>60</v>
      </c>
      <c r="E867">
        <v>378</v>
      </c>
      <c r="F867">
        <v>239</v>
      </c>
      <c r="G867">
        <v>1</v>
      </c>
      <c r="H867">
        <v>3982.69</v>
      </c>
      <c r="I867">
        <v>3994.84</v>
      </c>
      <c r="J867">
        <v>13</v>
      </c>
      <c r="K867">
        <v>0</v>
      </c>
      <c r="L867">
        <v>16.5</v>
      </c>
      <c r="M867">
        <v>28.2</v>
      </c>
      <c r="N867" t="s">
        <v>81</v>
      </c>
      <c r="O867" t="s">
        <v>47</v>
      </c>
      <c r="P867" t="s">
        <v>48</v>
      </c>
      <c r="R867">
        <f>SUMIF(A867:A5866,"C00866",I867:I5866)</f>
        <v>3994.84</v>
      </c>
      <c r="S867" s="1">
        <v>2783.92</v>
      </c>
      <c r="T867">
        <f t="shared" si="91"/>
        <v>307.295384615385</v>
      </c>
      <c r="U867">
        <f t="shared" si="92"/>
        <v>366.6</v>
      </c>
      <c r="V867">
        <f t="shared" si="95"/>
        <v>30.55</v>
      </c>
      <c r="W867">
        <f t="shared" si="93"/>
        <v>2659.51</v>
      </c>
      <c r="X867">
        <f t="shared" si="90"/>
        <v>0.0949107261674898</v>
      </c>
      <c r="AH867" t="str">
        <f t="shared" si="96"/>
        <v>3rd Quality</v>
      </c>
      <c r="AJ867">
        <f>((T867-X867)*2)/16.5</f>
        <v>37.2364210774809</v>
      </c>
      <c r="AK867">
        <f t="shared" si="94"/>
        <v>116157.655384615</v>
      </c>
    </row>
    <row r="868" spans="1:37">
      <c r="A868" t="s">
        <v>931</v>
      </c>
      <c r="B868">
        <v>45</v>
      </c>
      <c r="C868" t="s">
        <v>50</v>
      </c>
      <c r="D868" t="s">
        <v>60</v>
      </c>
      <c r="E868">
        <v>508</v>
      </c>
      <c r="F868">
        <v>94</v>
      </c>
      <c r="G868">
        <v>2</v>
      </c>
      <c r="H868">
        <v>1290.1</v>
      </c>
      <c r="I868">
        <v>2783.92</v>
      </c>
      <c r="J868">
        <v>14</v>
      </c>
      <c r="K868">
        <v>0</v>
      </c>
      <c r="L868">
        <v>10.9</v>
      </c>
      <c r="M868">
        <v>18.5</v>
      </c>
      <c r="N868" t="s">
        <v>46</v>
      </c>
      <c r="O868" t="s">
        <v>75</v>
      </c>
      <c r="P868" t="s">
        <v>58</v>
      </c>
      <c r="R868">
        <f>SUMIF(A868:A5867,"C00867",I868:I5867)</f>
        <v>2783.92</v>
      </c>
      <c r="S868" s="1">
        <v>459.19</v>
      </c>
      <c r="T868">
        <f t="shared" si="91"/>
        <v>198.851428571429</v>
      </c>
      <c r="U868">
        <f t="shared" si="92"/>
        <v>259</v>
      </c>
      <c r="V868">
        <f t="shared" si="95"/>
        <v>21.5833333333333</v>
      </c>
      <c r="W868">
        <f t="shared" si="93"/>
        <v>1358.34</v>
      </c>
      <c r="X868">
        <f t="shared" si="90"/>
        <v>0.393767924967057</v>
      </c>
      <c r="AH868" t="str">
        <f t="shared" si="96"/>
        <v>3rd Quality</v>
      </c>
      <c r="AJ868">
        <f>((T868-X868)*2)/10.9</f>
        <v>36.4142496599013</v>
      </c>
      <c r="AK868">
        <f t="shared" si="94"/>
        <v>101016.525714286</v>
      </c>
    </row>
    <row r="869" spans="1:37">
      <c r="A869" t="s">
        <v>932</v>
      </c>
      <c r="B869">
        <v>40</v>
      </c>
      <c r="C869" t="s">
        <v>50</v>
      </c>
      <c r="D869" t="s">
        <v>45</v>
      </c>
      <c r="E869">
        <v>669</v>
      </c>
      <c r="F869">
        <v>53</v>
      </c>
      <c r="G869">
        <v>1</v>
      </c>
      <c r="H869">
        <v>458.94</v>
      </c>
      <c r="I869">
        <v>459.19</v>
      </c>
      <c r="J869">
        <v>17</v>
      </c>
      <c r="K869">
        <v>0</v>
      </c>
      <c r="L869">
        <v>19.5</v>
      </c>
      <c r="M869">
        <v>34.2</v>
      </c>
      <c r="N869" t="s">
        <v>81</v>
      </c>
      <c r="O869" t="s">
        <v>47</v>
      </c>
      <c r="P869" t="s">
        <v>58</v>
      </c>
      <c r="R869">
        <f>SUMIF(A869:A5868,"C00868",I869:I5868)</f>
        <v>459.19</v>
      </c>
      <c r="S869" s="1">
        <v>38999.54</v>
      </c>
      <c r="T869">
        <f t="shared" si="91"/>
        <v>27.0111764705882</v>
      </c>
      <c r="U869">
        <f t="shared" si="92"/>
        <v>581.4</v>
      </c>
      <c r="V869">
        <f t="shared" si="95"/>
        <v>48.45</v>
      </c>
      <c r="W869">
        <f t="shared" si="93"/>
        <v>306.376666666667</v>
      </c>
      <c r="X869">
        <f t="shared" si="90"/>
        <v>1.45770688978951</v>
      </c>
      <c r="AH869" t="str">
        <f t="shared" si="96"/>
        <v>3rd Quality</v>
      </c>
      <c r="AJ869">
        <f>((T869-X869)*2)/19.5</f>
        <v>2.62086867495371</v>
      </c>
      <c r="AK869">
        <f t="shared" si="94"/>
        <v>18070.4770588235</v>
      </c>
    </row>
    <row r="870" spans="1:37">
      <c r="A870" t="s">
        <v>933</v>
      </c>
      <c r="B870">
        <v>54</v>
      </c>
      <c r="C870" t="s">
        <v>44</v>
      </c>
      <c r="D870" t="s">
        <v>60</v>
      </c>
      <c r="E870">
        <v>850</v>
      </c>
      <c r="F870">
        <v>13</v>
      </c>
      <c r="G870">
        <v>20</v>
      </c>
      <c r="H870">
        <v>2060.52</v>
      </c>
      <c r="I870">
        <v>38999.54</v>
      </c>
      <c r="J870">
        <v>64</v>
      </c>
      <c r="K870">
        <v>0</v>
      </c>
      <c r="L870">
        <v>0</v>
      </c>
      <c r="M870">
        <v>16.1</v>
      </c>
      <c r="N870" t="s">
        <v>63</v>
      </c>
      <c r="O870" t="s">
        <v>53</v>
      </c>
      <c r="P870" t="s">
        <v>66</v>
      </c>
      <c r="R870">
        <f>SUMIF(A870:A5869,"C00869",I870:I5869)</f>
        <v>38999.54</v>
      </c>
      <c r="S870" s="1">
        <v>78265.84</v>
      </c>
      <c r="T870">
        <f t="shared" si="91"/>
        <v>609.3678125</v>
      </c>
      <c r="U870">
        <f t="shared" si="92"/>
        <v>1030.4</v>
      </c>
      <c r="V870">
        <f t="shared" si="95"/>
        <v>85.8666666666667</v>
      </c>
      <c r="W870">
        <f t="shared" si="93"/>
        <v>13687.02</v>
      </c>
      <c r="X870">
        <f t="shared" si="90"/>
        <v>0.412517228660726</v>
      </c>
      <c r="AH870" t="str">
        <f t="shared" si="96"/>
        <v>3rd Quality</v>
      </c>
      <c r="AJ870">
        <f>((T870-X870)*2)</f>
        <v>1217.91059054268</v>
      </c>
      <c r="AK870">
        <f t="shared" si="94"/>
        <v>517962.640625</v>
      </c>
    </row>
    <row r="871" spans="1:37">
      <c r="A871" t="s">
        <v>934</v>
      </c>
      <c r="B871">
        <v>35</v>
      </c>
      <c r="C871" t="s">
        <v>44</v>
      </c>
      <c r="D871" t="s">
        <v>60</v>
      </c>
      <c r="E871">
        <v>775</v>
      </c>
      <c r="F871">
        <v>1</v>
      </c>
      <c r="G871">
        <v>21</v>
      </c>
      <c r="H871">
        <v>3378.94</v>
      </c>
      <c r="I871">
        <v>78265.84</v>
      </c>
      <c r="J871">
        <v>117</v>
      </c>
      <c r="K871">
        <v>0</v>
      </c>
      <c r="L871">
        <v>9.7</v>
      </c>
      <c r="M871">
        <v>16.4</v>
      </c>
      <c r="N871" t="s">
        <v>52</v>
      </c>
      <c r="O871" t="s">
        <v>75</v>
      </c>
      <c r="P871" t="s">
        <v>58</v>
      </c>
      <c r="R871">
        <f>SUMIF(A871:A5870,"C00870",I871:I5870)</f>
        <v>78265.84</v>
      </c>
      <c r="S871" s="1">
        <v>3351.07</v>
      </c>
      <c r="T871">
        <f t="shared" si="91"/>
        <v>668.938803418803</v>
      </c>
      <c r="U871">
        <f t="shared" si="92"/>
        <v>1918.8</v>
      </c>
      <c r="V871">
        <f t="shared" si="95"/>
        <v>159.9</v>
      </c>
      <c r="W871">
        <f t="shared" si="93"/>
        <v>27215.26</v>
      </c>
      <c r="X871">
        <f t="shared" si="90"/>
        <v>0.229361870882584</v>
      </c>
      <c r="AH871" t="str">
        <f t="shared" si="96"/>
        <v>2nd Quality</v>
      </c>
      <c r="AJ871">
        <f>((T871-X871)*2)/9.7</f>
        <v>137.878235370705</v>
      </c>
      <c r="AK871">
        <f t="shared" si="94"/>
        <v>518427.572649573</v>
      </c>
    </row>
    <row r="872" spans="1:37">
      <c r="A872" t="s">
        <v>935</v>
      </c>
      <c r="B872">
        <v>37</v>
      </c>
      <c r="C872" t="s">
        <v>44</v>
      </c>
      <c r="D872" t="s">
        <v>45</v>
      </c>
      <c r="E872">
        <v>1215</v>
      </c>
      <c r="F872">
        <v>79</v>
      </c>
      <c r="G872">
        <v>4</v>
      </c>
      <c r="H872">
        <v>864.91</v>
      </c>
      <c r="I872">
        <v>3351.07</v>
      </c>
      <c r="J872">
        <v>16</v>
      </c>
      <c r="K872">
        <v>1</v>
      </c>
      <c r="L872">
        <v>36.7</v>
      </c>
      <c r="M872">
        <v>32.3</v>
      </c>
      <c r="N872" t="s">
        <v>81</v>
      </c>
      <c r="O872" t="s">
        <v>75</v>
      </c>
      <c r="P872" t="s">
        <v>58</v>
      </c>
      <c r="R872">
        <f>SUMIF(A872:A5871,"C00871",I872:I5871)</f>
        <v>3351.07</v>
      </c>
      <c r="S872" s="1">
        <v>55656.3</v>
      </c>
      <c r="T872">
        <f t="shared" si="91"/>
        <v>209.441875</v>
      </c>
      <c r="U872">
        <f t="shared" si="92"/>
        <v>516.8</v>
      </c>
      <c r="V872">
        <f>U872*1</f>
        <v>516.8</v>
      </c>
      <c r="W872">
        <f t="shared" si="93"/>
        <v>1405.66</v>
      </c>
      <c r="X872">
        <f t="shared" si="90"/>
        <v>1.40477043854274</v>
      </c>
      <c r="AH872" t="str">
        <f t="shared" si="96"/>
        <v>3rd Quality</v>
      </c>
      <c r="AJ872">
        <f>((T872-X872)*2)/36.7</f>
        <v>11.3371719107061</v>
      </c>
      <c r="AK872">
        <f t="shared" si="94"/>
        <v>254471.878125</v>
      </c>
    </row>
    <row r="873" spans="1:37">
      <c r="A873" t="s">
        <v>936</v>
      </c>
      <c r="B873">
        <v>26</v>
      </c>
      <c r="C873" t="s">
        <v>44</v>
      </c>
      <c r="D873" t="s">
        <v>45</v>
      </c>
      <c r="E873">
        <v>1013</v>
      </c>
      <c r="F873">
        <v>10</v>
      </c>
      <c r="G873">
        <v>26</v>
      </c>
      <c r="H873">
        <v>2329.07</v>
      </c>
      <c r="I873">
        <v>55656.3</v>
      </c>
      <c r="J873">
        <v>137</v>
      </c>
      <c r="K873">
        <v>0</v>
      </c>
      <c r="L873">
        <v>15.8</v>
      </c>
      <c r="M873">
        <v>33.1</v>
      </c>
      <c r="N873" t="s">
        <v>81</v>
      </c>
      <c r="O873" t="s">
        <v>47</v>
      </c>
      <c r="P873" t="s">
        <v>58</v>
      </c>
      <c r="R873">
        <f>SUMIF(A873:A5872,"C00872",I873:I5872)</f>
        <v>55656.3</v>
      </c>
      <c r="S873" s="1">
        <v>1564.96</v>
      </c>
      <c r="T873">
        <f t="shared" si="91"/>
        <v>406.250364963504</v>
      </c>
      <c r="U873">
        <f t="shared" si="92"/>
        <v>4534.7</v>
      </c>
      <c r="V873">
        <f t="shared" si="95"/>
        <v>377.891666666667</v>
      </c>
      <c r="W873">
        <f t="shared" si="93"/>
        <v>19328.79</v>
      </c>
      <c r="X873">
        <f t="shared" si="90"/>
        <v>0.434937550180973</v>
      </c>
      <c r="AH873" t="str">
        <f t="shared" si="96"/>
        <v>1st Quality</v>
      </c>
      <c r="AJ873">
        <f>((T873-X873)*2)/15.8</f>
        <v>51.3690414447244</v>
      </c>
      <c r="AK873">
        <f t="shared" si="94"/>
        <v>411531.619708029</v>
      </c>
    </row>
    <row r="874" spans="1:37">
      <c r="A874" t="s">
        <v>937</v>
      </c>
      <c r="B874">
        <v>18</v>
      </c>
      <c r="C874" t="s">
        <v>50</v>
      </c>
      <c r="D874" t="s">
        <v>45</v>
      </c>
      <c r="E874">
        <v>693</v>
      </c>
      <c r="F874">
        <v>316</v>
      </c>
      <c r="G874">
        <v>1</v>
      </c>
      <c r="H874">
        <v>1413.84</v>
      </c>
      <c r="I874">
        <v>1564.96</v>
      </c>
      <c r="J874">
        <v>14</v>
      </c>
      <c r="K874">
        <v>0</v>
      </c>
      <c r="L874">
        <v>17.2</v>
      </c>
      <c r="M874">
        <v>1.6</v>
      </c>
      <c r="N874" t="s">
        <v>52</v>
      </c>
      <c r="O874" t="s">
        <v>47</v>
      </c>
      <c r="P874" t="s">
        <v>66</v>
      </c>
      <c r="R874">
        <f>SUMIF(A874:A5873,"C00873",I874:I5873)</f>
        <v>1564.96</v>
      </c>
      <c r="S874" s="1">
        <v>21492.32</v>
      </c>
      <c r="T874">
        <f t="shared" si="91"/>
        <v>111.782857142857</v>
      </c>
      <c r="U874">
        <f t="shared" si="92"/>
        <v>22.4</v>
      </c>
      <c r="V874">
        <f t="shared" si="95"/>
        <v>1.86666666666667</v>
      </c>
      <c r="W874">
        <f t="shared" si="93"/>
        <v>993.266666666667</v>
      </c>
      <c r="X874">
        <f t="shared" si="90"/>
        <v>0.490154472924801</v>
      </c>
      <c r="AH874" t="str">
        <f t="shared" si="96"/>
        <v>3rd Quality</v>
      </c>
      <c r="AJ874">
        <f>((T874-X874)*2)/17.2</f>
        <v>12.9410119383642</v>
      </c>
      <c r="AK874">
        <f t="shared" si="94"/>
        <v>77465.52</v>
      </c>
    </row>
    <row r="875" spans="1:37">
      <c r="A875" t="s">
        <v>938</v>
      </c>
      <c r="B875">
        <v>51</v>
      </c>
      <c r="C875" t="s">
        <v>101</v>
      </c>
      <c r="D875" t="s">
        <v>60</v>
      </c>
      <c r="E875">
        <v>1423</v>
      </c>
      <c r="F875">
        <v>5</v>
      </c>
      <c r="G875">
        <v>16</v>
      </c>
      <c r="H875">
        <v>1377.51</v>
      </c>
      <c r="I875">
        <v>21492.32</v>
      </c>
      <c r="J875">
        <v>119</v>
      </c>
      <c r="K875">
        <v>0</v>
      </c>
      <c r="L875">
        <v>32</v>
      </c>
      <c r="M875">
        <v>12</v>
      </c>
      <c r="N875" t="s">
        <v>81</v>
      </c>
      <c r="O875" t="s">
        <v>53</v>
      </c>
      <c r="P875" t="s">
        <v>58</v>
      </c>
      <c r="R875">
        <f>SUMIF(A875:A5874,"C00874",I875:I5874)</f>
        <v>21492.32</v>
      </c>
      <c r="S875" s="1">
        <v>1399.82</v>
      </c>
      <c r="T875">
        <f t="shared" si="91"/>
        <v>180.607731092437</v>
      </c>
      <c r="U875">
        <f t="shared" si="92"/>
        <v>1428</v>
      </c>
      <c r="V875">
        <f t="shared" si="95"/>
        <v>119</v>
      </c>
      <c r="W875">
        <f t="shared" si="93"/>
        <v>7623.61</v>
      </c>
      <c r="X875">
        <f t="shared" si="90"/>
        <v>1.03302335373246</v>
      </c>
      <c r="AH875" t="str">
        <f t="shared" si="96"/>
        <v>3rd Quality</v>
      </c>
      <c r="AJ875">
        <f>((T875-X875)*2)/32</f>
        <v>11.223419233669</v>
      </c>
      <c r="AK875">
        <f t="shared" si="94"/>
        <v>257004.801344538</v>
      </c>
    </row>
    <row r="876" spans="1:37">
      <c r="A876" t="s">
        <v>939</v>
      </c>
      <c r="B876">
        <v>37</v>
      </c>
      <c r="C876" t="s">
        <v>44</v>
      </c>
      <c r="D876" t="s">
        <v>60</v>
      </c>
      <c r="E876">
        <v>1346</v>
      </c>
      <c r="F876">
        <v>80</v>
      </c>
      <c r="G876">
        <v>1</v>
      </c>
      <c r="H876">
        <v>1405.75</v>
      </c>
      <c r="I876">
        <v>1399.82</v>
      </c>
      <c r="J876">
        <v>10</v>
      </c>
      <c r="K876">
        <v>0</v>
      </c>
      <c r="L876">
        <v>25.3</v>
      </c>
      <c r="M876">
        <v>23.3</v>
      </c>
      <c r="N876" t="s">
        <v>81</v>
      </c>
      <c r="O876" t="s">
        <v>53</v>
      </c>
      <c r="P876" t="s">
        <v>58</v>
      </c>
      <c r="R876">
        <f>SUMIF(A876:A5875,"C00875",I876:I5875)</f>
        <v>1399.82</v>
      </c>
      <c r="S876" s="1">
        <v>2082.27</v>
      </c>
      <c r="T876">
        <f t="shared" si="91"/>
        <v>139.982</v>
      </c>
      <c r="U876">
        <f t="shared" si="92"/>
        <v>233</v>
      </c>
      <c r="V876">
        <f t="shared" si="95"/>
        <v>19.4166666666667</v>
      </c>
      <c r="W876">
        <f t="shared" si="93"/>
        <v>935.523333333333</v>
      </c>
      <c r="X876">
        <f t="shared" si="90"/>
        <v>0.957495998577272</v>
      </c>
      <c r="AH876" t="str">
        <f t="shared" si="96"/>
        <v>3rd Quality</v>
      </c>
      <c r="AJ876">
        <f>((T876-X876)*2)/25.3</f>
        <v>10.9900793677014</v>
      </c>
      <c r="AK876">
        <f t="shared" si="94"/>
        <v>188415.772</v>
      </c>
    </row>
    <row r="877" spans="1:37">
      <c r="A877" t="s">
        <v>940</v>
      </c>
      <c r="B877">
        <v>33</v>
      </c>
      <c r="C877" t="s">
        <v>44</v>
      </c>
      <c r="D877" t="s">
        <v>60</v>
      </c>
      <c r="E877">
        <v>1067</v>
      </c>
      <c r="F877">
        <v>365</v>
      </c>
      <c r="G877">
        <v>1</v>
      </c>
      <c r="H877">
        <v>1929.53</v>
      </c>
      <c r="I877">
        <v>2082.27</v>
      </c>
      <c r="J877">
        <v>8</v>
      </c>
      <c r="K877">
        <v>0</v>
      </c>
      <c r="L877">
        <v>22.7</v>
      </c>
      <c r="M877">
        <v>8.9</v>
      </c>
      <c r="N877" t="s">
        <v>57</v>
      </c>
      <c r="O877" t="s">
        <v>47</v>
      </c>
      <c r="P877" t="s">
        <v>66</v>
      </c>
      <c r="R877">
        <f>SUMIF(A877:A5876,"C00876",I877:I5876)</f>
        <v>2082.27</v>
      </c>
      <c r="S877" s="1">
        <v>9309.57</v>
      </c>
      <c r="T877">
        <f t="shared" si="91"/>
        <v>260.28375</v>
      </c>
      <c r="U877">
        <f t="shared" si="92"/>
        <v>71.2</v>
      </c>
      <c r="V877">
        <f t="shared" si="95"/>
        <v>5.93333333333333</v>
      </c>
      <c r="W877">
        <f t="shared" si="93"/>
        <v>1337.6</v>
      </c>
      <c r="X877">
        <f t="shared" si="90"/>
        <v>0.552984405528808</v>
      </c>
      <c r="AH877" t="str">
        <f t="shared" si="96"/>
        <v>3rd Quality</v>
      </c>
      <c r="AJ877">
        <f>((T877-X877)*2)/22.7</f>
        <v>22.883767893786</v>
      </c>
      <c r="AK877">
        <f t="shared" si="94"/>
        <v>277722.76125</v>
      </c>
    </row>
    <row r="878" spans="1:37">
      <c r="A878" t="s">
        <v>941</v>
      </c>
      <c r="B878">
        <v>24</v>
      </c>
      <c r="C878" t="s">
        <v>50</v>
      </c>
      <c r="D878" t="s">
        <v>51</v>
      </c>
      <c r="E878">
        <v>608</v>
      </c>
      <c r="F878">
        <v>123</v>
      </c>
      <c r="G878">
        <v>9</v>
      </c>
      <c r="H878">
        <v>1089.92</v>
      </c>
      <c r="I878">
        <v>9309.57</v>
      </c>
      <c r="J878">
        <v>24</v>
      </c>
      <c r="K878">
        <v>1</v>
      </c>
      <c r="L878">
        <v>18.6</v>
      </c>
      <c r="M878">
        <v>9.3</v>
      </c>
      <c r="N878" t="s">
        <v>78</v>
      </c>
      <c r="O878" t="s">
        <v>47</v>
      </c>
      <c r="P878" t="s">
        <v>68</v>
      </c>
      <c r="R878">
        <f>SUMIF(A878:A5877,"C00877",I878:I5877)</f>
        <v>9309.57</v>
      </c>
      <c r="S878" s="1">
        <v>11216.63</v>
      </c>
      <c r="T878">
        <f t="shared" si="91"/>
        <v>387.89875</v>
      </c>
      <c r="U878">
        <f t="shared" si="92"/>
        <v>223.2</v>
      </c>
      <c r="V878">
        <f>U878*1</f>
        <v>223.2</v>
      </c>
      <c r="W878">
        <f t="shared" si="93"/>
        <v>3466.83</v>
      </c>
      <c r="X878">
        <f t="shared" si="90"/>
        <v>0.557839107457428</v>
      </c>
      <c r="AH878" t="str">
        <f t="shared" si="96"/>
        <v>3rd Quality</v>
      </c>
      <c r="AJ878">
        <f>((T878-X878)*2)/18.6</f>
        <v>41.6495603110261</v>
      </c>
      <c r="AK878">
        <f t="shared" si="94"/>
        <v>235842.44</v>
      </c>
    </row>
    <row r="879" spans="1:37">
      <c r="A879" t="s">
        <v>942</v>
      </c>
      <c r="B879">
        <v>51</v>
      </c>
      <c r="C879" t="s">
        <v>50</v>
      </c>
      <c r="D879" t="s">
        <v>60</v>
      </c>
      <c r="E879">
        <v>1345</v>
      </c>
      <c r="F879">
        <v>16</v>
      </c>
      <c r="G879">
        <v>9</v>
      </c>
      <c r="H879">
        <v>1237.76</v>
      </c>
      <c r="I879">
        <v>11216.63</v>
      </c>
      <c r="J879">
        <v>77</v>
      </c>
      <c r="K879">
        <v>0</v>
      </c>
      <c r="L879">
        <v>16.9</v>
      </c>
      <c r="M879">
        <v>35.7</v>
      </c>
      <c r="N879" t="s">
        <v>63</v>
      </c>
      <c r="O879" t="s">
        <v>47</v>
      </c>
      <c r="P879" t="s">
        <v>48</v>
      </c>
      <c r="R879">
        <f>SUMIF(A879:A5878,"C00878",I879:I5878)</f>
        <v>11216.63</v>
      </c>
      <c r="S879" s="1">
        <v>27693.17</v>
      </c>
      <c r="T879">
        <f t="shared" si="91"/>
        <v>145.670519480519</v>
      </c>
      <c r="U879">
        <f t="shared" si="92"/>
        <v>2748.9</v>
      </c>
      <c r="V879">
        <f t="shared" si="95"/>
        <v>229.075</v>
      </c>
      <c r="W879">
        <f t="shared" si="93"/>
        <v>4151.79666666667</v>
      </c>
      <c r="X879">
        <f t="shared" ref="X879:X942" si="97">E879/H879</f>
        <v>1.08664038262668</v>
      </c>
      <c r="AH879" t="str">
        <f t="shared" si="96"/>
        <v>3rd Quality</v>
      </c>
      <c r="AJ879">
        <f>((T879-X879)*2)/16.9</f>
        <v>17.110518236437</v>
      </c>
      <c r="AK879">
        <f t="shared" si="94"/>
        <v>195926.848701299</v>
      </c>
    </row>
    <row r="880" spans="1:37">
      <c r="A880" t="s">
        <v>943</v>
      </c>
      <c r="B880">
        <v>18</v>
      </c>
      <c r="C880" t="s">
        <v>50</v>
      </c>
      <c r="D880" t="s">
        <v>45</v>
      </c>
      <c r="E880">
        <v>1166</v>
      </c>
      <c r="F880">
        <v>68</v>
      </c>
      <c r="G880">
        <v>2</v>
      </c>
      <c r="H880">
        <v>12727.71</v>
      </c>
      <c r="I880">
        <v>27693.17</v>
      </c>
      <c r="J880">
        <v>28</v>
      </c>
      <c r="K880">
        <v>0</v>
      </c>
      <c r="L880">
        <v>11.7</v>
      </c>
      <c r="M880">
        <v>18.7</v>
      </c>
      <c r="N880" t="s">
        <v>78</v>
      </c>
      <c r="O880" t="s">
        <v>47</v>
      </c>
      <c r="P880" t="s">
        <v>58</v>
      </c>
      <c r="R880">
        <f>SUMIF(A880:A5879,"C00879",I880:I5879)</f>
        <v>27693.17</v>
      </c>
      <c r="S880" s="1">
        <v>50805.94</v>
      </c>
      <c r="T880">
        <f t="shared" si="91"/>
        <v>989.041785714286</v>
      </c>
      <c r="U880">
        <f t="shared" si="92"/>
        <v>523.6</v>
      </c>
      <c r="V880">
        <f t="shared" si="95"/>
        <v>43.6333333333333</v>
      </c>
      <c r="W880">
        <f t="shared" si="93"/>
        <v>13473.96</v>
      </c>
      <c r="X880">
        <f t="shared" si="97"/>
        <v>0.0916111382173227</v>
      </c>
      <c r="AH880" t="str">
        <f t="shared" si="96"/>
        <v>1st Quality</v>
      </c>
      <c r="AJ880">
        <f>((T880-X880)*2)/11.7</f>
        <v>169.051311893345</v>
      </c>
      <c r="AK880">
        <f t="shared" si="94"/>
        <v>1153222.72214286</v>
      </c>
    </row>
    <row r="881" spans="1:37">
      <c r="A881" t="s">
        <v>944</v>
      </c>
      <c r="B881">
        <v>20</v>
      </c>
      <c r="C881" t="s">
        <v>44</v>
      </c>
      <c r="D881" t="s">
        <v>51</v>
      </c>
      <c r="E881">
        <v>547</v>
      </c>
      <c r="F881">
        <v>52</v>
      </c>
      <c r="G881">
        <v>3</v>
      </c>
      <c r="H881">
        <v>17988.22</v>
      </c>
      <c r="I881">
        <v>50805.94</v>
      </c>
      <c r="J881">
        <v>23</v>
      </c>
      <c r="K881">
        <v>0</v>
      </c>
      <c r="L881">
        <v>9</v>
      </c>
      <c r="M881">
        <v>17</v>
      </c>
      <c r="N881" t="s">
        <v>52</v>
      </c>
      <c r="O881" t="s">
        <v>53</v>
      </c>
      <c r="P881" t="s">
        <v>66</v>
      </c>
      <c r="R881">
        <f>SUMIF(A881:A5880,"C00880",I881:I5880)</f>
        <v>50805.94</v>
      </c>
      <c r="S881" s="1">
        <v>11654.26</v>
      </c>
      <c r="T881">
        <f t="shared" si="91"/>
        <v>2208.95391304348</v>
      </c>
      <c r="U881">
        <f t="shared" si="92"/>
        <v>391</v>
      </c>
      <c r="V881">
        <f t="shared" si="95"/>
        <v>32.5833333333333</v>
      </c>
      <c r="W881">
        <f t="shared" si="93"/>
        <v>22931.72</v>
      </c>
      <c r="X881">
        <f t="shared" si="97"/>
        <v>0.0304087897524046</v>
      </c>
      <c r="AH881" t="str">
        <f t="shared" si="96"/>
        <v>2nd Quality</v>
      </c>
      <c r="AJ881">
        <f>((T881-X881)*2)/9</f>
        <v>490.871889834162</v>
      </c>
      <c r="AK881">
        <f t="shared" si="94"/>
        <v>1208297.79043478</v>
      </c>
    </row>
    <row r="882" spans="1:37">
      <c r="A882" t="s">
        <v>945</v>
      </c>
      <c r="B882">
        <v>28</v>
      </c>
      <c r="C882" t="s">
        <v>44</v>
      </c>
      <c r="D882" t="s">
        <v>51</v>
      </c>
      <c r="E882">
        <v>560</v>
      </c>
      <c r="F882">
        <v>92</v>
      </c>
      <c r="G882">
        <v>12</v>
      </c>
      <c r="H882">
        <v>887.23</v>
      </c>
      <c r="I882">
        <v>11654.26</v>
      </c>
      <c r="J882">
        <v>56</v>
      </c>
      <c r="K882">
        <v>1</v>
      </c>
      <c r="L882">
        <v>26.4</v>
      </c>
      <c r="M882">
        <v>9.1</v>
      </c>
      <c r="N882" t="s">
        <v>46</v>
      </c>
      <c r="O882" t="s">
        <v>47</v>
      </c>
      <c r="P882" t="s">
        <v>58</v>
      </c>
      <c r="R882">
        <f>SUMIF(A882:A5881,"C00881",I882:I5881)</f>
        <v>11654.26</v>
      </c>
      <c r="S882" s="1">
        <v>94031.91</v>
      </c>
      <c r="T882">
        <f t="shared" si="91"/>
        <v>208.111785714286</v>
      </c>
      <c r="U882">
        <f t="shared" si="92"/>
        <v>509.6</v>
      </c>
      <c r="V882">
        <f>U882*1</f>
        <v>509.6</v>
      </c>
      <c r="W882">
        <f t="shared" si="93"/>
        <v>4180.83</v>
      </c>
      <c r="X882">
        <f t="shared" si="97"/>
        <v>0.631177935822729</v>
      </c>
      <c r="AH882" t="str">
        <f t="shared" si="96"/>
        <v>3rd Quality</v>
      </c>
      <c r="AJ882">
        <f>((T882-X882)*2)/26.4</f>
        <v>15.7182278620048</v>
      </c>
      <c r="AK882">
        <f t="shared" si="94"/>
        <v>116542.6</v>
      </c>
    </row>
    <row r="883" spans="1:37">
      <c r="A883" t="s">
        <v>946</v>
      </c>
      <c r="B883">
        <v>40</v>
      </c>
      <c r="C883" t="s">
        <v>44</v>
      </c>
      <c r="D883" t="s">
        <v>60</v>
      </c>
      <c r="E883">
        <v>684</v>
      </c>
      <c r="F883">
        <v>3</v>
      </c>
      <c r="G883">
        <v>7</v>
      </c>
      <c r="H883">
        <v>14507.32</v>
      </c>
      <c r="I883">
        <v>94031.91</v>
      </c>
      <c r="J883">
        <v>53</v>
      </c>
      <c r="K883">
        <v>1</v>
      </c>
      <c r="L883">
        <v>0</v>
      </c>
      <c r="M883">
        <v>52.2</v>
      </c>
      <c r="N883" t="s">
        <v>52</v>
      </c>
      <c r="O883" t="s">
        <v>53</v>
      </c>
      <c r="P883" t="s">
        <v>48</v>
      </c>
      <c r="R883">
        <f>SUMIF(A883:A5882,"C00882",I883:I5882)</f>
        <v>94031.91</v>
      </c>
      <c r="S883" s="1">
        <v>1637.88</v>
      </c>
      <c r="T883">
        <f t="shared" si="91"/>
        <v>1774.18698113208</v>
      </c>
      <c r="U883">
        <f t="shared" si="92"/>
        <v>2766.6</v>
      </c>
      <c r="V883">
        <f>U883*1</f>
        <v>2766.6</v>
      </c>
      <c r="W883">
        <f t="shared" si="93"/>
        <v>36180.0766666667</v>
      </c>
      <c r="X883">
        <f t="shared" si="97"/>
        <v>0.0471486118731785</v>
      </c>
      <c r="AH883" t="str">
        <f t="shared" si="96"/>
        <v>2nd Quality</v>
      </c>
      <c r="AJ883">
        <f>((T883-X883)*2)</f>
        <v>3548.27966504041</v>
      </c>
      <c r="AK883">
        <f t="shared" si="94"/>
        <v>1213543.89509434</v>
      </c>
    </row>
    <row r="884" spans="1:37">
      <c r="A884" t="s">
        <v>947</v>
      </c>
      <c r="B884">
        <v>31</v>
      </c>
      <c r="C884" t="s">
        <v>44</v>
      </c>
      <c r="D884" t="s">
        <v>60</v>
      </c>
      <c r="E884">
        <v>1057</v>
      </c>
      <c r="F884">
        <v>331</v>
      </c>
      <c r="G884">
        <v>1</v>
      </c>
      <c r="H884">
        <v>1509.49</v>
      </c>
      <c r="I884">
        <v>1637.88</v>
      </c>
      <c r="J884">
        <v>18</v>
      </c>
      <c r="K884">
        <v>0</v>
      </c>
      <c r="L884">
        <v>24.2</v>
      </c>
      <c r="M884">
        <v>53.9</v>
      </c>
      <c r="N884" t="s">
        <v>78</v>
      </c>
      <c r="O884" t="s">
        <v>47</v>
      </c>
      <c r="P884" t="s">
        <v>48</v>
      </c>
      <c r="R884">
        <f>SUMIF(A884:A5883,"C00883",I884:I5883)</f>
        <v>1637.88</v>
      </c>
      <c r="S884" s="1">
        <v>3548.2</v>
      </c>
      <c r="T884">
        <f t="shared" si="91"/>
        <v>90.9933333333333</v>
      </c>
      <c r="U884">
        <f t="shared" si="92"/>
        <v>970.2</v>
      </c>
      <c r="V884">
        <f t="shared" si="95"/>
        <v>80.85</v>
      </c>
      <c r="W884">
        <f t="shared" si="93"/>
        <v>1049.45666666667</v>
      </c>
      <c r="X884">
        <f t="shared" si="97"/>
        <v>0.700236503719799</v>
      </c>
      <c r="AH884" t="str">
        <f t="shared" si="96"/>
        <v>3rd Quality</v>
      </c>
      <c r="AJ884">
        <f>((T884-X884)*2)/24.2</f>
        <v>7.46223940740607</v>
      </c>
      <c r="AK884">
        <f t="shared" si="94"/>
        <v>96179.9533333333</v>
      </c>
    </row>
    <row r="885" spans="1:37">
      <c r="A885" t="s">
        <v>948</v>
      </c>
      <c r="B885">
        <v>41</v>
      </c>
      <c r="C885" t="s">
        <v>50</v>
      </c>
      <c r="D885" t="s">
        <v>45</v>
      </c>
      <c r="E885">
        <v>1337</v>
      </c>
      <c r="F885">
        <v>81</v>
      </c>
      <c r="G885">
        <v>5</v>
      </c>
      <c r="H885">
        <v>728.26</v>
      </c>
      <c r="I885">
        <v>3548.2</v>
      </c>
      <c r="J885">
        <v>49</v>
      </c>
      <c r="K885">
        <v>0</v>
      </c>
      <c r="L885">
        <v>26.7</v>
      </c>
      <c r="M885">
        <v>16.3</v>
      </c>
      <c r="N885" t="s">
        <v>61</v>
      </c>
      <c r="O885" t="s">
        <v>47</v>
      </c>
      <c r="P885" t="s">
        <v>58</v>
      </c>
      <c r="R885">
        <f>SUMIF(A885:A5884,"C00884",I885:I5884)</f>
        <v>3548.2</v>
      </c>
      <c r="S885" s="1">
        <v>37251.34</v>
      </c>
      <c r="T885">
        <f t="shared" si="91"/>
        <v>72.4122448979592</v>
      </c>
      <c r="U885">
        <f t="shared" si="92"/>
        <v>798.7</v>
      </c>
      <c r="V885">
        <f t="shared" si="95"/>
        <v>66.5583333333333</v>
      </c>
      <c r="W885">
        <f t="shared" si="93"/>
        <v>1425.82</v>
      </c>
      <c r="X885">
        <f t="shared" si="97"/>
        <v>1.83588278911378</v>
      </c>
      <c r="AH885" t="str">
        <f t="shared" si="96"/>
        <v>3rd Quality</v>
      </c>
      <c r="AJ885">
        <f>((T885-X885)*2)/26.7</f>
        <v>5.28661888455771</v>
      </c>
      <c r="AK885">
        <f t="shared" si="94"/>
        <v>96815.1714285714</v>
      </c>
    </row>
    <row r="886" spans="1:37">
      <c r="A886" t="s">
        <v>949</v>
      </c>
      <c r="B886">
        <v>43</v>
      </c>
      <c r="C886" t="s">
        <v>50</v>
      </c>
      <c r="D886" t="s">
        <v>51</v>
      </c>
      <c r="E886">
        <v>521</v>
      </c>
      <c r="F886">
        <v>9</v>
      </c>
      <c r="G886">
        <v>23</v>
      </c>
      <c r="H886">
        <v>1601.12</v>
      </c>
      <c r="I886">
        <v>37251.34</v>
      </c>
      <c r="J886">
        <v>168</v>
      </c>
      <c r="K886">
        <v>2</v>
      </c>
      <c r="L886">
        <v>6.2</v>
      </c>
      <c r="M886">
        <v>61</v>
      </c>
      <c r="N886" t="s">
        <v>63</v>
      </c>
      <c r="O886" t="s">
        <v>47</v>
      </c>
      <c r="P886" t="s">
        <v>58</v>
      </c>
      <c r="R886">
        <f>SUMIF(A886:A5885,"C00885",I886:I5885)</f>
        <v>37251.34</v>
      </c>
      <c r="S886" s="1">
        <v>18152.25</v>
      </c>
      <c r="T886">
        <f t="shared" si="91"/>
        <v>221.734166666667</v>
      </c>
      <c r="U886">
        <f t="shared" si="92"/>
        <v>10248</v>
      </c>
      <c r="V886">
        <f>U886*2</f>
        <v>20496</v>
      </c>
      <c r="W886">
        <f t="shared" si="93"/>
        <v>12951.1533333333</v>
      </c>
      <c r="X886">
        <f t="shared" si="97"/>
        <v>0.325397221944639</v>
      </c>
      <c r="AH886" t="str">
        <f t="shared" si="96"/>
        <v>2nd Quality</v>
      </c>
      <c r="AJ886">
        <f>((T886-X886)*2)/6.2</f>
        <v>71.4221836918459</v>
      </c>
      <c r="AK886">
        <f t="shared" si="94"/>
        <v>115523.500833333</v>
      </c>
    </row>
    <row r="887" spans="1:37">
      <c r="A887" t="s">
        <v>950</v>
      </c>
      <c r="B887">
        <v>31</v>
      </c>
      <c r="C887" t="s">
        <v>50</v>
      </c>
      <c r="D887" t="s">
        <v>60</v>
      </c>
      <c r="E887">
        <v>375</v>
      </c>
      <c r="F887">
        <v>26</v>
      </c>
      <c r="G887">
        <v>8</v>
      </c>
      <c r="H887">
        <v>2241.38</v>
      </c>
      <c r="I887">
        <v>18152.25</v>
      </c>
      <c r="J887">
        <v>75</v>
      </c>
      <c r="K887">
        <v>1</v>
      </c>
      <c r="L887">
        <v>26.1</v>
      </c>
      <c r="M887">
        <v>8.4</v>
      </c>
      <c r="N887" t="s">
        <v>46</v>
      </c>
      <c r="O887" t="s">
        <v>47</v>
      </c>
      <c r="P887" t="s">
        <v>68</v>
      </c>
      <c r="R887">
        <f>SUMIF(A887:A5886,"C00886",I887:I5886)</f>
        <v>18152.25</v>
      </c>
      <c r="S887" s="1">
        <v>15253.9</v>
      </c>
      <c r="T887">
        <f t="shared" si="91"/>
        <v>242.03</v>
      </c>
      <c r="U887">
        <f t="shared" si="92"/>
        <v>630</v>
      </c>
      <c r="V887">
        <f>U887*1</f>
        <v>630</v>
      </c>
      <c r="W887">
        <f t="shared" si="93"/>
        <v>6798.21</v>
      </c>
      <c r="X887">
        <f t="shared" si="97"/>
        <v>0.167307640828418</v>
      </c>
      <c r="AH887" t="str">
        <f t="shared" si="96"/>
        <v>3rd Quality</v>
      </c>
      <c r="AJ887">
        <f>((T887-X887)*2)/26.1</f>
        <v>18.533539644381</v>
      </c>
      <c r="AK887">
        <f t="shared" si="94"/>
        <v>90761.25</v>
      </c>
    </row>
    <row r="888" spans="1:37">
      <c r="A888" t="s">
        <v>951</v>
      </c>
      <c r="B888">
        <v>48</v>
      </c>
      <c r="C888" t="s">
        <v>50</v>
      </c>
      <c r="D888" t="s">
        <v>45</v>
      </c>
      <c r="E888">
        <v>1115</v>
      </c>
      <c r="F888">
        <v>37</v>
      </c>
      <c r="G888">
        <v>7</v>
      </c>
      <c r="H888">
        <v>2345.22</v>
      </c>
      <c r="I888">
        <v>15253.9</v>
      </c>
      <c r="J888">
        <v>62</v>
      </c>
      <c r="K888">
        <v>0</v>
      </c>
      <c r="L888">
        <v>29.7</v>
      </c>
      <c r="M888">
        <v>4.7</v>
      </c>
      <c r="N888" t="s">
        <v>81</v>
      </c>
      <c r="O888" t="s">
        <v>75</v>
      </c>
      <c r="P888" t="s">
        <v>54</v>
      </c>
      <c r="R888">
        <f>SUMIF(A888:A5887,"C00887",I888:I5887)</f>
        <v>15253.9</v>
      </c>
      <c r="S888" s="1">
        <v>61760.37</v>
      </c>
      <c r="T888">
        <f t="shared" si="91"/>
        <v>246.03064516129</v>
      </c>
      <c r="U888">
        <f t="shared" si="92"/>
        <v>291.4</v>
      </c>
      <c r="V888">
        <f t="shared" si="95"/>
        <v>24.2833333333333</v>
      </c>
      <c r="W888">
        <f t="shared" si="93"/>
        <v>5866.70666666667</v>
      </c>
      <c r="X888">
        <f t="shared" si="97"/>
        <v>0.475435140413266</v>
      </c>
      <c r="AH888" t="str">
        <f t="shared" si="96"/>
        <v>3rd Quality</v>
      </c>
      <c r="AJ888">
        <f>((T888-X888)*2)/29.7</f>
        <v>16.5357043785102</v>
      </c>
      <c r="AK888">
        <f t="shared" si="94"/>
        <v>274324.169354839</v>
      </c>
    </row>
    <row r="889" spans="1:37">
      <c r="A889" t="s">
        <v>952</v>
      </c>
      <c r="B889">
        <v>19</v>
      </c>
      <c r="C889" t="s">
        <v>44</v>
      </c>
      <c r="D889" t="s">
        <v>60</v>
      </c>
      <c r="E889">
        <v>865</v>
      </c>
      <c r="F889">
        <v>21</v>
      </c>
      <c r="G889">
        <v>26</v>
      </c>
      <c r="H889">
        <v>2577.7</v>
      </c>
      <c r="I889">
        <v>61760.37</v>
      </c>
      <c r="J889">
        <v>162</v>
      </c>
      <c r="K889">
        <v>4</v>
      </c>
      <c r="L889">
        <v>3.8</v>
      </c>
      <c r="M889">
        <v>49.8</v>
      </c>
      <c r="N889" t="s">
        <v>46</v>
      </c>
      <c r="O889" t="s">
        <v>47</v>
      </c>
      <c r="P889" t="s">
        <v>68</v>
      </c>
      <c r="R889">
        <f>SUMIF(A889:A5888,"C00888",I889:I5888)</f>
        <v>61760.37</v>
      </c>
      <c r="S889" s="1">
        <v>86854.69</v>
      </c>
      <c r="T889">
        <f t="shared" si="91"/>
        <v>381.236851851852</v>
      </c>
      <c r="U889">
        <f t="shared" si="92"/>
        <v>8067.6</v>
      </c>
      <c r="V889">
        <f>U889*4</f>
        <v>32270.4</v>
      </c>
      <c r="W889">
        <f t="shared" si="93"/>
        <v>21446.3566666667</v>
      </c>
      <c r="X889">
        <f t="shared" si="97"/>
        <v>0.335570469798658</v>
      </c>
      <c r="AH889" t="str">
        <f t="shared" si="96"/>
        <v>2nd Quality</v>
      </c>
      <c r="AJ889">
        <f>((T889-X889)*2)/3.8</f>
        <v>200.474358622133</v>
      </c>
      <c r="AK889">
        <f t="shared" si="94"/>
        <v>329769.876851852</v>
      </c>
    </row>
    <row r="890" spans="1:37">
      <c r="A890" t="s">
        <v>953</v>
      </c>
      <c r="B890">
        <v>28</v>
      </c>
      <c r="C890" t="s">
        <v>44</v>
      </c>
      <c r="D890" t="s">
        <v>60</v>
      </c>
      <c r="E890">
        <v>455</v>
      </c>
      <c r="F890">
        <v>4</v>
      </c>
      <c r="G890">
        <v>28</v>
      </c>
      <c r="H890">
        <v>2952.16</v>
      </c>
      <c r="I890">
        <v>86854.69</v>
      </c>
      <c r="J890">
        <v>65</v>
      </c>
      <c r="K890">
        <v>1</v>
      </c>
      <c r="L890">
        <v>3.9</v>
      </c>
      <c r="M890">
        <v>60</v>
      </c>
      <c r="N890" t="s">
        <v>78</v>
      </c>
      <c r="O890" t="s">
        <v>47</v>
      </c>
      <c r="P890" t="s">
        <v>68</v>
      </c>
      <c r="R890">
        <f>SUMIF(A890:A5889,"C00889",I890:I5889)</f>
        <v>86854.69</v>
      </c>
      <c r="S890" s="1">
        <v>931.03</v>
      </c>
      <c r="T890">
        <f t="shared" si="91"/>
        <v>1336.226</v>
      </c>
      <c r="U890">
        <f t="shared" si="92"/>
        <v>3900</v>
      </c>
      <c r="V890">
        <f>U890*1</f>
        <v>3900</v>
      </c>
      <c r="W890">
        <f t="shared" si="93"/>
        <v>29935.95</v>
      </c>
      <c r="X890">
        <f t="shared" si="97"/>
        <v>0.154124437699854</v>
      </c>
      <c r="AH890" t="str">
        <f t="shared" si="96"/>
        <v>3rd Quality</v>
      </c>
      <c r="AJ890">
        <f>((T890-X890)*2)/3.9</f>
        <v>685.165064390923</v>
      </c>
      <c r="AK890">
        <f t="shared" si="94"/>
        <v>607982.83</v>
      </c>
    </row>
    <row r="891" spans="1:37">
      <c r="A891" t="s">
        <v>954</v>
      </c>
      <c r="B891">
        <v>33</v>
      </c>
      <c r="C891" t="s">
        <v>44</v>
      </c>
      <c r="D891" t="s">
        <v>60</v>
      </c>
      <c r="E891">
        <v>864</v>
      </c>
      <c r="F891">
        <v>41</v>
      </c>
      <c r="G891">
        <v>2</v>
      </c>
      <c r="H891">
        <v>431.79</v>
      </c>
      <c r="I891">
        <v>931.03</v>
      </c>
      <c r="J891">
        <v>24</v>
      </c>
      <c r="K891">
        <v>1</v>
      </c>
      <c r="L891">
        <v>27</v>
      </c>
      <c r="M891">
        <v>17.2</v>
      </c>
      <c r="N891" t="s">
        <v>78</v>
      </c>
      <c r="O891" t="s">
        <v>47</v>
      </c>
      <c r="P891" t="s">
        <v>58</v>
      </c>
      <c r="R891">
        <f>SUMIF(A891:A5890,"C00890",I891:I5890)</f>
        <v>931.03</v>
      </c>
      <c r="S891" s="1">
        <v>18109</v>
      </c>
      <c r="T891">
        <f t="shared" si="91"/>
        <v>38.7929166666667</v>
      </c>
      <c r="U891">
        <f t="shared" si="92"/>
        <v>412.8</v>
      </c>
      <c r="V891">
        <f>U891*1</f>
        <v>412.8</v>
      </c>
      <c r="W891">
        <f t="shared" si="93"/>
        <v>454.606666666667</v>
      </c>
      <c r="X891">
        <f t="shared" si="97"/>
        <v>2.0009726950601</v>
      </c>
      <c r="AH891" t="str">
        <f t="shared" si="96"/>
        <v>3rd Quality</v>
      </c>
      <c r="AJ891">
        <f>((T891-X891)*2)/27</f>
        <v>2.72532918308197</v>
      </c>
      <c r="AK891">
        <f t="shared" si="94"/>
        <v>33517.08</v>
      </c>
    </row>
    <row r="892" spans="1:37">
      <c r="A892" t="s">
        <v>955</v>
      </c>
      <c r="B892">
        <v>43</v>
      </c>
      <c r="C892" t="s">
        <v>44</v>
      </c>
      <c r="D892" t="s">
        <v>45</v>
      </c>
      <c r="E892">
        <v>413</v>
      </c>
      <c r="F892">
        <v>2</v>
      </c>
      <c r="G892">
        <v>11</v>
      </c>
      <c r="H892">
        <v>1803.41</v>
      </c>
      <c r="I892">
        <v>18109</v>
      </c>
      <c r="J892">
        <v>45</v>
      </c>
      <c r="K892">
        <v>1</v>
      </c>
      <c r="L892">
        <v>6.5</v>
      </c>
      <c r="M892">
        <v>15.6</v>
      </c>
      <c r="N892" t="s">
        <v>61</v>
      </c>
      <c r="O892" t="s">
        <v>75</v>
      </c>
      <c r="P892" t="s">
        <v>58</v>
      </c>
      <c r="R892">
        <f>SUMIF(A892:A5891,"C00891",I892:I5891)</f>
        <v>18109</v>
      </c>
      <c r="S892" s="1">
        <v>1783.29</v>
      </c>
      <c r="T892">
        <f t="shared" si="91"/>
        <v>402.422222222222</v>
      </c>
      <c r="U892">
        <f t="shared" si="92"/>
        <v>702</v>
      </c>
      <c r="V892">
        <f>U892*1</f>
        <v>702</v>
      </c>
      <c r="W892">
        <f t="shared" si="93"/>
        <v>6637.80333333333</v>
      </c>
      <c r="X892">
        <f t="shared" si="97"/>
        <v>0.229010596592012</v>
      </c>
      <c r="AH892" t="str">
        <f t="shared" si="96"/>
        <v>3rd Quality</v>
      </c>
      <c r="AJ892">
        <f>((T892-X892)*2)/6.5</f>
        <v>123.751757423271</v>
      </c>
      <c r="AK892">
        <f t="shared" si="94"/>
        <v>166200.377777778</v>
      </c>
    </row>
    <row r="893" spans="1:37">
      <c r="A893" t="s">
        <v>956</v>
      </c>
      <c r="B893">
        <v>49</v>
      </c>
      <c r="C893" t="s">
        <v>50</v>
      </c>
      <c r="D893" t="s">
        <v>45</v>
      </c>
      <c r="E893">
        <v>1402</v>
      </c>
      <c r="F893">
        <v>182</v>
      </c>
      <c r="G893">
        <v>1</v>
      </c>
      <c r="H893">
        <v>1681.76</v>
      </c>
      <c r="I893">
        <v>1783.29</v>
      </c>
      <c r="J893">
        <v>9</v>
      </c>
      <c r="K893">
        <v>0</v>
      </c>
      <c r="L893">
        <v>19.3</v>
      </c>
      <c r="M893">
        <v>12.7</v>
      </c>
      <c r="N893" t="s">
        <v>81</v>
      </c>
      <c r="O893" t="s">
        <v>75</v>
      </c>
      <c r="P893" t="s">
        <v>58</v>
      </c>
      <c r="R893">
        <f>SUMIF(A893:A5892,"C00892",I893:I5892)</f>
        <v>1783.29</v>
      </c>
      <c r="S893" s="1">
        <v>6456.14</v>
      </c>
      <c r="T893">
        <f t="shared" si="91"/>
        <v>198.143333333333</v>
      </c>
      <c r="U893">
        <f t="shared" si="92"/>
        <v>114.3</v>
      </c>
      <c r="V893">
        <f t="shared" si="95"/>
        <v>9.525</v>
      </c>
      <c r="W893">
        <f t="shared" si="93"/>
        <v>1155.35</v>
      </c>
      <c r="X893">
        <f t="shared" si="97"/>
        <v>0.833650461421368</v>
      </c>
      <c r="AH893" t="str">
        <f t="shared" si="96"/>
        <v>3rd Quality</v>
      </c>
      <c r="AJ893">
        <f>((T893-X893)*2)/19.3</f>
        <v>20.446599261338</v>
      </c>
      <c r="AK893">
        <f t="shared" si="94"/>
        <v>277796.953333333</v>
      </c>
    </row>
    <row r="894" spans="1:37">
      <c r="A894" t="s">
        <v>957</v>
      </c>
      <c r="B894">
        <v>25</v>
      </c>
      <c r="C894" t="s">
        <v>44</v>
      </c>
      <c r="D894" t="s">
        <v>60</v>
      </c>
      <c r="E894">
        <v>1310</v>
      </c>
      <c r="F894">
        <v>8</v>
      </c>
      <c r="G894">
        <v>9</v>
      </c>
      <c r="H894">
        <v>748.44</v>
      </c>
      <c r="I894">
        <v>6456.14</v>
      </c>
      <c r="J894">
        <v>68</v>
      </c>
      <c r="K894">
        <v>0</v>
      </c>
      <c r="L894">
        <v>28.4</v>
      </c>
      <c r="M894">
        <v>26.8</v>
      </c>
      <c r="N894" t="s">
        <v>46</v>
      </c>
      <c r="O894" t="s">
        <v>47</v>
      </c>
      <c r="P894" t="s">
        <v>58</v>
      </c>
      <c r="R894">
        <f>SUMIF(A894:A5893,"C00893",I894:I5893)</f>
        <v>6456.14</v>
      </c>
      <c r="S894" s="1">
        <v>88432.48</v>
      </c>
      <c r="T894">
        <f t="shared" si="91"/>
        <v>94.9432352941177</v>
      </c>
      <c r="U894">
        <f t="shared" si="92"/>
        <v>1822.4</v>
      </c>
      <c r="V894">
        <f t="shared" si="95"/>
        <v>151.866666666667</v>
      </c>
      <c r="W894">
        <f t="shared" si="93"/>
        <v>2401.86</v>
      </c>
      <c r="X894">
        <f t="shared" si="97"/>
        <v>1.75030730586286</v>
      </c>
      <c r="AH894" t="str">
        <f t="shared" si="96"/>
        <v>3rd Quality</v>
      </c>
      <c r="AJ894">
        <f>((T894-X894)*2)/28.4</f>
        <v>6.562882252694</v>
      </c>
      <c r="AK894">
        <f t="shared" si="94"/>
        <v>124375.638235294</v>
      </c>
    </row>
    <row r="895" spans="1:37">
      <c r="A895" t="s">
        <v>958</v>
      </c>
      <c r="B895">
        <v>37</v>
      </c>
      <c r="C895" t="s">
        <v>44</v>
      </c>
      <c r="D895" t="s">
        <v>60</v>
      </c>
      <c r="E895">
        <v>860</v>
      </c>
      <c r="F895">
        <v>9</v>
      </c>
      <c r="G895">
        <v>25</v>
      </c>
      <c r="H895">
        <v>3458.91</v>
      </c>
      <c r="I895">
        <v>88432.48</v>
      </c>
      <c r="J895">
        <v>81</v>
      </c>
      <c r="K895">
        <v>3</v>
      </c>
      <c r="L895">
        <v>13</v>
      </c>
      <c r="M895">
        <v>61.5</v>
      </c>
      <c r="N895" t="s">
        <v>46</v>
      </c>
      <c r="O895" t="s">
        <v>47</v>
      </c>
      <c r="P895" t="s">
        <v>58</v>
      </c>
      <c r="R895">
        <f>SUMIF(A895:A5894,"C00894",I895:I5894)</f>
        <v>88432.48</v>
      </c>
      <c r="S895" s="1">
        <v>2527.44</v>
      </c>
      <c r="T895">
        <f t="shared" si="91"/>
        <v>1091.75901234568</v>
      </c>
      <c r="U895">
        <f t="shared" si="92"/>
        <v>4981.5</v>
      </c>
      <c r="V895">
        <f>U895*3</f>
        <v>14944.5</v>
      </c>
      <c r="W895">
        <f t="shared" si="93"/>
        <v>30630.7966666667</v>
      </c>
      <c r="X895">
        <f t="shared" si="97"/>
        <v>0.248633239951314</v>
      </c>
      <c r="AH895" t="str">
        <f t="shared" si="96"/>
        <v>2nd Quality</v>
      </c>
      <c r="AJ895">
        <f>((T895-X895)*2)/13</f>
        <v>167.924673708574</v>
      </c>
      <c r="AK895">
        <f t="shared" si="94"/>
        <v>938912.750617284</v>
      </c>
    </row>
    <row r="896" spans="1:37">
      <c r="A896" t="s">
        <v>959</v>
      </c>
      <c r="B896">
        <v>22</v>
      </c>
      <c r="C896" t="s">
        <v>50</v>
      </c>
      <c r="D896" t="s">
        <v>51</v>
      </c>
      <c r="E896">
        <v>1268</v>
      </c>
      <c r="F896">
        <v>36</v>
      </c>
      <c r="G896">
        <v>5</v>
      </c>
      <c r="H896">
        <v>501.32</v>
      </c>
      <c r="I896">
        <v>2527.44</v>
      </c>
      <c r="J896">
        <v>38</v>
      </c>
      <c r="K896">
        <v>0</v>
      </c>
      <c r="L896">
        <v>32.4</v>
      </c>
      <c r="M896">
        <v>23.2</v>
      </c>
      <c r="N896" t="s">
        <v>46</v>
      </c>
      <c r="O896" t="s">
        <v>47</v>
      </c>
      <c r="P896" t="s">
        <v>48</v>
      </c>
      <c r="R896">
        <f>SUMIF(A896:A5895,"C00895",I896:I5895)</f>
        <v>2527.44</v>
      </c>
      <c r="S896" s="1">
        <v>2223.86</v>
      </c>
      <c r="T896">
        <f t="shared" si="91"/>
        <v>66.5115789473684</v>
      </c>
      <c r="U896">
        <f t="shared" si="92"/>
        <v>881.6</v>
      </c>
      <c r="V896">
        <f t="shared" si="95"/>
        <v>73.4666666666667</v>
      </c>
      <c r="W896">
        <f t="shared" si="93"/>
        <v>1009.92</v>
      </c>
      <c r="X896">
        <f t="shared" si="97"/>
        <v>2.52932258836671</v>
      </c>
      <c r="AH896" t="str">
        <f t="shared" si="96"/>
        <v>3rd Quality</v>
      </c>
      <c r="AJ896">
        <f>((T896-X896)*2)/32.4</f>
        <v>3.94952199746924</v>
      </c>
      <c r="AK896">
        <f t="shared" si="94"/>
        <v>84336.6821052632</v>
      </c>
    </row>
    <row r="897" spans="1:37">
      <c r="A897" t="s">
        <v>960</v>
      </c>
      <c r="B897">
        <v>30</v>
      </c>
      <c r="C897" t="s">
        <v>44</v>
      </c>
      <c r="D897" t="s">
        <v>60</v>
      </c>
      <c r="E897">
        <v>1358</v>
      </c>
      <c r="F897">
        <v>124</v>
      </c>
      <c r="G897">
        <v>1</v>
      </c>
      <c r="H897">
        <v>2101.13</v>
      </c>
      <c r="I897">
        <v>2223.86</v>
      </c>
      <c r="J897">
        <v>19</v>
      </c>
      <c r="K897">
        <v>0</v>
      </c>
      <c r="L897">
        <v>24.2</v>
      </c>
      <c r="M897">
        <v>47.3</v>
      </c>
      <c r="N897" t="s">
        <v>78</v>
      </c>
      <c r="O897" t="s">
        <v>47</v>
      </c>
      <c r="P897" t="s">
        <v>58</v>
      </c>
      <c r="R897">
        <f>SUMIF(A897:A5896,"C00896",I897:I5896)</f>
        <v>2223.86</v>
      </c>
      <c r="S897" s="1">
        <v>4518.11</v>
      </c>
      <c r="T897">
        <f t="shared" si="91"/>
        <v>117.045263157895</v>
      </c>
      <c r="U897">
        <f t="shared" si="92"/>
        <v>898.7</v>
      </c>
      <c r="V897">
        <f t="shared" si="95"/>
        <v>74.8916666666667</v>
      </c>
      <c r="W897">
        <f t="shared" si="93"/>
        <v>1441.99666666667</v>
      </c>
      <c r="X897">
        <f t="shared" si="97"/>
        <v>0.64631888555206</v>
      </c>
      <c r="AH897" t="str">
        <f t="shared" si="96"/>
        <v>3rd Quality</v>
      </c>
      <c r="AJ897">
        <f>((T897-X897)*2)/24.2</f>
        <v>9.61974746052421</v>
      </c>
      <c r="AK897">
        <f t="shared" si="94"/>
        <v>158947.467368421</v>
      </c>
    </row>
    <row r="898" spans="1:37">
      <c r="A898" t="s">
        <v>961</v>
      </c>
      <c r="B898">
        <v>39</v>
      </c>
      <c r="C898" t="s">
        <v>44</v>
      </c>
      <c r="D898" t="s">
        <v>45</v>
      </c>
      <c r="E898">
        <v>402</v>
      </c>
      <c r="F898">
        <v>24</v>
      </c>
      <c r="G898">
        <v>5</v>
      </c>
      <c r="H898">
        <v>894.62</v>
      </c>
      <c r="I898">
        <v>4518.11</v>
      </c>
      <c r="J898">
        <v>48</v>
      </c>
      <c r="K898">
        <v>1</v>
      </c>
      <c r="L898">
        <v>21.3</v>
      </c>
      <c r="M898">
        <v>24.8</v>
      </c>
      <c r="N898" t="s">
        <v>63</v>
      </c>
      <c r="O898" t="s">
        <v>47</v>
      </c>
      <c r="P898" t="s">
        <v>58</v>
      </c>
      <c r="R898">
        <f>SUMIF(A898:A5897,"C00897",I898:I5897)</f>
        <v>4518.11</v>
      </c>
      <c r="S898" s="1">
        <v>95188.27</v>
      </c>
      <c r="T898">
        <f t="shared" si="91"/>
        <v>94.1272916666667</v>
      </c>
      <c r="U898">
        <f t="shared" si="92"/>
        <v>1190.4</v>
      </c>
      <c r="V898">
        <f>U898*1</f>
        <v>1190.4</v>
      </c>
      <c r="W898">
        <f t="shared" si="93"/>
        <v>1804.57666666667</v>
      </c>
      <c r="X898">
        <f t="shared" si="97"/>
        <v>0.449352797835953</v>
      </c>
      <c r="AH898" t="str">
        <f t="shared" si="96"/>
        <v>3rd Quality</v>
      </c>
      <c r="AJ898">
        <f>((T898-X898)*2)/21.3</f>
        <v>8.79605059801228</v>
      </c>
      <c r="AK898">
        <f t="shared" si="94"/>
        <v>37839.17125</v>
      </c>
    </row>
    <row r="899" spans="1:37">
      <c r="A899" t="s">
        <v>962</v>
      </c>
      <c r="B899">
        <v>40</v>
      </c>
      <c r="C899" t="s">
        <v>50</v>
      </c>
      <c r="D899" t="s">
        <v>60</v>
      </c>
      <c r="E899">
        <v>1008</v>
      </c>
      <c r="F899">
        <v>11</v>
      </c>
      <c r="G899">
        <v>29</v>
      </c>
      <c r="H899">
        <v>3637.28</v>
      </c>
      <c r="I899">
        <v>95188.27</v>
      </c>
      <c r="J899">
        <v>66</v>
      </c>
      <c r="K899">
        <v>2</v>
      </c>
      <c r="L899">
        <v>0</v>
      </c>
      <c r="M899">
        <v>77</v>
      </c>
      <c r="N899" t="s">
        <v>46</v>
      </c>
      <c r="O899" t="s">
        <v>47</v>
      </c>
      <c r="P899" t="s">
        <v>58</v>
      </c>
      <c r="R899">
        <f>SUMIF(A899:A5898,"C00898",I899:I5898)</f>
        <v>95188.27</v>
      </c>
      <c r="S899" s="1">
        <v>66204.93</v>
      </c>
      <c r="T899">
        <f t="shared" ref="T899:T962" si="98">I899/J899</f>
        <v>1442.24651515152</v>
      </c>
      <c r="U899">
        <f t="shared" ref="U899:U962" si="99">J899*M899</f>
        <v>5082</v>
      </c>
      <c r="V899">
        <f>U899*2</f>
        <v>10164</v>
      </c>
      <c r="W899">
        <f t="shared" ref="W899:W962" si="100">(H899+I899+1)/3</f>
        <v>32942.1833333333</v>
      </c>
      <c r="X899">
        <f t="shared" si="97"/>
        <v>0.277130163198874</v>
      </c>
      <c r="AH899" t="str">
        <f t="shared" si="96"/>
        <v>2nd Quality</v>
      </c>
      <c r="AJ899">
        <f>((T899-X899)*2)</f>
        <v>2883.93876997664</v>
      </c>
      <c r="AK899">
        <f t="shared" ref="AK899:AK962" si="101">I899/J899*E899</f>
        <v>1453784.48727273</v>
      </c>
    </row>
    <row r="900" spans="1:37">
      <c r="A900" t="s">
        <v>963</v>
      </c>
      <c r="B900">
        <v>36</v>
      </c>
      <c r="C900" t="s">
        <v>44</v>
      </c>
      <c r="D900" t="s">
        <v>60</v>
      </c>
      <c r="E900">
        <v>612</v>
      </c>
      <c r="F900">
        <v>11</v>
      </c>
      <c r="G900">
        <v>28</v>
      </c>
      <c r="H900">
        <v>2496.77</v>
      </c>
      <c r="I900">
        <v>66204.93</v>
      </c>
      <c r="J900">
        <v>96</v>
      </c>
      <c r="K900">
        <v>0</v>
      </c>
      <c r="L900">
        <v>9.9</v>
      </c>
      <c r="M900">
        <v>15.6</v>
      </c>
      <c r="N900" t="s">
        <v>61</v>
      </c>
      <c r="O900" t="s">
        <v>47</v>
      </c>
      <c r="P900" t="s">
        <v>66</v>
      </c>
      <c r="R900">
        <f>SUMIF(A900:A5899,"C00899",I900:I5899)</f>
        <v>66204.93</v>
      </c>
      <c r="S900" s="1">
        <v>22630.13</v>
      </c>
      <c r="T900">
        <f t="shared" si="98"/>
        <v>689.6346875</v>
      </c>
      <c r="U900">
        <f t="shared" si="99"/>
        <v>1497.6</v>
      </c>
      <c r="V900">
        <f t="shared" ref="V899:V962" si="102">U900/12</f>
        <v>124.8</v>
      </c>
      <c r="W900">
        <f t="shared" si="100"/>
        <v>22900.9</v>
      </c>
      <c r="X900">
        <f t="shared" si="97"/>
        <v>0.245116690764468</v>
      </c>
      <c r="AH900" t="str">
        <f t="shared" si="96"/>
        <v>2nd Quality</v>
      </c>
      <c r="AJ900">
        <f>((T900-X900)*2)/9.9</f>
        <v>139.270620365502</v>
      </c>
      <c r="AK900">
        <f t="shared" si="101"/>
        <v>422056.42875</v>
      </c>
    </row>
    <row r="901" spans="1:37">
      <c r="A901" t="s">
        <v>964</v>
      </c>
      <c r="B901">
        <v>27</v>
      </c>
      <c r="C901" t="s">
        <v>50</v>
      </c>
      <c r="D901" t="s">
        <v>51</v>
      </c>
      <c r="E901">
        <v>697</v>
      </c>
      <c r="F901">
        <v>23</v>
      </c>
      <c r="G901">
        <v>6</v>
      </c>
      <c r="H901">
        <v>3866.41</v>
      </c>
      <c r="I901">
        <v>22630.13</v>
      </c>
      <c r="J901">
        <v>48</v>
      </c>
      <c r="K901">
        <v>1</v>
      </c>
      <c r="L901">
        <v>15.1</v>
      </c>
      <c r="M901">
        <v>51.8</v>
      </c>
      <c r="N901" t="s">
        <v>57</v>
      </c>
      <c r="O901" t="s">
        <v>53</v>
      </c>
      <c r="P901" t="s">
        <v>48</v>
      </c>
      <c r="R901">
        <f>SUMIF(A901:A5900,"C00900",I901:I5900)</f>
        <v>22630.13</v>
      </c>
      <c r="S901" s="1">
        <v>18047.54</v>
      </c>
      <c r="T901">
        <f t="shared" si="98"/>
        <v>471.461041666667</v>
      </c>
      <c r="U901">
        <f t="shared" si="99"/>
        <v>2486.4</v>
      </c>
      <c r="V901">
        <f>U901*1</f>
        <v>2486.4</v>
      </c>
      <c r="W901">
        <f t="shared" si="100"/>
        <v>8832.51333333333</v>
      </c>
      <c r="X901">
        <f t="shared" si="97"/>
        <v>0.180270586926891</v>
      </c>
      <c r="AH901" t="str">
        <f t="shared" si="96"/>
        <v>2nd Quality</v>
      </c>
      <c r="AJ901">
        <f>((T901-X901)*2)/15.1</f>
        <v>62.421294182747</v>
      </c>
      <c r="AK901">
        <f t="shared" si="101"/>
        <v>328608.346041667</v>
      </c>
    </row>
    <row r="902" spans="1:37">
      <c r="A902" t="s">
        <v>965</v>
      </c>
      <c r="B902">
        <v>32</v>
      </c>
      <c r="C902" t="s">
        <v>44</v>
      </c>
      <c r="D902" t="s">
        <v>60</v>
      </c>
      <c r="E902">
        <v>1062</v>
      </c>
      <c r="F902">
        <v>23</v>
      </c>
      <c r="G902">
        <v>9</v>
      </c>
      <c r="H902">
        <v>1971.21</v>
      </c>
      <c r="I902">
        <v>18047.54</v>
      </c>
      <c r="J902">
        <v>88</v>
      </c>
      <c r="K902">
        <v>0</v>
      </c>
      <c r="L902">
        <v>24.5</v>
      </c>
      <c r="M902">
        <v>26.7</v>
      </c>
      <c r="N902" t="s">
        <v>81</v>
      </c>
      <c r="O902" t="s">
        <v>53</v>
      </c>
      <c r="P902" t="s">
        <v>58</v>
      </c>
      <c r="R902">
        <f>SUMIF(A902:A5901,"C00901",I902:I5901)</f>
        <v>18047.54</v>
      </c>
      <c r="S902" s="1">
        <v>24089.21</v>
      </c>
      <c r="T902">
        <f t="shared" si="98"/>
        <v>205.085681818182</v>
      </c>
      <c r="U902">
        <f t="shared" si="99"/>
        <v>2349.6</v>
      </c>
      <c r="V902">
        <f t="shared" si="102"/>
        <v>195.8</v>
      </c>
      <c r="W902">
        <f t="shared" si="100"/>
        <v>6673.25</v>
      </c>
      <c r="X902">
        <f t="shared" si="97"/>
        <v>0.538755383749068</v>
      </c>
      <c r="AH902" t="str">
        <f t="shared" si="96"/>
        <v>2nd Quality</v>
      </c>
      <c r="AJ902">
        <f>((T902-X902)*2)/24.5</f>
        <v>16.6977082803619</v>
      </c>
      <c r="AK902">
        <f t="shared" si="101"/>
        <v>217800.994090909</v>
      </c>
    </row>
    <row r="903" spans="1:37">
      <c r="A903" t="s">
        <v>966</v>
      </c>
      <c r="B903">
        <v>28</v>
      </c>
      <c r="C903" t="s">
        <v>101</v>
      </c>
      <c r="D903" t="s">
        <v>45</v>
      </c>
      <c r="E903">
        <v>531</v>
      </c>
      <c r="F903">
        <v>21</v>
      </c>
      <c r="G903">
        <v>13</v>
      </c>
      <c r="H903">
        <v>2012.66</v>
      </c>
      <c r="I903">
        <v>24089.21</v>
      </c>
      <c r="J903">
        <v>42</v>
      </c>
      <c r="K903">
        <v>1</v>
      </c>
      <c r="L903">
        <v>19.4</v>
      </c>
      <c r="M903">
        <v>24.9</v>
      </c>
      <c r="N903" t="s">
        <v>46</v>
      </c>
      <c r="O903" t="s">
        <v>47</v>
      </c>
      <c r="P903" t="s">
        <v>58</v>
      </c>
      <c r="R903">
        <f>SUMIF(A903:A5902,"C00902",I903:I5902)</f>
        <v>24089.21</v>
      </c>
      <c r="S903" s="1">
        <v>85749.81</v>
      </c>
      <c r="T903">
        <f t="shared" si="98"/>
        <v>573.552619047619</v>
      </c>
      <c r="U903">
        <f t="shared" si="99"/>
        <v>1045.8</v>
      </c>
      <c r="V903">
        <f>U903*1</f>
        <v>1045.8</v>
      </c>
      <c r="W903">
        <f t="shared" si="100"/>
        <v>8700.95666666667</v>
      </c>
      <c r="X903">
        <f t="shared" si="97"/>
        <v>0.263829956376139</v>
      </c>
      <c r="AH903" t="str">
        <f t="shared" si="96"/>
        <v>2nd Quality</v>
      </c>
      <c r="AJ903">
        <f>((T903-X903)*2)/19.4</f>
        <v>59.1019370197158</v>
      </c>
      <c r="AK903">
        <f t="shared" si="101"/>
        <v>304556.440714286</v>
      </c>
    </row>
    <row r="904" spans="1:37">
      <c r="A904" t="s">
        <v>967</v>
      </c>
      <c r="B904">
        <v>35</v>
      </c>
      <c r="C904" t="s">
        <v>44</v>
      </c>
      <c r="D904" t="s">
        <v>60</v>
      </c>
      <c r="E904">
        <v>1372</v>
      </c>
      <c r="F904">
        <v>1</v>
      </c>
      <c r="G904">
        <v>34</v>
      </c>
      <c r="H904">
        <v>2624.45</v>
      </c>
      <c r="I904">
        <v>85749.81</v>
      </c>
      <c r="J904">
        <v>248</v>
      </c>
      <c r="K904">
        <v>1</v>
      </c>
      <c r="L904">
        <v>14.5</v>
      </c>
      <c r="M904">
        <v>16.6</v>
      </c>
      <c r="N904" t="s">
        <v>81</v>
      </c>
      <c r="O904" t="s">
        <v>47</v>
      </c>
      <c r="P904" t="s">
        <v>68</v>
      </c>
      <c r="R904">
        <f>SUMIF(A904:A5903,"C00903",I904:I5903)</f>
        <v>85749.81</v>
      </c>
      <c r="S904" s="1">
        <v>20119.61</v>
      </c>
      <c r="T904">
        <f t="shared" si="98"/>
        <v>345.765362903226</v>
      </c>
      <c r="U904">
        <f t="shared" si="99"/>
        <v>4116.8</v>
      </c>
      <c r="V904">
        <f>U904*1</f>
        <v>4116.8</v>
      </c>
      <c r="W904">
        <f t="shared" si="100"/>
        <v>29458.42</v>
      </c>
      <c r="X904">
        <f t="shared" si="97"/>
        <v>0.522776200727772</v>
      </c>
      <c r="AH904" t="str">
        <f t="shared" si="96"/>
        <v>2nd Quality</v>
      </c>
      <c r="AJ904">
        <f>((T904-X904)*2)/14.5</f>
        <v>47.6196671313791</v>
      </c>
      <c r="AK904">
        <f t="shared" si="101"/>
        <v>474390.077903226</v>
      </c>
    </row>
    <row r="905" spans="1:37">
      <c r="A905" t="s">
        <v>968</v>
      </c>
      <c r="B905">
        <v>28</v>
      </c>
      <c r="C905" t="s">
        <v>44</v>
      </c>
      <c r="D905" t="s">
        <v>45</v>
      </c>
      <c r="E905">
        <v>904</v>
      </c>
      <c r="F905">
        <v>76</v>
      </c>
      <c r="G905">
        <v>15</v>
      </c>
      <c r="H905">
        <v>1498.38</v>
      </c>
      <c r="I905">
        <v>20119.61</v>
      </c>
      <c r="J905">
        <v>71</v>
      </c>
      <c r="K905">
        <v>2</v>
      </c>
      <c r="L905">
        <v>24.7</v>
      </c>
      <c r="M905">
        <v>27.1</v>
      </c>
      <c r="N905" t="s">
        <v>78</v>
      </c>
      <c r="O905" t="s">
        <v>75</v>
      </c>
      <c r="P905" t="s">
        <v>66</v>
      </c>
      <c r="R905">
        <f>SUMIF(A905:A5904,"C00904",I905:I5904)</f>
        <v>20119.61</v>
      </c>
      <c r="S905" s="1">
        <v>3844.96</v>
      </c>
      <c r="T905">
        <f t="shared" si="98"/>
        <v>283.374788732394</v>
      </c>
      <c r="U905">
        <f t="shared" si="99"/>
        <v>1924.1</v>
      </c>
      <c r="V905">
        <f>U905*2</f>
        <v>3848.2</v>
      </c>
      <c r="W905">
        <f t="shared" si="100"/>
        <v>7206.33</v>
      </c>
      <c r="X905">
        <f t="shared" si="97"/>
        <v>0.603318250377074</v>
      </c>
      <c r="AH905" t="str">
        <f t="shared" si="96"/>
        <v>2nd Quality</v>
      </c>
      <c r="AJ905">
        <f>((T905-X905)*2)/24.7</f>
        <v>22.8964753426734</v>
      </c>
      <c r="AK905">
        <f t="shared" si="101"/>
        <v>256170.809014085</v>
      </c>
    </row>
    <row r="906" spans="1:37">
      <c r="A906" t="s">
        <v>969</v>
      </c>
      <c r="B906">
        <v>26</v>
      </c>
      <c r="C906" t="s">
        <v>50</v>
      </c>
      <c r="D906" t="s">
        <v>60</v>
      </c>
      <c r="E906">
        <v>1318</v>
      </c>
      <c r="F906">
        <v>94</v>
      </c>
      <c r="G906">
        <v>2</v>
      </c>
      <c r="H906">
        <v>2007.99</v>
      </c>
      <c r="I906">
        <v>3844.96</v>
      </c>
      <c r="J906">
        <v>28</v>
      </c>
      <c r="K906">
        <v>0</v>
      </c>
      <c r="L906">
        <v>15.5</v>
      </c>
      <c r="M906">
        <v>55</v>
      </c>
      <c r="N906" t="s">
        <v>52</v>
      </c>
      <c r="O906" t="s">
        <v>47</v>
      </c>
      <c r="P906" t="s">
        <v>68</v>
      </c>
      <c r="R906">
        <f>SUMIF(A906:A5905,"C00905",I906:I5905)</f>
        <v>3844.96</v>
      </c>
      <c r="S906" s="1">
        <v>22786.06</v>
      </c>
      <c r="T906">
        <f t="shared" si="98"/>
        <v>137.32</v>
      </c>
      <c r="U906">
        <f t="shared" si="99"/>
        <v>1540</v>
      </c>
      <c r="V906">
        <f t="shared" si="102"/>
        <v>128.333333333333</v>
      </c>
      <c r="W906">
        <f t="shared" si="100"/>
        <v>1951.31666666667</v>
      </c>
      <c r="X906">
        <f t="shared" si="97"/>
        <v>0.656377770805632</v>
      </c>
      <c r="AH906" t="str">
        <f t="shared" si="96"/>
        <v>3rd Quality</v>
      </c>
      <c r="AJ906">
        <f>((T906-X906)*2)/15.5</f>
        <v>17.634015771509</v>
      </c>
      <c r="AK906">
        <f t="shared" si="101"/>
        <v>180987.76</v>
      </c>
    </row>
    <row r="907" spans="1:37">
      <c r="A907" t="s">
        <v>970</v>
      </c>
      <c r="B907">
        <v>27</v>
      </c>
      <c r="C907" t="s">
        <v>50</v>
      </c>
      <c r="D907" t="s">
        <v>60</v>
      </c>
      <c r="E907">
        <v>389</v>
      </c>
      <c r="F907">
        <v>29</v>
      </c>
      <c r="G907">
        <v>2</v>
      </c>
      <c r="H907">
        <v>11359.77</v>
      </c>
      <c r="I907">
        <v>22786.06</v>
      </c>
      <c r="J907">
        <v>17</v>
      </c>
      <c r="K907">
        <v>2</v>
      </c>
      <c r="L907">
        <v>6.8</v>
      </c>
      <c r="M907">
        <v>29.9</v>
      </c>
      <c r="N907" t="s">
        <v>63</v>
      </c>
      <c r="O907" t="s">
        <v>75</v>
      </c>
      <c r="P907" t="s">
        <v>68</v>
      </c>
      <c r="R907">
        <f>SUMIF(A907:A5906,"C00906",I907:I5906)</f>
        <v>22786.06</v>
      </c>
      <c r="S907" s="1">
        <v>60657.83</v>
      </c>
      <c r="T907">
        <f t="shared" si="98"/>
        <v>1340.35647058824</v>
      </c>
      <c r="U907">
        <f t="shared" si="99"/>
        <v>508.3</v>
      </c>
      <c r="V907">
        <f>U907*2</f>
        <v>1016.6</v>
      </c>
      <c r="W907">
        <f t="shared" si="100"/>
        <v>11382.2766666667</v>
      </c>
      <c r="X907">
        <f t="shared" si="97"/>
        <v>0.0342436510598366</v>
      </c>
      <c r="AH907" t="str">
        <f t="shared" si="96"/>
        <v>3rd Quality</v>
      </c>
      <c r="AJ907">
        <f>((T907-X907)*2)/6.8</f>
        <v>394.212419687406</v>
      </c>
      <c r="AK907">
        <f t="shared" si="101"/>
        <v>521398.667058824</v>
      </c>
    </row>
    <row r="908" spans="1:37">
      <c r="A908" t="s">
        <v>971</v>
      </c>
      <c r="B908">
        <v>36</v>
      </c>
      <c r="C908" t="s">
        <v>44</v>
      </c>
      <c r="D908" t="s">
        <v>60</v>
      </c>
      <c r="E908">
        <v>1233</v>
      </c>
      <c r="F908">
        <v>8</v>
      </c>
      <c r="G908">
        <v>3</v>
      </c>
      <c r="H908">
        <v>18302.16</v>
      </c>
      <c r="I908">
        <v>60657.83</v>
      </c>
      <c r="J908">
        <v>34</v>
      </c>
      <c r="K908">
        <v>0</v>
      </c>
      <c r="L908">
        <v>3.8</v>
      </c>
      <c r="M908">
        <v>40.2</v>
      </c>
      <c r="N908" t="s">
        <v>81</v>
      </c>
      <c r="O908" t="s">
        <v>47</v>
      </c>
      <c r="P908" t="s">
        <v>66</v>
      </c>
      <c r="R908">
        <f>SUMIF(A908:A5907,"C00907",I908:I5907)</f>
        <v>60657.83</v>
      </c>
      <c r="S908" s="1">
        <v>58806.42</v>
      </c>
      <c r="T908">
        <f t="shared" si="98"/>
        <v>1784.05382352941</v>
      </c>
      <c r="U908">
        <f t="shared" si="99"/>
        <v>1366.8</v>
      </c>
      <c r="V908">
        <f t="shared" si="102"/>
        <v>113.9</v>
      </c>
      <c r="W908">
        <f t="shared" si="100"/>
        <v>26320.33</v>
      </c>
      <c r="X908">
        <f t="shared" si="97"/>
        <v>0.0673690974180097</v>
      </c>
      <c r="AH908" t="str">
        <f t="shared" si="96"/>
        <v>2nd Quality</v>
      </c>
      <c r="AJ908">
        <f>((T908-X908)*2)/3.8</f>
        <v>938.940239174733</v>
      </c>
      <c r="AK908">
        <f t="shared" si="101"/>
        <v>2199738.36441176</v>
      </c>
    </row>
    <row r="909" spans="1:37">
      <c r="A909" t="s">
        <v>972</v>
      </c>
      <c r="B909">
        <v>26</v>
      </c>
      <c r="C909" t="s">
        <v>56</v>
      </c>
      <c r="D909" t="s">
        <v>51</v>
      </c>
      <c r="E909">
        <v>735</v>
      </c>
      <c r="F909">
        <v>15</v>
      </c>
      <c r="G909">
        <v>17</v>
      </c>
      <c r="H909">
        <v>3749.17</v>
      </c>
      <c r="I909">
        <v>58806.42</v>
      </c>
      <c r="J909">
        <v>60</v>
      </c>
      <c r="K909">
        <v>1</v>
      </c>
      <c r="L909">
        <v>13.3</v>
      </c>
      <c r="M909">
        <v>46.4</v>
      </c>
      <c r="N909" t="s">
        <v>46</v>
      </c>
      <c r="O909" t="s">
        <v>47</v>
      </c>
      <c r="P909" t="s">
        <v>66</v>
      </c>
      <c r="R909">
        <f>SUMIF(A909:A5908,"C00908",I909:I5908)</f>
        <v>58806.42</v>
      </c>
      <c r="S909" s="1">
        <v>8358.71</v>
      </c>
      <c r="T909">
        <f t="shared" si="98"/>
        <v>980.107</v>
      </c>
      <c r="U909">
        <f t="shared" si="99"/>
        <v>2784</v>
      </c>
      <c r="V909">
        <f>U909*1</f>
        <v>2784</v>
      </c>
      <c r="W909">
        <f t="shared" si="100"/>
        <v>20852.1966666667</v>
      </c>
      <c r="X909">
        <f t="shared" si="97"/>
        <v>0.196043390937194</v>
      </c>
      <c r="AH909" t="str">
        <f t="shared" si="96"/>
        <v>2nd Quality</v>
      </c>
      <c r="AJ909">
        <f>((T909-X909)*2)/13.3</f>
        <v>147.355031069032</v>
      </c>
      <c r="AK909">
        <f t="shared" si="101"/>
        <v>720378.645</v>
      </c>
    </row>
    <row r="910" spans="1:37">
      <c r="A910" t="s">
        <v>973</v>
      </c>
      <c r="B910">
        <v>20</v>
      </c>
      <c r="C910" t="s">
        <v>44</v>
      </c>
      <c r="D910" t="s">
        <v>45</v>
      </c>
      <c r="E910">
        <v>1140</v>
      </c>
      <c r="F910">
        <v>35</v>
      </c>
      <c r="G910">
        <v>8</v>
      </c>
      <c r="H910">
        <v>1178.44</v>
      </c>
      <c r="I910">
        <v>8358.71</v>
      </c>
      <c r="J910">
        <v>73</v>
      </c>
      <c r="K910">
        <v>0</v>
      </c>
      <c r="L910">
        <v>15.7</v>
      </c>
      <c r="M910">
        <v>67.4</v>
      </c>
      <c r="N910" t="s">
        <v>78</v>
      </c>
      <c r="O910" t="s">
        <v>47</v>
      </c>
      <c r="P910" t="s">
        <v>68</v>
      </c>
      <c r="R910">
        <f>SUMIF(A910:A5909,"C00909",I910:I5909)</f>
        <v>8358.71</v>
      </c>
      <c r="S910" s="1">
        <v>9249.39</v>
      </c>
      <c r="T910">
        <f t="shared" si="98"/>
        <v>114.502876712329</v>
      </c>
      <c r="U910">
        <f t="shared" si="99"/>
        <v>4920.2</v>
      </c>
      <c r="V910">
        <f t="shared" si="102"/>
        <v>410.016666666667</v>
      </c>
      <c r="W910">
        <f t="shared" si="100"/>
        <v>3179.38333333333</v>
      </c>
      <c r="X910">
        <f t="shared" si="97"/>
        <v>0.967380604867452</v>
      </c>
      <c r="AH910" t="str">
        <f t="shared" ref="AH910:AH973" si="103">IF(AND(W910&gt;=12550,B910&lt;=33,E910&gt;=915),"1st Quality",IF(AND(W910&gt;=6275,B910&lt;=43,E910&gt;=457),"2nd Quality","3rd Quality"))</f>
        <v>3rd Quality</v>
      </c>
      <c r="AJ910">
        <f>((T910-X910)*2)/15.7</f>
        <v>14.4631205232435</v>
      </c>
      <c r="AK910">
        <f t="shared" si="101"/>
        <v>130533.279452055</v>
      </c>
    </row>
    <row r="911" spans="1:37">
      <c r="A911" t="s">
        <v>974</v>
      </c>
      <c r="B911">
        <v>42</v>
      </c>
      <c r="C911" t="s">
        <v>50</v>
      </c>
      <c r="D911" t="s">
        <v>45</v>
      </c>
      <c r="E911">
        <v>940</v>
      </c>
      <c r="F911">
        <v>44</v>
      </c>
      <c r="G911">
        <v>6</v>
      </c>
      <c r="H911">
        <v>1588.38</v>
      </c>
      <c r="I911">
        <v>9249.39</v>
      </c>
      <c r="J911">
        <v>50</v>
      </c>
      <c r="K911">
        <v>0</v>
      </c>
      <c r="L911">
        <v>24.3</v>
      </c>
      <c r="M911">
        <v>24.4</v>
      </c>
      <c r="N911" t="s">
        <v>52</v>
      </c>
      <c r="O911" t="s">
        <v>47</v>
      </c>
      <c r="P911" t="s">
        <v>68</v>
      </c>
      <c r="R911">
        <f>SUMIF(A911:A5910,"C00910",I911:I5910)</f>
        <v>9249.39</v>
      </c>
      <c r="S911" s="1">
        <v>5924.16</v>
      </c>
      <c r="T911">
        <f t="shared" si="98"/>
        <v>184.9878</v>
      </c>
      <c r="U911">
        <f t="shared" si="99"/>
        <v>1220</v>
      </c>
      <c r="V911">
        <f t="shared" si="102"/>
        <v>101.666666666667</v>
      </c>
      <c r="W911">
        <f t="shared" si="100"/>
        <v>3612.92333333333</v>
      </c>
      <c r="X911">
        <f t="shared" si="97"/>
        <v>0.59179793248467</v>
      </c>
      <c r="AH911" t="str">
        <f t="shared" si="103"/>
        <v>3rd Quality</v>
      </c>
      <c r="AJ911">
        <f>((T911-X911)*2)/24.3</f>
        <v>15.1766256845692</v>
      </c>
      <c r="AK911">
        <f t="shared" si="101"/>
        <v>173888.532</v>
      </c>
    </row>
    <row r="912" spans="1:37">
      <c r="A912" t="s">
        <v>975</v>
      </c>
      <c r="B912">
        <v>24</v>
      </c>
      <c r="C912" t="s">
        <v>50</v>
      </c>
      <c r="D912" t="s">
        <v>60</v>
      </c>
      <c r="E912">
        <v>997</v>
      </c>
      <c r="F912">
        <v>26</v>
      </c>
      <c r="G912">
        <v>8</v>
      </c>
      <c r="H912">
        <v>721.88</v>
      </c>
      <c r="I912">
        <v>5924.16</v>
      </c>
      <c r="J912">
        <v>40</v>
      </c>
      <c r="K912">
        <v>0</v>
      </c>
      <c r="L912">
        <v>35.1</v>
      </c>
      <c r="M912">
        <v>40.4</v>
      </c>
      <c r="N912" t="s">
        <v>52</v>
      </c>
      <c r="O912" t="s">
        <v>47</v>
      </c>
      <c r="P912" t="s">
        <v>58</v>
      </c>
      <c r="R912">
        <f>SUMIF(A912:A5911,"C00911",I912:I5911)</f>
        <v>5924.16</v>
      </c>
      <c r="S912" s="1">
        <v>1163.25</v>
      </c>
      <c r="T912">
        <f t="shared" si="98"/>
        <v>148.104</v>
      </c>
      <c r="U912">
        <f t="shared" si="99"/>
        <v>1616</v>
      </c>
      <c r="V912">
        <f t="shared" si="102"/>
        <v>134.666666666667</v>
      </c>
      <c r="W912">
        <f t="shared" si="100"/>
        <v>2215.68</v>
      </c>
      <c r="X912">
        <f t="shared" si="97"/>
        <v>1.38111597495429</v>
      </c>
      <c r="AH912" t="str">
        <f t="shared" si="103"/>
        <v>3rd Quality</v>
      </c>
      <c r="AJ912">
        <f>((T912-X912)*2)/35.1</f>
        <v>8.3602782920254</v>
      </c>
      <c r="AK912">
        <f t="shared" si="101"/>
        <v>147659.688</v>
      </c>
    </row>
    <row r="913" spans="1:37">
      <c r="A913" t="s">
        <v>976</v>
      </c>
      <c r="B913">
        <v>27</v>
      </c>
      <c r="C913" t="s">
        <v>50</v>
      </c>
      <c r="D913" t="s">
        <v>60</v>
      </c>
      <c r="E913">
        <v>979</v>
      </c>
      <c r="F913">
        <v>267</v>
      </c>
      <c r="G913">
        <v>1</v>
      </c>
      <c r="H913">
        <v>1133.96</v>
      </c>
      <c r="I913">
        <v>1163.25</v>
      </c>
      <c r="J913">
        <v>8</v>
      </c>
      <c r="K913">
        <v>0</v>
      </c>
      <c r="L913">
        <v>18.7</v>
      </c>
      <c r="M913">
        <v>56.8</v>
      </c>
      <c r="N913" t="s">
        <v>57</v>
      </c>
      <c r="O913" t="s">
        <v>47</v>
      </c>
      <c r="P913" t="s">
        <v>58</v>
      </c>
      <c r="R913">
        <f>SUMIF(A913:A5912,"C00912",I913:I5912)</f>
        <v>1163.25</v>
      </c>
      <c r="S913" s="1">
        <v>2602.2</v>
      </c>
      <c r="T913">
        <f t="shared" si="98"/>
        <v>145.40625</v>
      </c>
      <c r="U913">
        <f t="shared" si="99"/>
        <v>454.4</v>
      </c>
      <c r="V913">
        <f t="shared" si="102"/>
        <v>37.8666666666667</v>
      </c>
      <c r="W913">
        <f t="shared" si="100"/>
        <v>766.07</v>
      </c>
      <c r="X913">
        <f t="shared" si="97"/>
        <v>0.863346149776006</v>
      </c>
      <c r="AH913" t="str">
        <f t="shared" si="103"/>
        <v>3rd Quality</v>
      </c>
      <c r="AJ913">
        <f>((T913-X913)*2)/18.7</f>
        <v>15.4591341016282</v>
      </c>
      <c r="AK913">
        <f t="shared" si="101"/>
        <v>142352.71875</v>
      </c>
    </row>
    <row r="914" spans="1:37">
      <c r="A914" t="s">
        <v>977</v>
      </c>
      <c r="B914">
        <v>25</v>
      </c>
      <c r="C914" t="s">
        <v>50</v>
      </c>
      <c r="D914" t="s">
        <v>60</v>
      </c>
      <c r="E914">
        <v>896</v>
      </c>
      <c r="F914">
        <v>24</v>
      </c>
      <c r="G914">
        <v>1</v>
      </c>
      <c r="H914">
        <v>2702.37</v>
      </c>
      <c r="I914">
        <v>2602.2</v>
      </c>
      <c r="J914">
        <v>13</v>
      </c>
      <c r="K914">
        <v>0</v>
      </c>
      <c r="L914">
        <v>18.7</v>
      </c>
      <c r="M914">
        <v>14.2</v>
      </c>
      <c r="N914" t="s">
        <v>57</v>
      </c>
      <c r="O914" t="s">
        <v>47</v>
      </c>
      <c r="P914" t="s">
        <v>58</v>
      </c>
      <c r="R914">
        <f>SUMIF(A914:A5913,"C00913",I914:I5913)</f>
        <v>2602.2</v>
      </c>
      <c r="S914" s="1">
        <v>1851.47</v>
      </c>
      <c r="T914">
        <f t="shared" si="98"/>
        <v>200.169230769231</v>
      </c>
      <c r="U914">
        <f t="shared" si="99"/>
        <v>184.6</v>
      </c>
      <c r="V914">
        <f t="shared" si="102"/>
        <v>15.3833333333333</v>
      </c>
      <c r="W914">
        <f t="shared" si="100"/>
        <v>1768.52333333333</v>
      </c>
      <c r="X914">
        <f t="shared" si="97"/>
        <v>0.331560815136343</v>
      </c>
      <c r="AH914" t="str">
        <f t="shared" si="103"/>
        <v>3rd Quality</v>
      </c>
      <c r="AJ914">
        <f>((T914-X914)*2)/18.7</f>
        <v>21.3730128293149</v>
      </c>
      <c r="AK914">
        <f t="shared" si="101"/>
        <v>179351.630769231</v>
      </c>
    </row>
    <row r="915" spans="1:37">
      <c r="A915" t="s">
        <v>978</v>
      </c>
      <c r="B915">
        <v>32</v>
      </c>
      <c r="C915" t="s">
        <v>50</v>
      </c>
      <c r="D915" t="s">
        <v>60</v>
      </c>
      <c r="E915">
        <v>854</v>
      </c>
      <c r="F915">
        <v>111</v>
      </c>
      <c r="G915">
        <v>1</v>
      </c>
      <c r="H915">
        <v>2082.58</v>
      </c>
      <c r="I915">
        <v>1851.47</v>
      </c>
      <c r="J915">
        <v>18</v>
      </c>
      <c r="K915">
        <v>1</v>
      </c>
      <c r="L915">
        <v>17.5</v>
      </c>
      <c r="M915">
        <v>44.6</v>
      </c>
      <c r="N915" t="s">
        <v>52</v>
      </c>
      <c r="O915" t="s">
        <v>47</v>
      </c>
      <c r="P915" t="s">
        <v>58</v>
      </c>
      <c r="R915">
        <f>SUMIF(A915:A5914,"C00914",I915:I5914)</f>
        <v>1851.47</v>
      </c>
      <c r="S915" s="1">
        <v>1844.41</v>
      </c>
      <c r="T915">
        <f t="shared" si="98"/>
        <v>102.859444444444</v>
      </c>
      <c r="U915">
        <f t="shared" si="99"/>
        <v>802.8</v>
      </c>
      <c r="V915">
        <f>U915*1</f>
        <v>802.8</v>
      </c>
      <c r="W915">
        <f t="shared" si="100"/>
        <v>1311.68333333333</v>
      </c>
      <c r="X915">
        <f t="shared" si="97"/>
        <v>0.410068280690298</v>
      </c>
      <c r="AH915" t="str">
        <f t="shared" si="103"/>
        <v>3rd Quality</v>
      </c>
      <c r="AJ915">
        <f>((T915-X915)*2)/17.5</f>
        <v>11.7085001330004</v>
      </c>
      <c r="AK915">
        <f t="shared" si="101"/>
        <v>87841.9655555556</v>
      </c>
    </row>
    <row r="916" spans="1:37">
      <c r="A916" t="s">
        <v>979</v>
      </c>
      <c r="B916">
        <v>37</v>
      </c>
      <c r="C916" t="s">
        <v>44</v>
      </c>
      <c r="D916" t="s">
        <v>60</v>
      </c>
      <c r="E916">
        <v>1431</v>
      </c>
      <c r="F916">
        <v>67</v>
      </c>
      <c r="G916">
        <v>2</v>
      </c>
      <c r="H916">
        <v>837.96</v>
      </c>
      <c r="I916">
        <v>1844.41</v>
      </c>
      <c r="J916">
        <v>15</v>
      </c>
      <c r="K916">
        <v>0</v>
      </c>
      <c r="L916">
        <v>20.7</v>
      </c>
      <c r="M916">
        <v>72.8</v>
      </c>
      <c r="N916" t="s">
        <v>52</v>
      </c>
      <c r="O916" t="s">
        <v>47</v>
      </c>
      <c r="P916" t="s">
        <v>68</v>
      </c>
      <c r="R916">
        <f>SUMIF(A916:A5915,"C00915",I916:I5915)</f>
        <v>1844.41</v>
      </c>
      <c r="S916" s="1">
        <v>1311.62</v>
      </c>
      <c r="T916">
        <f t="shared" si="98"/>
        <v>122.960666666667</v>
      </c>
      <c r="U916">
        <f t="shared" si="99"/>
        <v>1092</v>
      </c>
      <c r="V916">
        <f t="shared" si="102"/>
        <v>91</v>
      </c>
      <c r="W916">
        <f t="shared" si="100"/>
        <v>894.456666666667</v>
      </c>
      <c r="X916">
        <f t="shared" si="97"/>
        <v>1.70771874552485</v>
      </c>
      <c r="AH916" t="str">
        <f t="shared" si="103"/>
        <v>3rd Quality</v>
      </c>
      <c r="AJ916">
        <f>((T916-X916)*2)/20.7</f>
        <v>11.7152606687094</v>
      </c>
      <c r="AK916">
        <f t="shared" si="101"/>
        <v>175956.714</v>
      </c>
    </row>
    <row r="917" spans="1:37">
      <c r="A917" t="s">
        <v>980</v>
      </c>
      <c r="B917">
        <v>28</v>
      </c>
      <c r="C917" t="s">
        <v>50</v>
      </c>
      <c r="D917" t="s">
        <v>60</v>
      </c>
      <c r="E917">
        <v>1421</v>
      </c>
      <c r="F917">
        <v>205</v>
      </c>
      <c r="G917">
        <v>1</v>
      </c>
      <c r="H917">
        <v>1311.06</v>
      </c>
      <c r="I917">
        <v>1311.62</v>
      </c>
      <c r="J917">
        <v>10</v>
      </c>
      <c r="K917">
        <v>0</v>
      </c>
      <c r="L917">
        <v>14.5</v>
      </c>
      <c r="M917">
        <v>1.4</v>
      </c>
      <c r="N917" t="s">
        <v>78</v>
      </c>
      <c r="O917" t="s">
        <v>75</v>
      </c>
      <c r="P917" t="s">
        <v>58</v>
      </c>
      <c r="R917">
        <f>SUMIF(A917:A5916,"C00916",I917:I5916)</f>
        <v>1311.62</v>
      </c>
      <c r="S917" s="1">
        <v>136525.08</v>
      </c>
      <c r="T917">
        <f t="shared" si="98"/>
        <v>131.162</v>
      </c>
      <c r="U917">
        <f t="shared" si="99"/>
        <v>14</v>
      </c>
      <c r="V917">
        <f t="shared" si="102"/>
        <v>1.16666666666667</v>
      </c>
      <c r="W917">
        <f t="shared" si="100"/>
        <v>874.56</v>
      </c>
      <c r="X917">
        <f t="shared" si="97"/>
        <v>1.08385581132824</v>
      </c>
      <c r="AH917" t="str">
        <f t="shared" si="103"/>
        <v>3rd Quality</v>
      </c>
      <c r="AJ917">
        <f>((T917-X917)*2)/14.5</f>
        <v>17.9418129915409</v>
      </c>
      <c r="AK917">
        <f t="shared" si="101"/>
        <v>186381.202</v>
      </c>
    </row>
    <row r="918" spans="1:37">
      <c r="A918" t="s">
        <v>981</v>
      </c>
      <c r="B918">
        <v>39</v>
      </c>
      <c r="C918" t="s">
        <v>44</v>
      </c>
      <c r="D918" t="s">
        <v>51</v>
      </c>
      <c r="E918">
        <v>1011</v>
      </c>
      <c r="F918">
        <v>23</v>
      </c>
      <c r="G918">
        <v>30</v>
      </c>
      <c r="H918">
        <v>4267.61</v>
      </c>
      <c r="I918">
        <v>136525.08</v>
      </c>
      <c r="J918">
        <v>190</v>
      </c>
      <c r="K918">
        <v>1</v>
      </c>
      <c r="L918">
        <v>8.1</v>
      </c>
      <c r="M918">
        <v>43.2</v>
      </c>
      <c r="N918" t="s">
        <v>63</v>
      </c>
      <c r="O918" t="s">
        <v>53</v>
      </c>
      <c r="P918" t="s">
        <v>58</v>
      </c>
      <c r="R918">
        <f>SUMIF(A918:A5917,"C00917",I918:I5917)</f>
        <v>136525.08</v>
      </c>
      <c r="S918" s="1">
        <v>36174.92</v>
      </c>
      <c r="T918">
        <f t="shared" si="98"/>
        <v>718.553052631579</v>
      </c>
      <c r="U918">
        <f t="shared" si="99"/>
        <v>8208</v>
      </c>
      <c r="V918">
        <f>U918*1</f>
        <v>8208</v>
      </c>
      <c r="W918">
        <f t="shared" si="100"/>
        <v>46931.23</v>
      </c>
      <c r="X918">
        <f t="shared" si="97"/>
        <v>0.236900747725308</v>
      </c>
      <c r="AH918" t="str">
        <f t="shared" si="103"/>
        <v>2nd Quality</v>
      </c>
      <c r="AJ918">
        <f>((T918-X918)*2)/8.1</f>
        <v>177.362012810828</v>
      </c>
      <c r="AK918">
        <f t="shared" si="101"/>
        <v>726457.136210526</v>
      </c>
    </row>
    <row r="919" spans="1:37">
      <c r="A919" t="s">
        <v>982</v>
      </c>
      <c r="B919">
        <v>29</v>
      </c>
      <c r="C919" t="s">
        <v>44</v>
      </c>
      <c r="D919" t="s">
        <v>45</v>
      </c>
      <c r="E919">
        <v>531</v>
      </c>
      <c r="F919">
        <v>14</v>
      </c>
      <c r="G919">
        <v>21</v>
      </c>
      <c r="H919">
        <v>1766.32</v>
      </c>
      <c r="I919">
        <v>36174.92</v>
      </c>
      <c r="J919">
        <v>108</v>
      </c>
      <c r="K919">
        <v>3</v>
      </c>
      <c r="L919">
        <v>2.7</v>
      </c>
      <c r="M919">
        <v>33.6</v>
      </c>
      <c r="N919" t="s">
        <v>61</v>
      </c>
      <c r="O919" t="s">
        <v>47</v>
      </c>
      <c r="P919" t="s">
        <v>58</v>
      </c>
      <c r="R919">
        <f>SUMIF(A919:A5918,"C00918",I919:I5918)</f>
        <v>36174.92</v>
      </c>
      <c r="S919" s="1">
        <v>7663.28</v>
      </c>
      <c r="T919">
        <f t="shared" si="98"/>
        <v>334.952962962963</v>
      </c>
      <c r="U919">
        <f t="shared" si="99"/>
        <v>3628.8</v>
      </c>
      <c r="V919">
        <f>U919*3</f>
        <v>10886.4</v>
      </c>
      <c r="W919">
        <f t="shared" si="100"/>
        <v>12647.4133333333</v>
      </c>
      <c r="X919">
        <f t="shared" si="97"/>
        <v>0.300625028307441</v>
      </c>
      <c r="AH919" t="str">
        <f t="shared" si="103"/>
        <v>2nd Quality</v>
      </c>
      <c r="AJ919">
        <f>((T919-X919)*2)/2.7</f>
        <v>247.890620692337</v>
      </c>
      <c r="AK919">
        <f t="shared" si="101"/>
        <v>177860.023333333</v>
      </c>
    </row>
    <row r="920" spans="1:37">
      <c r="A920" t="s">
        <v>983</v>
      </c>
      <c r="B920">
        <v>36</v>
      </c>
      <c r="C920" t="s">
        <v>44</v>
      </c>
      <c r="D920" t="s">
        <v>60</v>
      </c>
      <c r="E920">
        <v>427</v>
      </c>
      <c r="F920">
        <v>92</v>
      </c>
      <c r="G920">
        <v>7</v>
      </c>
      <c r="H920">
        <v>1014.09</v>
      </c>
      <c r="I920">
        <v>7663.28</v>
      </c>
      <c r="J920">
        <v>48</v>
      </c>
      <c r="K920">
        <v>1</v>
      </c>
      <c r="L920">
        <v>20.1</v>
      </c>
      <c r="M920">
        <v>29.2</v>
      </c>
      <c r="N920" t="s">
        <v>81</v>
      </c>
      <c r="O920" t="s">
        <v>47</v>
      </c>
      <c r="P920" t="s">
        <v>58</v>
      </c>
      <c r="R920">
        <f>SUMIF(A920:A5919,"C00919",I920:I5919)</f>
        <v>7663.28</v>
      </c>
      <c r="S920" s="1">
        <v>111614.59</v>
      </c>
      <c r="T920">
        <f t="shared" si="98"/>
        <v>159.651666666667</v>
      </c>
      <c r="U920">
        <f t="shared" si="99"/>
        <v>1401.6</v>
      </c>
      <c r="V920">
        <f>U920*1</f>
        <v>1401.6</v>
      </c>
      <c r="W920">
        <f t="shared" si="100"/>
        <v>2892.79</v>
      </c>
      <c r="X920">
        <f t="shared" si="97"/>
        <v>0.421067163663975</v>
      </c>
      <c r="AH920" t="str">
        <f t="shared" si="103"/>
        <v>3rd Quality</v>
      </c>
      <c r="AJ920">
        <f>((T920-X920)*2)/20.1</f>
        <v>15.8438407465675</v>
      </c>
      <c r="AK920">
        <f t="shared" si="101"/>
        <v>68171.2616666667</v>
      </c>
    </row>
    <row r="921" spans="1:37">
      <c r="A921" t="s">
        <v>984</v>
      </c>
      <c r="B921">
        <v>48</v>
      </c>
      <c r="C921" t="s">
        <v>50</v>
      </c>
      <c r="D921" t="s">
        <v>45</v>
      </c>
      <c r="E921">
        <v>1458</v>
      </c>
      <c r="F921">
        <v>30</v>
      </c>
      <c r="G921">
        <v>4</v>
      </c>
      <c r="H921">
        <v>26119.06</v>
      </c>
      <c r="I921">
        <v>111614.59</v>
      </c>
      <c r="J921">
        <v>30</v>
      </c>
      <c r="K921">
        <v>0</v>
      </c>
      <c r="L921">
        <v>0</v>
      </c>
      <c r="M921">
        <v>40.3</v>
      </c>
      <c r="N921" t="s">
        <v>81</v>
      </c>
      <c r="O921" t="s">
        <v>53</v>
      </c>
      <c r="P921" t="s">
        <v>68</v>
      </c>
      <c r="R921">
        <f>SUMIF(A921:A5920,"C00920",I921:I5920)</f>
        <v>111614.59</v>
      </c>
      <c r="S921" s="1">
        <v>66238.33</v>
      </c>
      <c r="T921">
        <f t="shared" si="98"/>
        <v>3720.48633333333</v>
      </c>
      <c r="U921">
        <f t="shared" si="99"/>
        <v>1209</v>
      </c>
      <c r="V921">
        <f t="shared" si="102"/>
        <v>100.75</v>
      </c>
      <c r="W921">
        <f t="shared" si="100"/>
        <v>45911.55</v>
      </c>
      <c r="X921">
        <f t="shared" si="97"/>
        <v>0.0558213044420435</v>
      </c>
      <c r="AH921" t="str">
        <f t="shared" si="103"/>
        <v>3rd Quality</v>
      </c>
      <c r="AJ921">
        <f>((T921-X921)*2)</f>
        <v>7440.86102405778</v>
      </c>
      <c r="AK921">
        <f t="shared" si="101"/>
        <v>5424469.074</v>
      </c>
    </row>
    <row r="922" spans="1:37">
      <c r="A922" t="s">
        <v>985</v>
      </c>
      <c r="B922">
        <v>29</v>
      </c>
      <c r="C922" t="s">
        <v>44</v>
      </c>
      <c r="D922" t="s">
        <v>51</v>
      </c>
      <c r="E922">
        <v>571</v>
      </c>
      <c r="F922">
        <v>16</v>
      </c>
      <c r="G922">
        <v>26</v>
      </c>
      <c r="H922">
        <v>2821.7</v>
      </c>
      <c r="I922">
        <v>66238.33</v>
      </c>
      <c r="J922">
        <v>86</v>
      </c>
      <c r="K922">
        <v>1</v>
      </c>
      <c r="L922">
        <v>9.2</v>
      </c>
      <c r="M922">
        <v>50.6</v>
      </c>
      <c r="N922" t="s">
        <v>46</v>
      </c>
      <c r="O922" t="s">
        <v>47</v>
      </c>
      <c r="P922" t="s">
        <v>54</v>
      </c>
      <c r="R922">
        <f>SUMIF(A922:A5921,"C00921",I922:I5921)</f>
        <v>66238.33</v>
      </c>
      <c r="S922" s="1">
        <v>5722.43</v>
      </c>
      <c r="T922">
        <f t="shared" si="98"/>
        <v>770.213139534884</v>
      </c>
      <c r="U922">
        <f t="shared" si="99"/>
        <v>4351.6</v>
      </c>
      <c r="V922">
        <f>U922*1</f>
        <v>4351.6</v>
      </c>
      <c r="W922">
        <f t="shared" si="100"/>
        <v>23020.3433333333</v>
      </c>
      <c r="X922">
        <f t="shared" si="97"/>
        <v>0.202360279264273</v>
      </c>
      <c r="AH922" t="str">
        <f t="shared" si="103"/>
        <v>2nd Quality</v>
      </c>
      <c r="AJ922">
        <f>((T922-X922)*2)/9.2</f>
        <v>167.393647664265</v>
      </c>
      <c r="AK922">
        <f t="shared" si="101"/>
        <v>439791.702674419</v>
      </c>
    </row>
    <row r="923" spans="1:37">
      <c r="A923" t="s">
        <v>986</v>
      </c>
      <c r="B923">
        <v>37</v>
      </c>
      <c r="C923" t="s">
        <v>50</v>
      </c>
      <c r="D923" t="s">
        <v>60</v>
      </c>
      <c r="E923">
        <v>1124</v>
      </c>
      <c r="F923">
        <v>182</v>
      </c>
      <c r="G923">
        <v>5</v>
      </c>
      <c r="H923">
        <v>1282.62</v>
      </c>
      <c r="I923">
        <v>5722.43</v>
      </c>
      <c r="J923">
        <v>38</v>
      </c>
      <c r="K923">
        <v>1</v>
      </c>
      <c r="L923">
        <v>33.3</v>
      </c>
      <c r="M923">
        <v>12.2</v>
      </c>
      <c r="N923" t="s">
        <v>61</v>
      </c>
      <c r="O923" t="s">
        <v>47</v>
      </c>
      <c r="P923" t="s">
        <v>58</v>
      </c>
      <c r="R923">
        <f>SUMIF(A923:A5922,"C00922",I923:I5922)</f>
        <v>5722.43</v>
      </c>
      <c r="S923" s="1">
        <v>46164.56</v>
      </c>
      <c r="T923">
        <f t="shared" si="98"/>
        <v>150.590263157895</v>
      </c>
      <c r="U923">
        <f t="shared" si="99"/>
        <v>463.6</v>
      </c>
      <c r="V923">
        <f>U923*1</f>
        <v>463.6</v>
      </c>
      <c r="W923">
        <f t="shared" si="100"/>
        <v>2335.35</v>
      </c>
      <c r="X923">
        <f t="shared" si="97"/>
        <v>0.876331259453307</v>
      </c>
      <c r="AH923" t="str">
        <f t="shared" si="103"/>
        <v>3rd Quality</v>
      </c>
      <c r="AJ923">
        <f>((T923-X923)*2)/33.3</f>
        <v>8.99182774164815</v>
      </c>
      <c r="AK923">
        <f t="shared" si="101"/>
        <v>169263.455789474</v>
      </c>
    </row>
    <row r="924" spans="1:37">
      <c r="A924" t="s">
        <v>987</v>
      </c>
      <c r="B924">
        <v>47</v>
      </c>
      <c r="C924" t="s">
        <v>44</v>
      </c>
      <c r="D924" t="s">
        <v>60</v>
      </c>
      <c r="E924">
        <v>1145</v>
      </c>
      <c r="F924">
        <v>57</v>
      </c>
      <c r="G924">
        <v>3</v>
      </c>
      <c r="H924">
        <v>16801.52</v>
      </c>
      <c r="I924">
        <v>46164.56</v>
      </c>
      <c r="J924">
        <v>26</v>
      </c>
      <c r="K924">
        <v>0</v>
      </c>
      <c r="L924">
        <v>5.5</v>
      </c>
      <c r="M924">
        <v>16</v>
      </c>
      <c r="N924" t="s">
        <v>52</v>
      </c>
      <c r="O924" t="s">
        <v>75</v>
      </c>
      <c r="P924" t="s">
        <v>58</v>
      </c>
      <c r="R924">
        <f>SUMIF(A924:A5923,"C00923",I924:I5923)</f>
        <v>46164.56</v>
      </c>
      <c r="S924" s="1">
        <v>28990.95</v>
      </c>
      <c r="T924">
        <f t="shared" si="98"/>
        <v>1775.56</v>
      </c>
      <c r="U924">
        <f t="shared" si="99"/>
        <v>416</v>
      </c>
      <c r="V924">
        <f t="shared" si="102"/>
        <v>34.6666666666667</v>
      </c>
      <c r="W924">
        <f t="shared" si="100"/>
        <v>20989.0266666667</v>
      </c>
      <c r="X924">
        <f t="shared" si="97"/>
        <v>0.0681485960794023</v>
      </c>
      <c r="AH924" t="str">
        <f t="shared" si="103"/>
        <v>3rd Quality</v>
      </c>
      <c r="AJ924">
        <f>((T924-X924)*2)/5.5</f>
        <v>645.633400510516</v>
      </c>
      <c r="AK924">
        <f t="shared" si="101"/>
        <v>2033016.2</v>
      </c>
    </row>
    <row r="925" spans="1:37">
      <c r="A925" t="s">
        <v>988</v>
      </c>
      <c r="B925">
        <v>25</v>
      </c>
      <c r="C925" t="s">
        <v>50</v>
      </c>
      <c r="D925" t="s">
        <v>45</v>
      </c>
      <c r="E925">
        <v>1270</v>
      </c>
      <c r="F925">
        <v>7</v>
      </c>
      <c r="G925">
        <v>4</v>
      </c>
      <c r="H925">
        <v>6726.55</v>
      </c>
      <c r="I925">
        <v>28990.95</v>
      </c>
      <c r="J925">
        <v>16</v>
      </c>
      <c r="K925">
        <v>0</v>
      </c>
      <c r="L925">
        <v>12.4</v>
      </c>
      <c r="M925">
        <v>32.7</v>
      </c>
      <c r="N925" t="s">
        <v>63</v>
      </c>
      <c r="O925" t="s">
        <v>53</v>
      </c>
      <c r="P925" t="s">
        <v>68</v>
      </c>
      <c r="R925">
        <f>SUMIF(A925:A5924,"C00924",I925:I5924)</f>
        <v>28990.95</v>
      </c>
      <c r="S925" s="1">
        <v>70244.96</v>
      </c>
      <c r="T925">
        <f t="shared" si="98"/>
        <v>1811.934375</v>
      </c>
      <c r="U925">
        <f t="shared" si="99"/>
        <v>523.2</v>
      </c>
      <c r="V925">
        <f t="shared" si="102"/>
        <v>43.6</v>
      </c>
      <c r="W925">
        <f t="shared" si="100"/>
        <v>11906.1666666667</v>
      </c>
      <c r="X925">
        <f t="shared" si="97"/>
        <v>0.188804067464005</v>
      </c>
      <c r="AH925" t="str">
        <f t="shared" si="103"/>
        <v>2nd Quality</v>
      </c>
      <c r="AJ925">
        <f>((T925-X925)*2)/12.4</f>
        <v>292.217027569764</v>
      </c>
      <c r="AK925">
        <f t="shared" si="101"/>
        <v>2301156.65625</v>
      </c>
    </row>
    <row r="926" spans="1:37">
      <c r="A926" t="s">
        <v>989</v>
      </c>
      <c r="B926">
        <v>18</v>
      </c>
      <c r="C926" t="s">
        <v>44</v>
      </c>
      <c r="D926" t="s">
        <v>45</v>
      </c>
      <c r="E926">
        <v>704</v>
      </c>
      <c r="F926">
        <v>4</v>
      </c>
      <c r="G926">
        <v>21</v>
      </c>
      <c r="H926">
        <v>3540.86</v>
      </c>
      <c r="I926">
        <v>70244.96</v>
      </c>
      <c r="J926">
        <v>72</v>
      </c>
      <c r="K926">
        <v>1</v>
      </c>
      <c r="L926">
        <v>18.3</v>
      </c>
      <c r="M926">
        <v>31.7</v>
      </c>
      <c r="N926" t="s">
        <v>61</v>
      </c>
      <c r="O926" t="s">
        <v>47</v>
      </c>
      <c r="P926" t="s">
        <v>66</v>
      </c>
      <c r="R926">
        <f>SUMIF(A926:A5925,"C00925",I926:I5925)</f>
        <v>70244.96</v>
      </c>
      <c r="S926" s="1">
        <v>23024.7</v>
      </c>
      <c r="T926">
        <f t="shared" si="98"/>
        <v>975.624444444445</v>
      </c>
      <c r="U926">
        <f t="shared" si="99"/>
        <v>2282.4</v>
      </c>
      <c r="V926">
        <f>U926*1</f>
        <v>2282.4</v>
      </c>
      <c r="W926">
        <f t="shared" si="100"/>
        <v>24595.6066666667</v>
      </c>
      <c r="X926">
        <f t="shared" si="97"/>
        <v>0.198821755166824</v>
      </c>
      <c r="AH926" t="str">
        <f t="shared" si="103"/>
        <v>2nd Quality</v>
      </c>
      <c r="AJ926">
        <f>((T926-X926)*2)/18.3</f>
        <v>106.603893190085</v>
      </c>
      <c r="AK926">
        <f t="shared" si="101"/>
        <v>686839.608888889</v>
      </c>
    </row>
    <row r="927" spans="1:37">
      <c r="A927" t="s">
        <v>990</v>
      </c>
      <c r="B927">
        <v>33</v>
      </c>
      <c r="C927" t="s">
        <v>44</v>
      </c>
      <c r="D927" t="s">
        <v>45</v>
      </c>
      <c r="E927">
        <v>1062</v>
      </c>
      <c r="F927">
        <v>64</v>
      </c>
      <c r="G927">
        <v>8</v>
      </c>
      <c r="H927">
        <v>2951.92</v>
      </c>
      <c r="I927">
        <v>23024.7</v>
      </c>
      <c r="J927">
        <v>76</v>
      </c>
      <c r="K927">
        <v>0</v>
      </c>
      <c r="L927">
        <v>21.9</v>
      </c>
      <c r="M927">
        <v>26.7</v>
      </c>
      <c r="N927" t="s">
        <v>52</v>
      </c>
      <c r="O927" t="s">
        <v>53</v>
      </c>
      <c r="P927" t="s">
        <v>68</v>
      </c>
      <c r="R927">
        <f>SUMIF(A927:A5926,"C00926",I927:I5926)</f>
        <v>23024.7</v>
      </c>
      <c r="S927" s="1">
        <v>89291.1</v>
      </c>
      <c r="T927">
        <f t="shared" si="98"/>
        <v>302.956578947368</v>
      </c>
      <c r="U927">
        <f t="shared" si="99"/>
        <v>2029.2</v>
      </c>
      <c r="V927">
        <f t="shared" si="102"/>
        <v>169.1</v>
      </c>
      <c r="W927">
        <f t="shared" si="100"/>
        <v>8659.20666666667</v>
      </c>
      <c r="X927">
        <f t="shared" si="97"/>
        <v>0.359765847312935</v>
      </c>
      <c r="AH927" t="str">
        <f t="shared" si="103"/>
        <v>2nd Quality</v>
      </c>
      <c r="AJ927">
        <f>((T927-X927)*2)/21.9</f>
        <v>27.6344121552562</v>
      </c>
      <c r="AK927">
        <f t="shared" si="101"/>
        <v>321739.886842105</v>
      </c>
    </row>
    <row r="928" spans="1:37">
      <c r="A928" t="s">
        <v>991</v>
      </c>
      <c r="B928">
        <v>38</v>
      </c>
      <c r="C928" t="s">
        <v>44</v>
      </c>
      <c r="D928" t="s">
        <v>60</v>
      </c>
      <c r="E928">
        <v>867</v>
      </c>
      <c r="F928">
        <v>26</v>
      </c>
      <c r="G928">
        <v>23</v>
      </c>
      <c r="H928">
        <v>3810.54</v>
      </c>
      <c r="I928">
        <v>89291.1</v>
      </c>
      <c r="J928">
        <v>194</v>
      </c>
      <c r="K928">
        <v>1</v>
      </c>
      <c r="L928">
        <v>2</v>
      </c>
      <c r="M928">
        <v>42.6</v>
      </c>
      <c r="N928" t="s">
        <v>81</v>
      </c>
      <c r="O928" t="s">
        <v>75</v>
      </c>
      <c r="P928" t="s">
        <v>68</v>
      </c>
      <c r="R928">
        <f>SUMIF(A928:A5927,"C00927",I928:I5927)</f>
        <v>89291.1</v>
      </c>
      <c r="S928" s="1">
        <v>6493.45</v>
      </c>
      <c r="T928">
        <f t="shared" si="98"/>
        <v>460.263402061856</v>
      </c>
      <c r="U928">
        <f t="shared" si="99"/>
        <v>8264.4</v>
      </c>
      <c r="V928">
        <f>U928*1</f>
        <v>8264.4</v>
      </c>
      <c r="W928">
        <f t="shared" si="100"/>
        <v>31034.2133333333</v>
      </c>
      <c r="X928">
        <f t="shared" si="97"/>
        <v>0.227526807224173</v>
      </c>
      <c r="AH928" t="str">
        <f t="shared" si="103"/>
        <v>2nd Quality</v>
      </c>
      <c r="AJ928">
        <f>((T928-X928)*2)/2</f>
        <v>460.035875254632</v>
      </c>
      <c r="AK928">
        <f t="shared" si="101"/>
        <v>399048.369587629</v>
      </c>
    </row>
    <row r="929" spans="1:37">
      <c r="A929" t="s">
        <v>992</v>
      </c>
      <c r="B929">
        <v>40</v>
      </c>
      <c r="C929" t="s">
        <v>44</v>
      </c>
      <c r="D929" t="s">
        <v>60</v>
      </c>
      <c r="E929">
        <v>604</v>
      </c>
      <c r="F929">
        <v>38</v>
      </c>
      <c r="G929">
        <v>3</v>
      </c>
      <c r="H929">
        <v>2088.36</v>
      </c>
      <c r="I929">
        <v>6493.45</v>
      </c>
      <c r="J929">
        <v>18</v>
      </c>
      <c r="K929">
        <v>1</v>
      </c>
      <c r="L929">
        <v>36.6</v>
      </c>
      <c r="M929">
        <v>7.8</v>
      </c>
      <c r="N929" t="s">
        <v>78</v>
      </c>
      <c r="O929" t="s">
        <v>47</v>
      </c>
      <c r="P929" t="s">
        <v>58</v>
      </c>
      <c r="R929">
        <f>SUMIF(A929:A5928,"C00928",I929:I5928)</f>
        <v>6493.45</v>
      </c>
      <c r="S929" s="1">
        <v>29304.32</v>
      </c>
      <c r="T929">
        <f t="shared" si="98"/>
        <v>360.747222222222</v>
      </c>
      <c r="U929">
        <f t="shared" si="99"/>
        <v>140.4</v>
      </c>
      <c r="V929">
        <f>U929*1</f>
        <v>140.4</v>
      </c>
      <c r="W929">
        <f t="shared" si="100"/>
        <v>2860.93666666667</v>
      </c>
      <c r="X929">
        <f t="shared" si="97"/>
        <v>0.289222164760865</v>
      </c>
      <c r="AH929" t="str">
        <f t="shared" si="103"/>
        <v>3rd Quality</v>
      </c>
      <c r="AJ929">
        <f>((T929-X929)*2)/36.6</f>
        <v>19.6971584730853</v>
      </c>
      <c r="AK929">
        <f t="shared" si="101"/>
        <v>217891.322222222</v>
      </c>
    </row>
    <row r="930" spans="1:37">
      <c r="A930" t="s">
        <v>993</v>
      </c>
      <c r="B930">
        <v>32</v>
      </c>
      <c r="C930" t="s">
        <v>56</v>
      </c>
      <c r="D930" t="s">
        <v>45</v>
      </c>
      <c r="E930">
        <v>1164</v>
      </c>
      <c r="F930">
        <v>14</v>
      </c>
      <c r="G930">
        <v>4</v>
      </c>
      <c r="H930">
        <v>7457.89</v>
      </c>
      <c r="I930">
        <v>29304.32</v>
      </c>
      <c r="J930">
        <v>29</v>
      </c>
      <c r="K930">
        <v>0</v>
      </c>
      <c r="L930">
        <v>12.2</v>
      </c>
      <c r="M930">
        <v>36.9</v>
      </c>
      <c r="N930" t="s">
        <v>46</v>
      </c>
      <c r="O930" t="s">
        <v>47</v>
      </c>
      <c r="P930" t="s">
        <v>58</v>
      </c>
      <c r="R930">
        <f>SUMIF(A930:A5929,"C00929",I930:I5929)</f>
        <v>29304.32</v>
      </c>
      <c r="S930" s="1">
        <v>4986.39</v>
      </c>
      <c r="T930">
        <f t="shared" si="98"/>
        <v>1010.49379310345</v>
      </c>
      <c r="U930">
        <f t="shared" si="99"/>
        <v>1070.1</v>
      </c>
      <c r="V930">
        <f t="shared" si="102"/>
        <v>89.175</v>
      </c>
      <c r="W930">
        <f t="shared" si="100"/>
        <v>12254.4033333333</v>
      </c>
      <c r="X930">
        <f t="shared" si="97"/>
        <v>0.156076316491662</v>
      </c>
      <c r="AH930" t="str">
        <f t="shared" si="103"/>
        <v>2nd Quality</v>
      </c>
      <c r="AJ930">
        <f>((T930-X930)*2)/12.2</f>
        <v>165.629133899501</v>
      </c>
      <c r="AK930">
        <f t="shared" si="101"/>
        <v>1176214.77517241</v>
      </c>
    </row>
    <row r="931" spans="1:37">
      <c r="A931" t="s">
        <v>994</v>
      </c>
      <c r="B931">
        <v>34</v>
      </c>
      <c r="C931" t="s">
        <v>44</v>
      </c>
      <c r="D931" t="s">
        <v>45</v>
      </c>
      <c r="E931">
        <v>1188</v>
      </c>
      <c r="F931">
        <v>134</v>
      </c>
      <c r="G931">
        <v>3</v>
      </c>
      <c r="H931">
        <v>1682.66</v>
      </c>
      <c r="I931">
        <v>4986.39</v>
      </c>
      <c r="J931">
        <v>24</v>
      </c>
      <c r="K931">
        <v>0</v>
      </c>
      <c r="L931">
        <v>32.1</v>
      </c>
      <c r="M931">
        <v>10.9</v>
      </c>
      <c r="N931" t="s">
        <v>57</v>
      </c>
      <c r="O931" t="s">
        <v>47</v>
      </c>
      <c r="P931" t="s">
        <v>58</v>
      </c>
      <c r="R931">
        <f>SUMIF(A931:A5930,"C00930",I931:I5930)</f>
        <v>4986.39</v>
      </c>
      <c r="S931" s="1">
        <v>9117.78</v>
      </c>
      <c r="T931">
        <f t="shared" si="98"/>
        <v>207.76625</v>
      </c>
      <c r="U931">
        <f t="shared" si="99"/>
        <v>261.6</v>
      </c>
      <c r="V931">
        <f t="shared" si="102"/>
        <v>21.8</v>
      </c>
      <c r="W931">
        <f t="shared" si="100"/>
        <v>2223.35</v>
      </c>
      <c r="X931">
        <f t="shared" si="97"/>
        <v>0.706024984251126</v>
      </c>
      <c r="AH931" t="str">
        <f t="shared" si="103"/>
        <v>3rd Quality</v>
      </c>
      <c r="AJ931">
        <f>((T931-X931)*2)/32.1</f>
        <v>12.9009485991121</v>
      </c>
      <c r="AK931">
        <f t="shared" si="101"/>
        <v>246826.305</v>
      </c>
    </row>
    <row r="932" spans="1:37">
      <c r="A932" t="s">
        <v>995</v>
      </c>
      <c r="B932">
        <v>30</v>
      </c>
      <c r="C932" t="s">
        <v>44</v>
      </c>
      <c r="D932" t="s">
        <v>60</v>
      </c>
      <c r="E932">
        <v>935</v>
      </c>
      <c r="F932">
        <v>23</v>
      </c>
      <c r="G932">
        <v>7</v>
      </c>
      <c r="H932">
        <v>1358.58</v>
      </c>
      <c r="I932">
        <v>9117.78</v>
      </c>
      <c r="J932">
        <v>59</v>
      </c>
      <c r="K932">
        <v>2</v>
      </c>
      <c r="L932">
        <v>18.3</v>
      </c>
      <c r="M932">
        <v>16</v>
      </c>
      <c r="N932" t="s">
        <v>57</v>
      </c>
      <c r="O932" t="s">
        <v>47</v>
      </c>
      <c r="P932" t="s">
        <v>54</v>
      </c>
      <c r="R932">
        <f>SUMIF(A932:A5931,"C00931",I932:I5931)</f>
        <v>9117.78</v>
      </c>
      <c r="S932" s="1">
        <v>3227.69</v>
      </c>
      <c r="T932">
        <f t="shared" si="98"/>
        <v>154.538644067797</v>
      </c>
      <c r="U932">
        <f t="shared" si="99"/>
        <v>944</v>
      </c>
      <c r="V932">
        <f>U932*2</f>
        <v>1888</v>
      </c>
      <c r="W932">
        <f t="shared" si="100"/>
        <v>3492.45333333333</v>
      </c>
      <c r="X932">
        <f t="shared" si="97"/>
        <v>0.688218581165629</v>
      </c>
      <c r="AH932" t="str">
        <f t="shared" si="103"/>
        <v>3rd Quality</v>
      </c>
      <c r="AJ932">
        <f>((T932-X932)*2)/18.3</f>
        <v>16.8142541515444</v>
      </c>
      <c r="AK932">
        <f t="shared" si="101"/>
        <v>144493.63220339</v>
      </c>
    </row>
    <row r="933" spans="1:37">
      <c r="A933" t="s">
        <v>996</v>
      </c>
      <c r="B933">
        <v>39</v>
      </c>
      <c r="C933" t="s">
        <v>44</v>
      </c>
      <c r="D933" t="s">
        <v>45</v>
      </c>
      <c r="E933">
        <v>1295</v>
      </c>
      <c r="F933">
        <v>67</v>
      </c>
      <c r="G933">
        <v>3</v>
      </c>
      <c r="H933">
        <v>1192.04</v>
      </c>
      <c r="I933">
        <v>3227.69</v>
      </c>
      <c r="J933">
        <v>22</v>
      </c>
      <c r="K933">
        <v>0</v>
      </c>
      <c r="L933">
        <v>24.6</v>
      </c>
      <c r="M933">
        <v>33.1</v>
      </c>
      <c r="N933" t="s">
        <v>61</v>
      </c>
      <c r="O933" t="s">
        <v>47</v>
      </c>
      <c r="P933" t="s">
        <v>58</v>
      </c>
      <c r="R933">
        <f>SUMIF(A933:A5932,"C00932",I933:I5932)</f>
        <v>3227.69</v>
      </c>
      <c r="S933" s="1">
        <v>9458.34</v>
      </c>
      <c r="T933">
        <f t="shared" si="98"/>
        <v>146.713181818182</v>
      </c>
      <c r="U933">
        <f t="shared" si="99"/>
        <v>728.2</v>
      </c>
      <c r="V933">
        <f t="shared" si="102"/>
        <v>60.6833333333333</v>
      </c>
      <c r="W933">
        <f t="shared" si="100"/>
        <v>1473.57666666667</v>
      </c>
      <c r="X933">
        <f t="shared" si="97"/>
        <v>1.08637294050535</v>
      </c>
      <c r="AH933" t="str">
        <f t="shared" si="103"/>
        <v>3rd Quality</v>
      </c>
      <c r="AJ933">
        <f>((T933-X933)*2)/24.6</f>
        <v>11.8395779575347</v>
      </c>
      <c r="AK933">
        <f t="shared" si="101"/>
        <v>189993.570454545</v>
      </c>
    </row>
    <row r="934" spans="1:37">
      <c r="A934" t="s">
        <v>997</v>
      </c>
      <c r="B934">
        <v>35</v>
      </c>
      <c r="C934" t="s">
        <v>44</v>
      </c>
      <c r="D934" t="s">
        <v>60</v>
      </c>
      <c r="E934">
        <v>1048</v>
      </c>
      <c r="F934">
        <v>54</v>
      </c>
      <c r="G934">
        <v>6</v>
      </c>
      <c r="H934">
        <v>1721.71</v>
      </c>
      <c r="I934">
        <v>9458.34</v>
      </c>
      <c r="J934">
        <v>28</v>
      </c>
      <c r="K934">
        <v>0</v>
      </c>
      <c r="L934">
        <v>19.8</v>
      </c>
      <c r="M934">
        <v>44.4</v>
      </c>
      <c r="N934" t="s">
        <v>61</v>
      </c>
      <c r="O934" t="s">
        <v>47</v>
      </c>
      <c r="P934" t="s">
        <v>58</v>
      </c>
      <c r="R934">
        <f>SUMIF(A934:A5933,"C00933",I934:I5933)</f>
        <v>9458.34</v>
      </c>
      <c r="S934" s="1">
        <v>2672.97</v>
      </c>
      <c r="T934">
        <f t="shared" si="98"/>
        <v>337.797857142857</v>
      </c>
      <c r="U934">
        <f t="shared" si="99"/>
        <v>1243.2</v>
      </c>
      <c r="V934">
        <f t="shared" si="102"/>
        <v>103.6</v>
      </c>
      <c r="W934">
        <f t="shared" si="100"/>
        <v>3727.01666666667</v>
      </c>
      <c r="X934">
        <f t="shared" si="97"/>
        <v>0.608697167351064</v>
      </c>
      <c r="AH934" t="str">
        <f t="shared" si="103"/>
        <v>3rd Quality</v>
      </c>
      <c r="AJ934">
        <f>((T934-X934)*2)/19.8</f>
        <v>34.059511108637</v>
      </c>
      <c r="AK934">
        <f t="shared" si="101"/>
        <v>354012.154285714</v>
      </c>
    </row>
    <row r="935" spans="1:37">
      <c r="A935" t="s">
        <v>998</v>
      </c>
      <c r="B935">
        <v>25</v>
      </c>
      <c r="C935" t="s">
        <v>50</v>
      </c>
      <c r="D935" t="s">
        <v>60</v>
      </c>
      <c r="E935">
        <v>1190</v>
      </c>
      <c r="F935">
        <v>193</v>
      </c>
      <c r="G935">
        <v>3</v>
      </c>
      <c r="H935">
        <v>814.75</v>
      </c>
      <c r="I935">
        <v>2672.97</v>
      </c>
      <c r="J935">
        <v>12</v>
      </c>
      <c r="K935">
        <v>0</v>
      </c>
      <c r="L935">
        <v>23.9</v>
      </c>
      <c r="M935">
        <v>18.5</v>
      </c>
      <c r="N935" t="s">
        <v>57</v>
      </c>
      <c r="O935" t="s">
        <v>53</v>
      </c>
      <c r="P935" t="s">
        <v>58</v>
      </c>
      <c r="R935">
        <f>SUMIF(A935:A5934,"C00934",I935:I5934)</f>
        <v>2672.97</v>
      </c>
      <c r="S935" s="1">
        <v>2750.78</v>
      </c>
      <c r="T935">
        <f t="shared" si="98"/>
        <v>222.7475</v>
      </c>
      <c r="U935">
        <f t="shared" si="99"/>
        <v>222</v>
      </c>
      <c r="V935">
        <f t="shared" si="102"/>
        <v>18.5</v>
      </c>
      <c r="W935">
        <f t="shared" si="100"/>
        <v>1162.90666666667</v>
      </c>
      <c r="X935">
        <f t="shared" si="97"/>
        <v>1.46057072721694</v>
      </c>
      <c r="AH935" t="str">
        <f t="shared" si="103"/>
        <v>3rd Quality</v>
      </c>
      <c r="AJ935">
        <f>((T935-X935)*2)/23.9</f>
        <v>18.5177346671785</v>
      </c>
      <c r="AK935">
        <f t="shared" si="101"/>
        <v>265069.525</v>
      </c>
    </row>
    <row r="936" spans="1:37">
      <c r="A936" t="s">
        <v>999</v>
      </c>
      <c r="B936">
        <v>49</v>
      </c>
      <c r="C936" t="s">
        <v>50</v>
      </c>
      <c r="D936" t="s">
        <v>45</v>
      </c>
      <c r="E936">
        <v>1188</v>
      </c>
      <c r="F936">
        <v>69</v>
      </c>
      <c r="G936">
        <v>3</v>
      </c>
      <c r="H936">
        <v>823.12</v>
      </c>
      <c r="I936">
        <v>2750.78</v>
      </c>
      <c r="J936">
        <v>22</v>
      </c>
      <c r="K936">
        <v>0</v>
      </c>
      <c r="L936">
        <v>31.5</v>
      </c>
      <c r="M936">
        <v>45.4</v>
      </c>
      <c r="N936" t="s">
        <v>52</v>
      </c>
      <c r="O936" t="s">
        <v>47</v>
      </c>
      <c r="P936" t="s">
        <v>58</v>
      </c>
      <c r="R936">
        <f>SUMIF(A936:A5935,"C00935",I936:I5935)</f>
        <v>2750.78</v>
      </c>
      <c r="S936" s="1">
        <v>112008.01</v>
      </c>
      <c r="T936">
        <f t="shared" si="98"/>
        <v>125.035454545455</v>
      </c>
      <c r="U936">
        <f t="shared" si="99"/>
        <v>998.8</v>
      </c>
      <c r="V936">
        <f t="shared" si="102"/>
        <v>83.2333333333333</v>
      </c>
      <c r="W936">
        <f t="shared" si="100"/>
        <v>1191.63333333333</v>
      </c>
      <c r="X936">
        <f t="shared" si="97"/>
        <v>1.4432889493634</v>
      </c>
      <c r="AH936" t="str">
        <f t="shared" si="103"/>
        <v>3rd Quality</v>
      </c>
      <c r="AJ936">
        <f>((T936-X936)*2)/31.5</f>
        <v>7.84712162514867</v>
      </c>
      <c r="AK936">
        <f t="shared" si="101"/>
        <v>148542.12</v>
      </c>
    </row>
    <row r="937" spans="1:37">
      <c r="A937" t="s">
        <v>1000</v>
      </c>
      <c r="B937">
        <v>41</v>
      </c>
      <c r="C937" t="s">
        <v>50</v>
      </c>
      <c r="D937" t="s">
        <v>45</v>
      </c>
      <c r="E937">
        <v>1323</v>
      </c>
      <c r="F937">
        <v>6</v>
      </c>
      <c r="G937">
        <v>27</v>
      </c>
      <c r="H937">
        <v>3847.89</v>
      </c>
      <c r="I937">
        <v>112008.01</v>
      </c>
      <c r="J937">
        <v>169</v>
      </c>
      <c r="K937">
        <v>2</v>
      </c>
      <c r="L937">
        <v>2.2</v>
      </c>
      <c r="M937">
        <v>38.1</v>
      </c>
      <c r="N937" t="s">
        <v>63</v>
      </c>
      <c r="O937" t="s">
        <v>47</v>
      </c>
      <c r="P937" t="s">
        <v>68</v>
      </c>
      <c r="R937">
        <f>SUMIF(A937:A5936,"C00936",I937:I5936)</f>
        <v>112008.01</v>
      </c>
      <c r="S937" s="1">
        <v>815.43</v>
      </c>
      <c r="T937">
        <f t="shared" si="98"/>
        <v>662.769289940828</v>
      </c>
      <c r="U937">
        <f t="shared" si="99"/>
        <v>6438.9</v>
      </c>
      <c r="V937">
        <f>U937*2</f>
        <v>12877.8</v>
      </c>
      <c r="W937">
        <f t="shared" si="100"/>
        <v>38618.9666666667</v>
      </c>
      <c r="X937">
        <f t="shared" si="97"/>
        <v>0.343824797486415</v>
      </c>
      <c r="AH937" t="str">
        <f t="shared" si="103"/>
        <v>2nd Quality</v>
      </c>
      <c r="AJ937">
        <f>((T937-X937)*2)/2.2</f>
        <v>602.204968312129</v>
      </c>
      <c r="AK937">
        <f t="shared" si="101"/>
        <v>876843.770591716</v>
      </c>
    </row>
    <row r="938" spans="1:37">
      <c r="A938" t="s">
        <v>1001</v>
      </c>
      <c r="B938">
        <v>23</v>
      </c>
      <c r="C938" t="s">
        <v>44</v>
      </c>
      <c r="D938" t="s">
        <v>60</v>
      </c>
      <c r="E938">
        <v>1066</v>
      </c>
      <c r="F938">
        <v>100</v>
      </c>
      <c r="G938">
        <v>1</v>
      </c>
      <c r="H938">
        <v>855.29</v>
      </c>
      <c r="I938">
        <v>815.43</v>
      </c>
      <c r="J938">
        <v>14</v>
      </c>
      <c r="K938">
        <v>0</v>
      </c>
      <c r="L938">
        <v>22.3</v>
      </c>
      <c r="M938">
        <v>23.7</v>
      </c>
      <c r="N938" t="s">
        <v>61</v>
      </c>
      <c r="O938" t="s">
        <v>75</v>
      </c>
      <c r="P938" t="s">
        <v>66</v>
      </c>
      <c r="R938">
        <f>SUMIF(A938:A5937,"C00937",I938:I5937)</f>
        <v>815.43</v>
      </c>
      <c r="S938" s="1">
        <v>19619.96</v>
      </c>
      <c r="T938">
        <f t="shared" si="98"/>
        <v>58.245</v>
      </c>
      <c r="U938">
        <f t="shared" si="99"/>
        <v>331.8</v>
      </c>
      <c r="V938">
        <f t="shared" si="102"/>
        <v>27.65</v>
      </c>
      <c r="W938">
        <f t="shared" si="100"/>
        <v>557.24</v>
      </c>
      <c r="X938">
        <f t="shared" si="97"/>
        <v>1.24636088344304</v>
      </c>
      <c r="AH938" t="str">
        <f t="shared" si="103"/>
        <v>3rd Quality</v>
      </c>
      <c r="AJ938">
        <f>((T938-X938)*2)/22.3</f>
        <v>5.11198557099166</v>
      </c>
      <c r="AK938">
        <f t="shared" si="101"/>
        <v>62089.17</v>
      </c>
    </row>
    <row r="939" spans="1:37">
      <c r="A939" t="s">
        <v>1002</v>
      </c>
      <c r="B939">
        <v>24</v>
      </c>
      <c r="C939" t="s">
        <v>50</v>
      </c>
      <c r="D939" t="s">
        <v>60</v>
      </c>
      <c r="E939">
        <v>439</v>
      </c>
      <c r="F939">
        <v>26</v>
      </c>
      <c r="G939">
        <v>9</v>
      </c>
      <c r="H939">
        <v>2362.36</v>
      </c>
      <c r="I939">
        <v>19619.96</v>
      </c>
      <c r="J939">
        <v>33</v>
      </c>
      <c r="K939">
        <v>2</v>
      </c>
      <c r="L939">
        <v>11</v>
      </c>
      <c r="M939">
        <v>36</v>
      </c>
      <c r="N939" t="s">
        <v>63</v>
      </c>
      <c r="O939" t="s">
        <v>75</v>
      </c>
      <c r="P939" t="s">
        <v>48</v>
      </c>
      <c r="R939">
        <f>SUMIF(A939:A5938,"C00938",I939:I5938)</f>
        <v>19619.96</v>
      </c>
      <c r="S939" s="1">
        <v>2242.15</v>
      </c>
      <c r="T939">
        <f t="shared" si="98"/>
        <v>594.544242424242</v>
      </c>
      <c r="U939">
        <f t="shared" si="99"/>
        <v>1188</v>
      </c>
      <c r="V939">
        <f>U939*2</f>
        <v>2376</v>
      </c>
      <c r="W939">
        <f t="shared" si="100"/>
        <v>7327.77333333333</v>
      </c>
      <c r="X939">
        <f t="shared" si="97"/>
        <v>0.185831118034508</v>
      </c>
      <c r="AH939" t="str">
        <f t="shared" si="103"/>
        <v>3rd Quality</v>
      </c>
      <c r="AJ939">
        <f>((T939-X939)*2)/11</f>
        <v>108.065165692038</v>
      </c>
      <c r="AK939">
        <f t="shared" si="101"/>
        <v>261004.922424242</v>
      </c>
    </row>
    <row r="940" spans="1:37">
      <c r="A940" t="s">
        <v>1003</v>
      </c>
      <c r="B940">
        <v>28</v>
      </c>
      <c r="C940" t="s">
        <v>50</v>
      </c>
      <c r="D940" t="s">
        <v>45</v>
      </c>
      <c r="E940">
        <v>1418</v>
      </c>
      <c r="F940">
        <v>58</v>
      </c>
      <c r="G940">
        <v>1</v>
      </c>
      <c r="H940">
        <v>2237.22</v>
      </c>
      <c r="I940">
        <v>2242.15</v>
      </c>
      <c r="J940">
        <v>13</v>
      </c>
      <c r="K940">
        <v>0</v>
      </c>
      <c r="L940">
        <v>16.2</v>
      </c>
      <c r="M940">
        <v>32</v>
      </c>
      <c r="N940" t="s">
        <v>61</v>
      </c>
      <c r="O940" t="s">
        <v>53</v>
      </c>
      <c r="P940" t="s">
        <v>58</v>
      </c>
      <c r="R940">
        <f>SUMIF(A940:A5939,"C00939",I940:I5939)</f>
        <v>2242.15</v>
      </c>
      <c r="S940" s="1">
        <v>105261.67</v>
      </c>
      <c r="T940">
        <f t="shared" si="98"/>
        <v>172.473076923077</v>
      </c>
      <c r="U940">
        <f t="shared" si="99"/>
        <v>416</v>
      </c>
      <c r="V940">
        <f t="shared" si="102"/>
        <v>34.6666666666667</v>
      </c>
      <c r="W940">
        <f t="shared" si="100"/>
        <v>1493.45666666667</v>
      </c>
      <c r="X940">
        <f t="shared" si="97"/>
        <v>0.633822333074083</v>
      </c>
      <c r="AH940" t="str">
        <f t="shared" si="103"/>
        <v>3rd Quality</v>
      </c>
      <c r="AJ940">
        <f>((T940-X940)*2)/16.2</f>
        <v>21.2147227888893</v>
      </c>
      <c r="AK940">
        <f t="shared" si="101"/>
        <v>244566.823076923</v>
      </c>
    </row>
    <row r="941" spans="1:37">
      <c r="A941" t="s">
        <v>1004</v>
      </c>
      <c r="B941">
        <v>63</v>
      </c>
      <c r="C941" t="s">
        <v>44</v>
      </c>
      <c r="D941" t="s">
        <v>60</v>
      </c>
      <c r="E941">
        <v>1419</v>
      </c>
      <c r="F941">
        <v>2</v>
      </c>
      <c r="G941">
        <v>25</v>
      </c>
      <c r="H941">
        <v>4664.27</v>
      </c>
      <c r="I941">
        <v>105261.67</v>
      </c>
      <c r="J941">
        <v>186</v>
      </c>
      <c r="K941">
        <v>1</v>
      </c>
      <c r="L941">
        <v>8.7</v>
      </c>
      <c r="M941">
        <v>14.3</v>
      </c>
      <c r="N941" t="s">
        <v>63</v>
      </c>
      <c r="O941" t="s">
        <v>47</v>
      </c>
      <c r="P941" t="s">
        <v>66</v>
      </c>
      <c r="R941">
        <f>SUMIF(A941:A5940,"C00940",I941:I5940)</f>
        <v>105261.67</v>
      </c>
      <c r="S941" s="1">
        <v>18703.04</v>
      </c>
      <c r="T941">
        <f t="shared" si="98"/>
        <v>565.922956989247</v>
      </c>
      <c r="U941">
        <f t="shared" si="99"/>
        <v>2659.8</v>
      </c>
      <c r="V941">
        <f>U941*1</f>
        <v>2659.8</v>
      </c>
      <c r="W941">
        <f t="shared" si="100"/>
        <v>36642.3133333333</v>
      </c>
      <c r="X941">
        <f t="shared" si="97"/>
        <v>0.304227671211143</v>
      </c>
      <c r="AH941" t="str">
        <f t="shared" si="103"/>
        <v>3rd Quality</v>
      </c>
      <c r="AJ941">
        <f>((T941-X941)*2)/8.7</f>
        <v>130.0272940961</v>
      </c>
      <c r="AK941">
        <f t="shared" si="101"/>
        <v>803044.675967742</v>
      </c>
    </row>
    <row r="942" spans="1:37">
      <c r="A942" t="s">
        <v>1005</v>
      </c>
      <c r="B942">
        <v>18</v>
      </c>
      <c r="C942" t="s">
        <v>44</v>
      </c>
      <c r="D942" t="s">
        <v>60</v>
      </c>
      <c r="E942">
        <v>1164</v>
      </c>
      <c r="F942">
        <v>37</v>
      </c>
      <c r="G942">
        <v>11</v>
      </c>
      <c r="H942">
        <v>1546.28</v>
      </c>
      <c r="I942">
        <v>18703.04</v>
      </c>
      <c r="J942">
        <v>38</v>
      </c>
      <c r="K942">
        <v>1</v>
      </c>
      <c r="L942">
        <v>14.5</v>
      </c>
      <c r="M942">
        <v>8.9</v>
      </c>
      <c r="N942" t="s">
        <v>63</v>
      </c>
      <c r="O942" t="s">
        <v>47</v>
      </c>
      <c r="P942" t="s">
        <v>58</v>
      </c>
      <c r="R942">
        <f>SUMIF(A942:A5941,"C00941",I942:I5941)</f>
        <v>18703.04</v>
      </c>
      <c r="S942" s="1">
        <v>4018.62</v>
      </c>
      <c r="T942">
        <f t="shared" si="98"/>
        <v>492.185263157895</v>
      </c>
      <c r="U942">
        <f t="shared" si="99"/>
        <v>338.2</v>
      </c>
      <c r="V942">
        <f>U942*1</f>
        <v>338.2</v>
      </c>
      <c r="W942">
        <f t="shared" si="100"/>
        <v>6750.10666666667</v>
      </c>
      <c r="X942">
        <f t="shared" si="97"/>
        <v>0.752774400496676</v>
      </c>
      <c r="AH942" t="str">
        <f t="shared" si="103"/>
        <v>2nd Quality</v>
      </c>
      <c r="AJ942">
        <f>((T942-X942)*2)/14.5</f>
        <v>67.7837915527446</v>
      </c>
      <c r="AK942">
        <f t="shared" si="101"/>
        <v>572903.64631579</v>
      </c>
    </row>
    <row r="943" spans="1:37">
      <c r="A943" t="s">
        <v>1006</v>
      </c>
      <c r="B943">
        <v>61</v>
      </c>
      <c r="C943" t="s">
        <v>44</v>
      </c>
      <c r="D943" t="s">
        <v>45</v>
      </c>
      <c r="E943">
        <v>1394</v>
      </c>
      <c r="F943">
        <v>57</v>
      </c>
      <c r="G943">
        <v>4</v>
      </c>
      <c r="H943">
        <v>943.94</v>
      </c>
      <c r="I943">
        <v>4018.62</v>
      </c>
      <c r="J943">
        <v>26</v>
      </c>
      <c r="K943">
        <v>0</v>
      </c>
      <c r="L943">
        <v>21.9</v>
      </c>
      <c r="M943">
        <v>17</v>
      </c>
      <c r="N943" t="s">
        <v>63</v>
      </c>
      <c r="O943" t="s">
        <v>53</v>
      </c>
      <c r="P943" t="s">
        <v>48</v>
      </c>
      <c r="R943">
        <f>SUMIF(A943:A5942,"C00942",I943:I5942)</f>
        <v>4018.62</v>
      </c>
      <c r="S943" s="1">
        <v>83049.08</v>
      </c>
      <c r="T943">
        <f t="shared" si="98"/>
        <v>154.562307692308</v>
      </c>
      <c r="U943">
        <f t="shared" si="99"/>
        <v>442</v>
      </c>
      <c r="V943">
        <f t="shared" si="102"/>
        <v>36.8333333333333</v>
      </c>
      <c r="W943">
        <f t="shared" si="100"/>
        <v>1654.52</v>
      </c>
      <c r="X943">
        <f t="shared" ref="X943:X1006" si="104">E943/H943</f>
        <v>1.47678877894781</v>
      </c>
      <c r="AH943" t="str">
        <f t="shared" si="103"/>
        <v>3rd Quality</v>
      </c>
      <c r="AJ943">
        <f>((T943-X943)*2)/21.9</f>
        <v>13.9804126861516</v>
      </c>
      <c r="AK943">
        <f t="shared" si="101"/>
        <v>215459.856923077</v>
      </c>
    </row>
    <row r="944" spans="1:37">
      <c r="A944" t="s">
        <v>1007</v>
      </c>
      <c r="B944">
        <v>30</v>
      </c>
      <c r="C944" t="s">
        <v>44</v>
      </c>
      <c r="D944" t="s">
        <v>60</v>
      </c>
      <c r="E944">
        <v>594</v>
      </c>
      <c r="F944">
        <v>20</v>
      </c>
      <c r="G944">
        <v>20</v>
      </c>
      <c r="H944">
        <v>3728.63</v>
      </c>
      <c r="I944">
        <v>83049.08</v>
      </c>
      <c r="J944">
        <v>85</v>
      </c>
      <c r="K944">
        <v>3</v>
      </c>
      <c r="L944">
        <v>21.1</v>
      </c>
      <c r="M944">
        <v>21.2</v>
      </c>
      <c r="N944" t="s">
        <v>57</v>
      </c>
      <c r="O944" t="s">
        <v>47</v>
      </c>
      <c r="P944" t="s">
        <v>68</v>
      </c>
      <c r="R944">
        <f>SUMIF(A944:A5943,"C00943",I944:I5943)</f>
        <v>83049.08</v>
      </c>
      <c r="S944" s="1">
        <v>14760.34</v>
      </c>
      <c r="T944">
        <f t="shared" si="98"/>
        <v>977.048</v>
      </c>
      <c r="U944">
        <f t="shared" si="99"/>
        <v>1802</v>
      </c>
      <c r="V944">
        <f>U944*3</f>
        <v>5406</v>
      </c>
      <c r="W944">
        <f t="shared" si="100"/>
        <v>28926.2366666667</v>
      </c>
      <c r="X944">
        <f t="shared" si="104"/>
        <v>0.1593078422906</v>
      </c>
      <c r="AH944" t="str">
        <f t="shared" si="103"/>
        <v>2nd Quality</v>
      </c>
      <c r="AJ944">
        <f>((T944-X944)*2)/21.1</f>
        <v>92.5960845647118</v>
      </c>
      <c r="AK944">
        <f t="shared" si="101"/>
        <v>580366.512</v>
      </c>
    </row>
    <row r="945" spans="1:37">
      <c r="A945" t="s">
        <v>1008</v>
      </c>
      <c r="B945">
        <v>24</v>
      </c>
      <c r="C945" t="s">
        <v>50</v>
      </c>
      <c r="D945" t="s">
        <v>60</v>
      </c>
      <c r="E945">
        <v>1348</v>
      </c>
      <c r="F945">
        <v>8</v>
      </c>
      <c r="G945">
        <v>7</v>
      </c>
      <c r="H945">
        <v>1942.68</v>
      </c>
      <c r="I945">
        <v>14760.34</v>
      </c>
      <c r="J945">
        <v>45</v>
      </c>
      <c r="K945">
        <v>0</v>
      </c>
      <c r="L945">
        <v>20.9</v>
      </c>
      <c r="M945">
        <v>34.9</v>
      </c>
      <c r="N945" t="s">
        <v>57</v>
      </c>
      <c r="O945" t="s">
        <v>47</v>
      </c>
      <c r="P945" t="s">
        <v>58</v>
      </c>
      <c r="R945">
        <f>SUMIF(A945:A5944,"C00944",I945:I5944)</f>
        <v>14760.34</v>
      </c>
      <c r="S945" s="1">
        <v>5375.84</v>
      </c>
      <c r="T945">
        <f t="shared" si="98"/>
        <v>328.007555555556</v>
      </c>
      <c r="U945">
        <f t="shared" si="99"/>
        <v>1570.5</v>
      </c>
      <c r="V945">
        <f t="shared" si="102"/>
        <v>130.875</v>
      </c>
      <c r="W945">
        <f t="shared" si="100"/>
        <v>5568.00666666667</v>
      </c>
      <c r="X945">
        <f t="shared" si="104"/>
        <v>0.693886795560772</v>
      </c>
      <c r="AH945" t="str">
        <f t="shared" si="103"/>
        <v>3rd Quality</v>
      </c>
      <c r="AJ945">
        <f>((T945-X945)*2)/20.9</f>
        <v>31.32188217799</v>
      </c>
      <c r="AK945">
        <f t="shared" si="101"/>
        <v>442154.184888889</v>
      </c>
    </row>
    <row r="946" spans="1:37">
      <c r="A946" t="s">
        <v>1009</v>
      </c>
      <c r="B946">
        <v>48</v>
      </c>
      <c r="C946" t="s">
        <v>50</v>
      </c>
      <c r="D946" t="s">
        <v>60</v>
      </c>
      <c r="E946">
        <v>510</v>
      </c>
      <c r="F946">
        <v>28</v>
      </c>
      <c r="G946">
        <v>7</v>
      </c>
      <c r="H946">
        <v>785.16</v>
      </c>
      <c r="I946">
        <v>5375.84</v>
      </c>
      <c r="J946">
        <v>42</v>
      </c>
      <c r="K946">
        <v>1</v>
      </c>
      <c r="L946">
        <v>12</v>
      </c>
      <c r="M946">
        <v>15.1</v>
      </c>
      <c r="N946" t="s">
        <v>46</v>
      </c>
      <c r="O946" t="s">
        <v>47</v>
      </c>
      <c r="P946" t="s">
        <v>58</v>
      </c>
      <c r="R946">
        <f>SUMIF(A946:A5945,"C00945",I946:I5945)</f>
        <v>5375.84</v>
      </c>
      <c r="S946" s="1">
        <v>6376.69</v>
      </c>
      <c r="T946">
        <f t="shared" si="98"/>
        <v>127.99619047619</v>
      </c>
      <c r="U946">
        <f t="shared" si="99"/>
        <v>634.2</v>
      </c>
      <c r="V946">
        <f>U946*1</f>
        <v>634.2</v>
      </c>
      <c r="W946">
        <f t="shared" si="100"/>
        <v>2054</v>
      </c>
      <c r="X946">
        <f t="shared" si="104"/>
        <v>0.649549136481736</v>
      </c>
      <c r="AH946" t="str">
        <f t="shared" si="103"/>
        <v>3rd Quality</v>
      </c>
      <c r="AJ946">
        <f>((T946-X946)*2)/12</f>
        <v>21.2244402232847</v>
      </c>
      <c r="AK946">
        <f t="shared" si="101"/>
        <v>65278.0571428571</v>
      </c>
    </row>
    <row r="947" spans="1:37">
      <c r="A947" t="s">
        <v>1010</v>
      </c>
      <c r="B947">
        <v>30</v>
      </c>
      <c r="C947" t="s">
        <v>44</v>
      </c>
      <c r="D947" t="s">
        <v>60</v>
      </c>
      <c r="E947">
        <v>1065</v>
      </c>
      <c r="F947">
        <v>5</v>
      </c>
      <c r="G947">
        <v>6</v>
      </c>
      <c r="H947">
        <v>1112.38</v>
      </c>
      <c r="I947">
        <v>6376.69</v>
      </c>
      <c r="J947">
        <v>38</v>
      </c>
      <c r="K947">
        <v>0</v>
      </c>
      <c r="L947">
        <v>28.4</v>
      </c>
      <c r="M947">
        <v>11.3</v>
      </c>
      <c r="N947" t="s">
        <v>81</v>
      </c>
      <c r="O947" t="s">
        <v>47</v>
      </c>
      <c r="P947" t="s">
        <v>54</v>
      </c>
      <c r="R947">
        <f>SUMIF(A947:A5946,"C00946",I947:I5946)</f>
        <v>6376.69</v>
      </c>
      <c r="S947" s="1">
        <v>892.58</v>
      </c>
      <c r="T947">
        <f t="shared" si="98"/>
        <v>167.807631578947</v>
      </c>
      <c r="U947">
        <f t="shared" si="99"/>
        <v>429.4</v>
      </c>
      <c r="V947">
        <f t="shared" si="102"/>
        <v>35.7833333333333</v>
      </c>
      <c r="W947">
        <f t="shared" si="100"/>
        <v>2496.69</v>
      </c>
      <c r="X947">
        <f t="shared" si="104"/>
        <v>0.957406641615275</v>
      </c>
      <c r="AH947" t="str">
        <f t="shared" si="103"/>
        <v>3rd Quality</v>
      </c>
      <c r="AJ947">
        <f>((T947-X947)*2)/28.4</f>
        <v>11.7500158406572</v>
      </c>
      <c r="AK947">
        <f t="shared" si="101"/>
        <v>178715.127631579</v>
      </c>
    </row>
    <row r="948" spans="1:37">
      <c r="A948" t="s">
        <v>1011</v>
      </c>
      <c r="B948">
        <v>54</v>
      </c>
      <c r="C948" t="s">
        <v>50</v>
      </c>
      <c r="D948" t="s">
        <v>45</v>
      </c>
      <c r="E948">
        <v>928</v>
      </c>
      <c r="F948">
        <v>65</v>
      </c>
      <c r="G948">
        <v>1</v>
      </c>
      <c r="H948">
        <v>826.3</v>
      </c>
      <c r="I948">
        <v>892.58</v>
      </c>
      <c r="J948">
        <v>21</v>
      </c>
      <c r="K948">
        <v>0</v>
      </c>
      <c r="L948">
        <v>21.8</v>
      </c>
      <c r="M948">
        <v>41</v>
      </c>
      <c r="N948" t="s">
        <v>61</v>
      </c>
      <c r="O948" t="s">
        <v>47</v>
      </c>
      <c r="P948" t="s">
        <v>66</v>
      </c>
      <c r="R948">
        <f>SUMIF(A948:A5947,"C00947",I948:I5947)</f>
        <v>892.58</v>
      </c>
      <c r="S948" s="1">
        <v>2804.9</v>
      </c>
      <c r="T948">
        <f t="shared" si="98"/>
        <v>42.5038095238095</v>
      </c>
      <c r="U948">
        <f t="shared" si="99"/>
        <v>861</v>
      </c>
      <c r="V948">
        <f t="shared" si="102"/>
        <v>71.75</v>
      </c>
      <c r="W948">
        <f t="shared" si="100"/>
        <v>573.293333333333</v>
      </c>
      <c r="X948">
        <f t="shared" si="104"/>
        <v>1.12307878494494</v>
      </c>
      <c r="AH948" t="str">
        <f t="shared" si="103"/>
        <v>3rd Quality</v>
      </c>
      <c r="AJ948">
        <f>((T948-X948)*2)/21.8</f>
        <v>3.79639731549216</v>
      </c>
      <c r="AK948">
        <f t="shared" si="101"/>
        <v>39443.5352380952</v>
      </c>
    </row>
    <row r="949" spans="1:37">
      <c r="A949" t="s">
        <v>1012</v>
      </c>
      <c r="B949">
        <v>33</v>
      </c>
      <c r="C949" t="s">
        <v>44</v>
      </c>
      <c r="D949" t="s">
        <v>45</v>
      </c>
      <c r="E949">
        <v>1293</v>
      </c>
      <c r="F949">
        <v>96</v>
      </c>
      <c r="G949">
        <v>3</v>
      </c>
      <c r="H949">
        <v>915.65</v>
      </c>
      <c r="I949">
        <v>2804.9</v>
      </c>
      <c r="J949">
        <v>29</v>
      </c>
      <c r="K949">
        <v>1</v>
      </c>
      <c r="L949">
        <v>33</v>
      </c>
      <c r="M949">
        <v>16.6</v>
      </c>
      <c r="N949" t="s">
        <v>57</v>
      </c>
      <c r="O949" t="s">
        <v>75</v>
      </c>
      <c r="P949" t="s">
        <v>68</v>
      </c>
      <c r="R949">
        <f>SUMIF(A949:A5948,"C00948",I949:I5948)</f>
        <v>2804.9</v>
      </c>
      <c r="S949" s="1">
        <v>1663.8</v>
      </c>
      <c r="T949">
        <f t="shared" si="98"/>
        <v>96.7206896551724</v>
      </c>
      <c r="U949">
        <f t="shared" si="99"/>
        <v>481.4</v>
      </c>
      <c r="V949">
        <f>U949*1</f>
        <v>481.4</v>
      </c>
      <c r="W949">
        <f t="shared" si="100"/>
        <v>1240.51666666667</v>
      </c>
      <c r="X949">
        <f t="shared" si="104"/>
        <v>1.41211161469994</v>
      </c>
      <c r="AH949" t="str">
        <f t="shared" si="103"/>
        <v>3rd Quality</v>
      </c>
      <c r="AJ949">
        <f>((T949-X949)*2)/33</f>
        <v>5.77627745699833</v>
      </c>
      <c r="AK949">
        <f t="shared" si="101"/>
        <v>125059.851724138</v>
      </c>
    </row>
    <row r="950" spans="1:37">
      <c r="A950" t="s">
        <v>1013</v>
      </c>
      <c r="B950">
        <v>38</v>
      </c>
      <c r="C950" t="s">
        <v>44</v>
      </c>
      <c r="D950" t="s">
        <v>51</v>
      </c>
      <c r="E950">
        <v>952</v>
      </c>
      <c r="F950">
        <v>187</v>
      </c>
      <c r="G950">
        <v>2</v>
      </c>
      <c r="H950">
        <v>762.59</v>
      </c>
      <c r="I950">
        <v>1663.8</v>
      </c>
      <c r="J950">
        <v>17</v>
      </c>
      <c r="K950">
        <v>0</v>
      </c>
      <c r="L950">
        <v>27.3</v>
      </c>
      <c r="M950">
        <v>29.2</v>
      </c>
      <c r="N950" t="s">
        <v>61</v>
      </c>
      <c r="O950" t="s">
        <v>75</v>
      </c>
      <c r="P950" t="s">
        <v>58</v>
      </c>
      <c r="R950">
        <f>SUMIF(A950:A5949,"C00949",I950:I5949)</f>
        <v>1663.8</v>
      </c>
      <c r="S950" s="1">
        <v>5614.48</v>
      </c>
      <c r="T950">
        <f t="shared" si="98"/>
        <v>97.8705882352941</v>
      </c>
      <c r="U950">
        <f t="shared" si="99"/>
        <v>496.4</v>
      </c>
      <c r="V950">
        <f t="shared" si="102"/>
        <v>41.3666666666667</v>
      </c>
      <c r="W950">
        <f t="shared" si="100"/>
        <v>809.13</v>
      </c>
      <c r="X950">
        <f t="shared" si="104"/>
        <v>1.24837724071913</v>
      </c>
      <c r="AH950" t="str">
        <f t="shared" si="103"/>
        <v>3rd Quality</v>
      </c>
      <c r="AJ950">
        <f>((T950-X950)*2)/27.3</f>
        <v>7.07855025601282</v>
      </c>
      <c r="AK950">
        <f t="shared" si="101"/>
        <v>93172.8</v>
      </c>
    </row>
    <row r="951" spans="1:37">
      <c r="A951" t="s">
        <v>1014</v>
      </c>
      <c r="B951">
        <v>34</v>
      </c>
      <c r="C951" t="s">
        <v>101</v>
      </c>
      <c r="D951" t="s">
        <v>51</v>
      </c>
      <c r="E951">
        <v>1029</v>
      </c>
      <c r="F951">
        <v>30</v>
      </c>
      <c r="G951">
        <v>7</v>
      </c>
      <c r="H951">
        <v>837.19</v>
      </c>
      <c r="I951">
        <v>5614.48</v>
      </c>
      <c r="J951">
        <v>34</v>
      </c>
      <c r="K951">
        <v>0</v>
      </c>
      <c r="L951">
        <v>20.5</v>
      </c>
      <c r="M951">
        <v>6.1</v>
      </c>
      <c r="N951" t="s">
        <v>78</v>
      </c>
      <c r="O951" t="s">
        <v>53</v>
      </c>
      <c r="P951" t="s">
        <v>68</v>
      </c>
      <c r="R951">
        <f>SUMIF(A951:A5950,"C00950",I951:I5950)</f>
        <v>5614.48</v>
      </c>
      <c r="S951" s="1">
        <v>57271.94</v>
      </c>
      <c r="T951">
        <f t="shared" si="98"/>
        <v>165.131764705882</v>
      </c>
      <c r="U951">
        <f t="shared" si="99"/>
        <v>207.4</v>
      </c>
      <c r="V951">
        <f t="shared" si="102"/>
        <v>17.2833333333333</v>
      </c>
      <c r="W951">
        <f t="shared" si="100"/>
        <v>2150.89</v>
      </c>
      <c r="X951">
        <f t="shared" si="104"/>
        <v>1.22911167118575</v>
      </c>
      <c r="AH951" t="str">
        <f t="shared" si="103"/>
        <v>3rd Quality</v>
      </c>
      <c r="AJ951">
        <f>((T951-X951)*2)/20.5</f>
        <v>15.9905027350923</v>
      </c>
      <c r="AK951">
        <f t="shared" si="101"/>
        <v>169920.585882353</v>
      </c>
    </row>
    <row r="952" spans="1:37">
      <c r="A952" t="s">
        <v>1015</v>
      </c>
      <c r="B952">
        <v>51</v>
      </c>
      <c r="C952" t="s">
        <v>50</v>
      </c>
      <c r="D952" t="s">
        <v>51</v>
      </c>
      <c r="E952">
        <v>715</v>
      </c>
      <c r="F952">
        <v>45</v>
      </c>
      <c r="G952">
        <v>6</v>
      </c>
      <c r="H952">
        <v>9440.05</v>
      </c>
      <c r="I952">
        <v>57271.94</v>
      </c>
      <c r="J952">
        <v>34</v>
      </c>
      <c r="K952">
        <v>0</v>
      </c>
      <c r="L952">
        <v>14.1</v>
      </c>
      <c r="M952">
        <v>85.3</v>
      </c>
      <c r="N952" t="s">
        <v>57</v>
      </c>
      <c r="O952" t="s">
        <v>47</v>
      </c>
      <c r="P952" t="s">
        <v>58</v>
      </c>
      <c r="R952">
        <f>SUMIF(A952:A5951,"C00951",I952:I5951)</f>
        <v>57271.94</v>
      </c>
      <c r="S952" s="1">
        <v>21626.4</v>
      </c>
      <c r="T952">
        <f t="shared" si="98"/>
        <v>1684.46882352941</v>
      </c>
      <c r="U952">
        <f t="shared" si="99"/>
        <v>2900.2</v>
      </c>
      <c r="V952">
        <f t="shared" si="102"/>
        <v>241.683333333333</v>
      </c>
      <c r="W952">
        <f t="shared" si="100"/>
        <v>22237.6633333333</v>
      </c>
      <c r="X952">
        <f t="shared" si="104"/>
        <v>0.0757411242525199</v>
      </c>
      <c r="AH952" t="str">
        <f t="shared" si="103"/>
        <v>3rd Quality</v>
      </c>
      <c r="AJ952">
        <f>((T952-X952)*2)/14.1</f>
        <v>238.921004596476</v>
      </c>
      <c r="AK952">
        <f t="shared" si="101"/>
        <v>1204395.20882353</v>
      </c>
    </row>
    <row r="953" spans="1:37">
      <c r="A953" t="s">
        <v>1016</v>
      </c>
      <c r="B953">
        <v>26</v>
      </c>
      <c r="C953" t="s">
        <v>50</v>
      </c>
      <c r="D953" t="s">
        <v>60</v>
      </c>
      <c r="E953">
        <v>906</v>
      </c>
      <c r="F953">
        <v>14</v>
      </c>
      <c r="G953">
        <v>11</v>
      </c>
      <c r="H953">
        <v>1983.97</v>
      </c>
      <c r="I953">
        <v>21626.4</v>
      </c>
      <c r="J953">
        <v>62</v>
      </c>
      <c r="K953">
        <v>0</v>
      </c>
      <c r="L953">
        <v>27.1</v>
      </c>
      <c r="M953">
        <v>6.8</v>
      </c>
      <c r="N953" t="s">
        <v>78</v>
      </c>
      <c r="O953" t="s">
        <v>53</v>
      </c>
      <c r="P953" t="s">
        <v>58</v>
      </c>
      <c r="R953">
        <f>SUMIF(A953:A5952,"C00952",I953:I5952)</f>
        <v>21626.4</v>
      </c>
      <c r="S953" s="1">
        <v>12764.98</v>
      </c>
      <c r="T953">
        <f t="shared" si="98"/>
        <v>348.812903225806</v>
      </c>
      <c r="U953">
        <f t="shared" si="99"/>
        <v>421.6</v>
      </c>
      <c r="V953">
        <f t="shared" si="102"/>
        <v>35.1333333333333</v>
      </c>
      <c r="W953">
        <f t="shared" si="100"/>
        <v>7870.45666666667</v>
      </c>
      <c r="X953">
        <f t="shared" si="104"/>
        <v>0.456660130949561</v>
      </c>
      <c r="AH953" t="str">
        <f t="shared" si="103"/>
        <v>2nd Quality</v>
      </c>
      <c r="AJ953">
        <f>((T953-X953)*2)/2</f>
        <v>348.356243094856</v>
      </c>
      <c r="AK953">
        <f t="shared" si="101"/>
        <v>316024.490322581</v>
      </c>
    </row>
    <row r="954" spans="1:37">
      <c r="A954" t="s">
        <v>1017</v>
      </c>
      <c r="B954">
        <v>29</v>
      </c>
      <c r="C954" t="s">
        <v>44</v>
      </c>
      <c r="D954" t="s">
        <v>60</v>
      </c>
      <c r="E954">
        <v>771</v>
      </c>
      <c r="F954">
        <v>44</v>
      </c>
      <c r="G954">
        <v>12</v>
      </c>
      <c r="H954">
        <v>1151.27</v>
      </c>
      <c r="I954">
        <v>12764.98</v>
      </c>
      <c r="J954">
        <v>53</v>
      </c>
      <c r="K954">
        <v>2</v>
      </c>
      <c r="L954">
        <v>33</v>
      </c>
      <c r="M954">
        <v>26.7</v>
      </c>
      <c r="N954" t="s">
        <v>81</v>
      </c>
      <c r="O954" t="s">
        <v>53</v>
      </c>
      <c r="P954" t="s">
        <v>48</v>
      </c>
      <c r="R954">
        <f>SUMIF(A954:A5953,"C00953",I954:I5953)</f>
        <v>12764.98</v>
      </c>
      <c r="S954" s="1">
        <v>55179.15</v>
      </c>
      <c r="T954">
        <f t="shared" si="98"/>
        <v>240.848679245283</v>
      </c>
      <c r="U954">
        <f t="shared" si="99"/>
        <v>1415.1</v>
      </c>
      <c r="V954">
        <f>U954*2</f>
        <v>2830.2</v>
      </c>
      <c r="W954">
        <f t="shared" si="100"/>
        <v>4639.08333333333</v>
      </c>
      <c r="X954">
        <f t="shared" si="104"/>
        <v>0.669695206163628</v>
      </c>
      <c r="AH954" t="str">
        <f t="shared" si="103"/>
        <v>3rd Quality</v>
      </c>
      <c r="AJ954">
        <f t="shared" ref="AJ954:AJ974" si="105">((T954-X954)*2)/28.4</f>
        <v>16.9140129605014</v>
      </c>
      <c r="AK954">
        <f t="shared" si="101"/>
        <v>185694.331698113</v>
      </c>
    </row>
    <row r="955" spans="1:37">
      <c r="A955" t="s">
        <v>1018</v>
      </c>
      <c r="B955">
        <v>32</v>
      </c>
      <c r="C955" t="s">
        <v>44</v>
      </c>
      <c r="D955" t="s">
        <v>60</v>
      </c>
      <c r="E955">
        <v>1385</v>
      </c>
      <c r="F955">
        <v>8</v>
      </c>
      <c r="G955">
        <v>22</v>
      </c>
      <c r="H955">
        <v>2483.66</v>
      </c>
      <c r="I955">
        <v>55179.15</v>
      </c>
      <c r="J955">
        <v>114</v>
      </c>
      <c r="K955">
        <v>0</v>
      </c>
      <c r="L955">
        <v>13.1</v>
      </c>
      <c r="M955">
        <v>66.7</v>
      </c>
      <c r="N955" t="s">
        <v>78</v>
      </c>
      <c r="O955" t="s">
        <v>47</v>
      </c>
      <c r="P955" t="s">
        <v>48</v>
      </c>
      <c r="R955">
        <f>SUMIF(A955:A5954,"C00954",I955:I5954)</f>
        <v>55179.15</v>
      </c>
      <c r="S955" s="1">
        <v>1870.45</v>
      </c>
      <c r="T955">
        <f t="shared" si="98"/>
        <v>484.027631578947</v>
      </c>
      <c r="U955">
        <f t="shared" si="99"/>
        <v>7603.8</v>
      </c>
      <c r="V955">
        <f t="shared" si="102"/>
        <v>633.65</v>
      </c>
      <c r="W955">
        <f t="shared" si="100"/>
        <v>19221.27</v>
      </c>
      <c r="X955">
        <f t="shared" si="104"/>
        <v>0.55764476619183</v>
      </c>
      <c r="AH955" t="str">
        <f t="shared" si="103"/>
        <v>1st Quality</v>
      </c>
      <c r="AJ955">
        <f t="shared" si="105"/>
        <v>34.0471821699123</v>
      </c>
      <c r="AK955">
        <f t="shared" si="101"/>
        <v>670378.269736842</v>
      </c>
    </row>
    <row r="956" spans="1:37">
      <c r="A956" t="s">
        <v>1019</v>
      </c>
      <c r="B956">
        <v>33</v>
      </c>
      <c r="C956" t="s">
        <v>44</v>
      </c>
      <c r="D956" t="s">
        <v>45</v>
      </c>
      <c r="E956">
        <v>963</v>
      </c>
      <c r="F956">
        <v>148</v>
      </c>
      <c r="G956">
        <v>1</v>
      </c>
      <c r="H956">
        <v>2078.24</v>
      </c>
      <c r="I956">
        <v>1870.45</v>
      </c>
      <c r="J956">
        <v>14</v>
      </c>
      <c r="K956">
        <v>0</v>
      </c>
      <c r="L956">
        <v>13.3</v>
      </c>
      <c r="M956">
        <v>36.8</v>
      </c>
      <c r="N956" t="s">
        <v>61</v>
      </c>
      <c r="O956" t="s">
        <v>47</v>
      </c>
      <c r="P956" t="s">
        <v>58</v>
      </c>
      <c r="R956">
        <f>SUMIF(A956:A5955,"C00955",I956:I5955)</f>
        <v>1870.45</v>
      </c>
      <c r="S956" s="1">
        <v>1455.72</v>
      </c>
      <c r="T956">
        <f t="shared" si="98"/>
        <v>133.603571428571</v>
      </c>
      <c r="U956">
        <f t="shared" si="99"/>
        <v>515.2</v>
      </c>
      <c r="V956">
        <f t="shared" si="102"/>
        <v>42.9333333333333</v>
      </c>
      <c r="W956">
        <f t="shared" si="100"/>
        <v>1316.56333333333</v>
      </c>
      <c r="X956">
        <f t="shared" si="104"/>
        <v>0.463372853953345</v>
      </c>
      <c r="AH956" t="str">
        <f t="shared" si="103"/>
        <v>3rd Quality</v>
      </c>
      <c r="AJ956">
        <f t="shared" si="105"/>
        <v>9.37607032215617</v>
      </c>
      <c r="AK956">
        <f t="shared" si="101"/>
        <v>128660.239285714</v>
      </c>
    </row>
    <row r="957" spans="1:37">
      <c r="A957" t="s">
        <v>1020</v>
      </c>
      <c r="B957">
        <v>52</v>
      </c>
      <c r="C957" t="s">
        <v>50</v>
      </c>
      <c r="D957" t="s">
        <v>60</v>
      </c>
      <c r="E957">
        <v>596</v>
      </c>
      <c r="F957">
        <v>284</v>
      </c>
      <c r="G957">
        <v>1</v>
      </c>
      <c r="H957">
        <v>1500.74</v>
      </c>
      <c r="I957">
        <v>1455.72</v>
      </c>
      <c r="J957">
        <v>12</v>
      </c>
      <c r="K957">
        <v>0</v>
      </c>
      <c r="L957">
        <v>2.4</v>
      </c>
      <c r="M957">
        <v>36</v>
      </c>
      <c r="N957" t="s">
        <v>81</v>
      </c>
      <c r="O957" t="s">
        <v>53</v>
      </c>
      <c r="P957" t="s">
        <v>66</v>
      </c>
      <c r="R957">
        <f>SUMIF(A957:A5956,"C00956",I957:I5956)</f>
        <v>1455.72</v>
      </c>
      <c r="S957" s="1">
        <v>4789.88</v>
      </c>
      <c r="T957">
        <f t="shared" si="98"/>
        <v>121.31</v>
      </c>
      <c r="U957">
        <f t="shared" si="99"/>
        <v>432</v>
      </c>
      <c r="V957">
        <f t="shared" si="102"/>
        <v>36</v>
      </c>
      <c r="W957">
        <f t="shared" si="100"/>
        <v>985.82</v>
      </c>
      <c r="X957">
        <f t="shared" si="104"/>
        <v>0.397137412209976</v>
      </c>
      <c r="AH957" t="str">
        <f t="shared" si="103"/>
        <v>3rd Quality</v>
      </c>
      <c r="AJ957">
        <f t="shared" si="105"/>
        <v>8.51499032308381</v>
      </c>
      <c r="AK957">
        <f t="shared" si="101"/>
        <v>72300.76</v>
      </c>
    </row>
    <row r="958" spans="1:37">
      <c r="A958" t="s">
        <v>1021</v>
      </c>
      <c r="B958">
        <v>41</v>
      </c>
      <c r="C958" t="s">
        <v>44</v>
      </c>
      <c r="D958" t="s">
        <v>45</v>
      </c>
      <c r="E958">
        <v>419</v>
      </c>
      <c r="F958">
        <v>102</v>
      </c>
      <c r="G958">
        <v>4</v>
      </c>
      <c r="H958">
        <v>1187.94</v>
      </c>
      <c r="I958">
        <v>4789.88</v>
      </c>
      <c r="J958">
        <v>40</v>
      </c>
      <c r="K958">
        <v>1</v>
      </c>
      <c r="L958">
        <v>23.5</v>
      </c>
      <c r="M958">
        <v>19.5</v>
      </c>
      <c r="N958" t="s">
        <v>52</v>
      </c>
      <c r="O958" t="s">
        <v>75</v>
      </c>
      <c r="P958" t="s">
        <v>58</v>
      </c>
      <c r="R958">
        <f>SUMIF(A958:A5957,"C00957",I958:I5957)</f>
        <v>4789.88</v>
      </c>
      <c r="S958" s="1">
        <v>23970.25</v>
      </c>
      <c r="T958">
        <f t="shared" si="98"/>
        <v>119.747</v>
      </c>
      <c r="U958">
        <f t="shared" si="99"/>
        <v>780</v>
      </c>
      <c r="V958">
        <f>U958*1</f>
        <v>780</v>
      </c>
      <c r="W958">
        <f t="shared" si="100"/>
        <v>1992.94</v>
      </c>
      <c r="X958">
        <f t="shared" si="104"/>
        <v>0.352711416401502</v>
      </c>
      <c r="AH958" t="str">
        <f t="shared" si="103"/>
        <v>3rd Quality</v>
      </c>
      <c r="AJ958">
        <f t="shared" si="105"/>
        <v>8.40804849180271</v>
      </c>
      <c r="AK958">
        <f t="shared" si="101"/>
        <v>50173.993</v>
      </c>
    </row>
    <row r="959" spans="1:37">
      <c r="A959" t="s">
        <v>1022</v>
      </c>
      <c r="B959">
        <v>32</v>
      </c>
      <c r="C959" t="s">
        <v>50</v>
      </c>
      <c r="D959" t="s">
        <v>60</v>
      </c>
      <c r="E959">
        <v>1299</v>
      </c>
      <c r="F959">
        <v>39</v>
      </c>
      <c r="G959">
        <v>3</v>
      </c>
      <c r="H959">
        <v>8733.69</v>
      </c>
      <c r="I959">
        <v>23970.25</v>
      </c>
      <c r="J959">
        <v>26</v>
      </c>
      <c r="K959">
        <v>0</v>
      </c>
      <c r="L959">
        <v>2.5</v>
      </c>
      <c r="M959">
        <v>18.6</v>
      </c>
      <c r="N959" t="s">
        <v>46</v>
      </c>
      <c r="O959" t="s">
        <v>47</v>
      </c>
      <c r="P959" t="s">
        <v>68</v>
      </c>
      <c r="R959">
        <f>SUMIF(A959:A5958,"C00958",I959:I5958)</f>
        <v>23970.25</v>
      </c>
      <c r="S959" s="1">
        <v>26387.72</v>
      </c>
      <c r="T959">
        <f t="shared" si="98"/>
        <v>921.932692307692</v>
      </c>
      <c r="U959">
        <f t="shared" si="99"/>
        <v>483.6</v>
      </c>
      <c r="V959">
        <f t="shared" si="102"/>
        <v>40.3</v>
      </c>
      <c r="W959">
        <f t="shared" si="100"/>
        <v>10901.6466666667</v>
      </c>
      <c r="X959">
        <f t="shared" si="104"/>
        <v>0.14873438374845</v>
      </c>
      <c r="AH959" t="str">
        <f t="shared" si="103"/>
        <v>2nd Quality</v>
      </c>
      <c r="AJ959">
        <f t="shared" si="105"/>
        <v>64.9143632340805</v>
      </c>
      <c r="AK959">
        <f t="shared" si="101"/>
        <v>1197590.56730769</v>
      </c>
    </row>
    <row r="960" spans="1:37">
      <c r="A960" t="s">
        <v>1023</v>
      </c>
      <c r="B960">
        <v>31</v>
      </c>
      <c r="C960" t="s">
        <v>44</v>
      </c>
      <c r="D960" t="s">
        <v>45</v>
      </c>
      <c r="E960">
        <v>1051</v>
      </c>
      <c r="F960">
        <v>99</v>
      </c>
      <c r="G960">
        <v>4</v>
      </c>
      <c r="H960">
        <v>6218.38</v>
      </c>
      <c r="I960">
        <v>26387.72</v>
      </c>
      <c r="J960">
        <v>36</v>
      </c>
      <c r="K960">
        <v>1</v>
      </c>
      <c r="L960">
        <v>12.9</v>
      </c>
      <c r="M960">
        <v>21.5</v>
      </c>
      <c r="N960" t="s">
        <v>57</v>
      </c>
      <c r="O960" t="s">
        <v>47</v>
      </c>
      <c r="P960" t="s">
        <v>58</v>
      </c>
      <c r="R960">
        <f>SUMIF(A960:A5959,"C00959",I960:I5959)</f>
        <v>26387.72</v>
      </c>
      <c r="S960" s="1">
        <v>45269.26</v>
      </c>
      <c r="T960">
        <f t="shared" si="98"/>
        <v>732.992222222222</v>
      </c>
      <c r="U960">
        <f t="shared" si="99"/>
        <v>774</v>
      </c>
      <c r="V960">
        <f>U960*1</f>
        <v>774</v>
      </c>
      <c r="W960">
        <f t="shared" si="100"/>
        <v>10869.0333333333</v>
      </c>
      <c r="X960">
        <f t="shared" si="104"/>
        <v>0.169015081098292</v>
      </c>
      <c r="AH960" t="str">
        <f t="shared" si="103"/>
        <v>2nd Quality</v>
      </c>
      <c r="AJ960">
        <f t="shared" si="105"/>
        <v>51.6072681085298</v>
      </c>
      <c r="AK960">
        <f t="shared" si="101"/>
        <v>770374.825555556</v>
      </c>
    </row>
    <row r="961" spans="1:37">
      <c r="A961" t="s">
        <v>1024</v>
      </c>
      <c r="B961">
        <v>22</v>
      </c>
      <c r="C961" t="s">
        <v>50</v>
      </c>
      <c r="D961" t="s">
        <v>45</v>
      </c>
      <c r="E961">
        <v>850</v>
      </c>
      <c r="F961">
        <v>24</v>
      </c>
      <c r="G961">
        <v>3</v>
      </c>
      <c r="H961">
        <v>16299.24</v>
      </c>
      <c r="I961">
        <v>45269.26</v>
      </c>
      <c r="J961">
        <v>29</v>
      </c>
      <c r="K961">
        <v>0</v>
      </c>
      <c r="L961">
        <v>14.5</v>
      </c>
      <c r="M961">
        <v>46.6</v>
      </c>
      <c r="N961" t="s">
        <v>81</v>
      </c>
      <c r="O961" t="s">
        <v>47</v>
      </c>
      <c r="P961" t="s">
        <v>58</v>
      </c>
      <c r="R961">
        <f>SUMIF(A961:A5960,"C00960",I961:I5960)</f>
        <v>45269.26</v>
      </c>
      <c r="S961" s="1">
        <v>96217.3</v>
      </c>
      <c r="T961">
        <f t="shared" si="98"/>
        <v>1561.00896551724</v>
      </c>
      <c r="U961">
        <f t="shared" si="99"/>
        <v>1351.4</v>
      </c>
      <c r="V961">
        <f t="shared" si="102"/>
        <v>112.616666666667</v>
      </c>
      <c r="W961">
        <f t="shared" si="100"/>
        <v>20523.1666666667</v>
      </c>
      <c r="X961">
        <f t="shared" si="104"/>
        <v>0.052149670782196</v>
      </c>
      <c r="AH961" t="str">
        <f t="shared" si="103"/>
        <v>2nd Quality</v>
      </c>
      <c r="AJ961">
        <f t="shared" si="105"/>
        <v>109.926536327215</v>
      </c>
      <c r="AK961">
        <f t="shared" si="101"/>
        <v>1326857.62068966</v>
      </c>
    </row>
    <row r="962" spans="1:37">
      <c r="A962" t="s">
        <v>1025</v>
      </c>
      <c r="B962">
        <v>33</v>
      </c>
      <c r="C962" t="s">
        <v>50</v>
      </c>
      <c r="D962" t="s">
        <v>60</v>
      </c>
      <c r="E962">
        <v>680</v>
      </c>
      <c r="F962">
        <v>7</v>
      </c>
      <c r="G962">
        <v>6</v>
      </c>
      <c r="H962">
        <v>15202.36</v>
      </c>
      <c r="I962">
        <v>96217.3</v>
      </c>
      <c r="J962">
        <v>27</v>
      </c>
      <c r="K962">
        <v>0</v>
      </c>
      <c r="L962">
        <v>0</v>
      </c>
      <c r="M962">
        <v>42.5</v>
      </c>
      <c r="N962" t="s">
        <v>81</v>
      </c>
      <c r="O962" t="s">
        <v>47</v>
      </c>
      <c r="P962" t="s">
        <v>48</v>
      </c>
      <c r="R962">
        <f>SUMIF(A962:A5961,"C00961",I962:I5961)</f>
        <v>96217.3</v>
      </c>
      <c r="S962" s="1">
        <v>4990.1</v>
      </c>
      <c r="T962">
        <f t="shared" si="98"/>
        <v>3563.6037037037</v>
      </c>
      <c r="U962">
        <f t="shared" si="99"/>
        <v>1147.5</v>
      </c>
      <c r="V962">
        <f t="shared" si="102"/>
        <v>95.625</v>
      </c>
      <c r="W962">
        <f t="shared" si="100"/>
        <v>37140.22</v>
      </c>
      <c r="X962">
        <f t="shared" si="104"/>
        <v>0.0447298972001716</v>
      </c>
      <c r="AH962" t="str">
        <f t="shared" si="103"/>
        <v>2nd Quality</v>
      </c>
      <c r="AJ962">
        <f t="shared" si="105"/>
        <v>250.954857310317</v>
      </c>
      <c r="AK962">
        <f t="shared" si="101"/>
        <v>2423250.51851852</v>
      </c>
    </row>
    <row r="963" spans="1:37">
      <c r="A963" t="s">
        <v>1026</v>
      </c>
      <c r="B963">
        <v>42</v>
      </c>
      <c r="C963" t="s">
        <v>50</v>
      </c>
      <c r="D963" t="s">
        <v>60</v>
      </c>
      <c r="E963">
        <v>688</v>
      </c>
      <c r="F963">
        <v>14</v>
      </c>
      <c r="G963">
        <v>6</v>
      </c>
      <c r="H963">
        <v>938.96</v>
      </c>
      <c r="I963">
        <v>4990.1</v>
      </c>
      <c r="J963">
        <v>31</v>
      </c>
      <c r="K963">
        <v>1</v>
      </c>
      <c r="L963">
        <v>30.6</v>
      </c>
      <c r="M963">
        <v>21.4</v>
      </c>
      <c r="N963" t="s">
        <v>81</v>
      </c>
      <c r="O963" t="s">
        <v>47</v>
      </c>
      <c r="P963" t="s">
        <v>68</v>
      </c>
      <c r="R963">
        <f>SUMIF(A963:A5962,"C00962",I963:I5962)</f>
        <v>4990.1</v>
      </c>
      <c r="S963" s="1">
        <v>97195.96</v>
      </c>
      <c r="T963">
        <f t="shared" ref="T963:T1026" si="106">I963/J963</f>
        <v>160.970967741935</v>
      </c>
      <c r="U963">
        <f t="shared" ref="U963:U1026" si="107">J963*M963</f>
        <v>663.4</v>
      </c>
      <c r="V963">
        <f>U963*1</f>
        <v>663.4</v>
      </c>
      <c r="W963">
        <f t="shared" ref="W963:W1026" si="108">(H963+I963+1)/3</f>
        <v>1976.68666666667</v>
      </c>
      <c r="X963">
        <f t="shared" si="104"/>
        <v>0.732725568714322</v>
      </c>
      <c r="AH963" t="str">
        <f t="shared" si="103"/>
        <v>3rd Quality</v>
      </c>
      <c r="AJ963">
        <f t="shared" si="105"/>
        <v>11.2843832516353</v>
      </c>
      <c r="AK963">
        <f t="shared" ref="AK963:AK1026" si="109">I963/J963*E963</f>
        <v>110748.025806452</v>
      </c>
    </row>
    <row r="964" spans="1:37">
      <c r="A964" t="s">
        <v>1027</v>
      </c>
      <c r="B964">
        <v>27</v>
      </c>
      <c r="C964" t="s">
        <v>44</v>
      </c>
      <c r="D964" t="s">
        <v>60</v>
      </c>
      <c r="E964">
        <v>1048</v>
      </c>
      <c r="F964">
        <v>26</v>
      </c>
      <c r="G964">
        <v>25</v>
      </c>
      <c r="H964">
        <v>3719.24</v>
      </c>
      <c r="I964">
        <v>97195.96</v>
      </c>
      <c r="J964">
        <v>57</v>
      </c>
      <c r="K964">
        <v>1</v>
      </c>
      <c r="L964">
        <v>3.6</v>
      </c>
      <c r="M964">
        <v>46.4</v>
      </c>
      <c r="N964" t="s">
        <v>63</v>
      </c>
      <c r="O964" t="s">
        <v>53</v>
      </c>
      <c r="P964" t="s">
        <v>68</v>
      </c>
      <c r="R964">
        <f>SUMIF(A964:A5963,"C00963",I964:I5963)</f>
        <v>97195.96</v>
      </c>
      <c r="S964" s="1">
        <v>68972.19</v>
      </c>
      <c r="T964">
        <f t="shared" si="106"/>
        <v>1705.19228070175</v>
      </c>
      <c r="U964">
        <f t="shared" si="107"/>
        <v>2644.8</v>
      </c>
      <c r="V964">
        <f>U964*1</f>
        <v>2644.8</v>
      </c>
      <c r="W964">
        <f t="shared" si="108"/>
        <v>33638.7333333333</v>
      </c>
      <c r="X964">
        <f t="shared" si="104"/>
        <v>0.281777997655435</v>
      </c>
      <c r="AH964" t="str">
        <f t="shared" si="103"/>
        <v>1st Quality</v>
      </c>
      <c r="AJ964">
        <f t="shared" si="105"/>
        <v>120.064119908739</v>
      </c>
      <c r="AK964">
        <f t="shared" si="109"/>
        <v>1787041.51017544</v>
      </c>
    </row>
    <row r="965" spans="1:37">
      <c r="A965" t="s">
        <v>1028</v>
      </c>
      <c r="B965">
        <v>23</v>
      </c>
      <c r="C965" t="s">
        <v>50</v>
      </c>
      <c r="D965" t="s">
        <v>60</v>
      </c>
      <c r="E965">
        <v>922</v>
      </c>
      <c r="F965">
        <v>7</v>
      </c>
      <c r="G965">
        <v>25</v>
      </c>
      <c r="H965">
        <v>2826.44</v>
      </c>
      <c r="I965">
        <v>68972.19</v>
      </c>
      <c r="J965">
        <v>164</v>
      </c>
      <c r="K965">
        <v>1</v>
      </c>
      <c r="L965">
        <v>3.2</v>
      </c>
      <c r="M965">
        <v>66.4</v>
      </c>
      <c r="N965" t="s">
        <v>46</v>
      </c>
      <c r="O965" t="s">
        <v>47</v>
      </c>
      <c r="P965" t="s">
        <v>48</v>
      </c>
      <c r="R965">
        <f>SUMIF(A965:A5964,"C00964",I965:I5964)</f>
        <v>68972.19</v>
      </c>
      <c r="S965" s="1">
        <v>2300.63</v>
      </c>
      <c r="T965">
        <f t="shared" si="106"/>
        <v>420.562134146341</v>
      </c>
      <c r="U965">
        <f t="shared" si="107"/>
        <v>10889.6</v>
      </c>
      <c r="V965">
        <f>U965*1</f>
        <v>10889.6</v>
      </c>
      <c r="W965">
        <f t="shared" si="108"/>
        <v>23933.21</v>
      </c>
      <c r="X965">
        <f t="shared" si="104"/>
        <v>0.326205403263469</v>
      </c>
      <c r="AH965" t="str">
        <f t="shared" si="103"/>
        <v>1st Quality</v>
      </c>
      <c r="AJ965">
        <f t="shared" si="105"/>
        <v>29.5940794889491</v>
      </c>
      <c r="AK965">
        <f t="shared" si="109"/>
        <v>387758.287682927</v>
      </c>
    </row>
    <row r="966" spans="1:37">
      <c r="A966" t="s">
        <v>1029</v>
      </c>
      <c r="B966">
        <v>44</v>
      </c>
      <c r="C966" t="s">
        <v>44</v>
      </c>
      <c r="D966" t="s">
        <v>45</v>
      </c>
      <c r="E966">
        <v>951</v>
      </c>
      <c r="F966">
        <v>319</v>
      </c>
      <c r="G966">
        <v>1</v>
      </c>
      <c r="H966">
        <v>2150.87</v>
      </c>
      <c r="I966">
        <v>2300.63</v>
      </c>
      <c r="J966">
        <v>11</v>
      </c>
      <c r="K966">
        <v>0</v>
      </c>
      <c r="L966">
        <v>7.3</v>
      </c>
      <c r="M966">
        <v>21.5</v>
      </c>
      <c r="N966" t="s">
        <v>81</v>
      </c>
      <c r="O966" t="s">
        <v>47</v>
      </c>
      <c r="P966" t="s">
        <v>58</v>
      </c>
      <c r="R966">
        <f>SUMIF(A966:A5965,"C00965",I966:I5965)</f>
        <v>2300.63</v>
      </c>
      <c r="S966" s="1">
        <v>5893.58</v>
      </c>
      <c r="T966">
        <f t="shared" si="106"/>
        <v>209.148181818182</v>
      </c>
      <c r="U966">
        <f t="shared" si="107"/>
        <v>236.5</v>
      </c>
      <c r="V966">
        <f t="shared" ref="V963:V1022" si="110">U966/12</f>
        <v>19.7083333333333</v>
      </c>
      <c r="W966">
        <f t="shared" si="108"/>
        <v>1484.16666666667</v>
      </c>
      <c r="X966">
        <f t="shared" si="104"/>
        <v>0.442146666232734</v>
      </c>
      <c r="AH966" t="str">
        <f t="shared" si="103"/>
        <v>3rd Quality</v>
      </c>
      <c r="AJ966">
        <f t="shared" si="105"/>
        <v>14.6976081092922</v>
      </c>
      <c r="AK966">
        <f t="shared" si="109"/>
        <v>198899.920909091</v>
      </c>
    </row>
    <row r="967" spans="1:37">
      <c r="A967" t="s">
        <v>1030</v>
      </c>
      <c r="B967">
        <v>44</v>
      </c>
      <c r="C967" t="s">
        <v>44</v>
      </c>
      <c r="D967" t="s">
        <v>45</v>
      </c>
      <c r="E967">
        <v>1065</v>
      </c>
      <c r="F967">
        <v>32</v>
      </c>
      <c r="G967">
        <v>6</v>
      </c>
      <c r="H967">
        <v>967.87</v>
      </c>
      <c r="I967">
        <v>5893.58</v>
      </c>
      <c r="J967">
        <v>40</v>
      </c>
      <c r="K967">
        <v>0</v>
      </c>
      <c r="L967">
        <v>24.4</v>
      </c>
      <c r="M967">
        <v>31.8</v>
      </c>
      <c r="N967" t="s">
        <v>63</v>
      </c>
      <c r="O967" t="s">
        <v>53</v>
      </c>
      <c r="P967" t="s">
        <v>58</v>
      </c>
      <c r="R967">
        <f>SUMIF(A967:A5966,"C00966",I967:I5966)</f>
        <v>5893.58</v>
      </c>
      <c r="S967" s="1">
        <v>2299.55</v>
      </c>
      <c r="T967">
        <f t="shared" si="106"/>
        <v>147.3395</v>
      </c>
      <c r="U967">
        <f t="shared" si="107"/>
        <v>1272</v>
      </c>
      <c r="V967">
        <f t="shared" si="110"/>
        <v>106</v>
      </c>
      <c r="W967">
        <f t="shared" si="108"/>
        <v>2287.48333333333</v>
      </c>
      <c r="X967">
        <f t="shared" si="104"/>
        <v>1.10035438643619</v>
      </c>
      <c r="AH967" t="str">
        <f t="shared" si="103"/>
        <v>3rd Quality</v>
      </c>
      <c r="AJ967">
        <f t="shared" si="105"/>
        <v>10.2985313812369</v>
      </c>
      <c r="AK967">
        <f t="shared" si="109"/>
        <v>156916.5675</v>
      </c>
    </row>
    <row r="968" spans="1:37">
      <c r="A968" t="s">
        <v>1031</v>
      </c>
      <c r="B968">
        <v>22</v>
      </c>
      <c r="C968" t="s">
        <v>50</v>
      </c>
      <c r="D968" t="s">
        <v>60</v>
      </c>
      <c r="E968">
        <v>1381</v>
      </c>
      <c r="F968">
        <v>70</v>
      </c>
      <c r="G968">
        <v>1</v>
      </c>
      <c r="H968">
        <v>2367.72</v>
      </c>
      <c r="I968">
        <v>2299.55</v>
      </c>
      <c r="J968">
        <v>9</v>
      </c>
      <c r="K968">
        <v>0</v>
      </c>
      <c r="L968">
        <v>12.9</v>
      </c>
      <c r="M968">
        <v>25.5</v>
      </c>
      <c r="N968" t="s">
        <v>78</v>
      </c>
      <c r="O968" t="s">
        <v>47</v>
      </c>
      <c r="P968" t="s">
        <v>58</v>
      </c>
      <c r="R968">
        <f>SUMIF(A968:A5967,"C00967",I968:I5967)</f>
        <v>2299.55</v>
      </c>
      <c r="S968" s="1">
        <v>120456.07</v>
      </c>
      <c r="T968">
        <f t="shared" si="106"/>
        <v>255.505555555556</v>
      </c>
      <c r="U968">
        <f t="shared" si="107"/>
        <v>229.5</v>
      </c>
      <c r="V968">
        <f t="shared" si="110"/>
        <v>19.125</v>
      </c>
      <c r="W968">
        <f t="shared" si="108"/>
        <v>1556.09</v>
      </c>
      <c r="X968">
        <f t="shared" si="104"/>
        <v>0.583261534303043</v>
      </c>
      <c r="AH968" t="str">
        <f t="shared" si="103"/>
        <v>3rd Quality</v>
      </c>
      <c r="AJ968">
        <f t="shared" si="105"/>
        <v>17.9522742268488</v>
      </c>
      <c r="AK968">
        <f t="shared" si="109"/>
        <v>352853.172222222</v>
      </c>
    </row>
    <row r="969" spans="1:37">
      <c r="A969" t="s">
        <v>1032</v>
      </c>
      <c r="B969">
        <v>25</v>
      </c>
      <c r="C969" t="s">
        <v>50</v>
      </c>
      <c r="D969" t="s">
        <v>60</v>
      </c>
      <c r="E969">
        <v>569</v>
      </c>
      <c r="F969">
        <v>11</v>
      </c>
      <c r="G969">
        <v>23</v>
      </c>
      <c r="H969">
        <v>5039.12</v>
      </c>
      <c r="I969">
        <v>120456.07</v>
      </c>
      <c r="J969">
        <v>59</v>
      </c>
      <c r="K969">
        <v>0</v>
      </c>
      <c r="L969">
        <v>18.2</v>
      </c>
      <c r="M969">
        <v>34.1</v>
      </c>
      <c r="N969" t="s">
        <v>46</v>
      </c>
      <c r="O969" t="s">
        <v>47</v>
      </c>
      <c r="P969" t="s">
        <v>58</v>
      </c>
      <c r="R969">
        <f>SUMIF(A969:A5968,"C00968",I969:I5968)</f>
        <v>120456.07</v>
      </c>
      <c r="S969" s="1">
        <v>19349.04</v>
      </c>
      <c r="T969">
        <f t="shared" si="106"/>
        <v>2041.62830508475</v>
      </c>
      <c r="U969">
        <f t="shared" si="107"/>
        <v>2011.9</v>
      </c>
      <c r="V969">
        <f t="shared" si="110"/>
        <v>167.658333333333</v>
      </c>
      <c r="W969">
        <f t="shared" si="108"/>
        <v>41832.0633333333</v>
      </c>
      <c r="X969">
        <f t="shared" si="104"/>
        <v>0.112916540983346</v>
      </c>
      <c r="AH969" t="str">
        <f t="shared" si="103"/>
        <v>2nd Quality</v>
      </c>
      <c r="AJ969">
        <f t="shared" si="105"/>
        <v>143.768689334068</v>
      </c>
      <c r="AK969">
        <f t="shared" si="109"/>
        <v>1161686.50559322</v>
      </c>
    </row>
    <row r="970" spans="1:37">
      <c r="A970" t="s">
        <v>1033</v>
      </c>
      <c r="B970">
        <v>49</v>
      </c>
      <c r="C970" t="s">
        <v>44</v>
      </c>
      <c r="D970" t="s">
        <v>51</v>
      </c>
      <c r="E970">
        <v>1056</v>
      </c>
      <c r="F970">
        <v>15</v>
      </c>
      <c r="G970">
        <v>3</v>
      </c>
      <c r="H970">
        <v>6627.99</v>
      </c>
      <c r="I970">
        <v>19349.04</v>
      </c>
      <c r="J970">
        <v>34</v>
      </c>
      <c r="K970">
        <v>0</v>
      </c>
      <c r="L970">
        <v>0</v>
      </c>
      <c r="M970">
        <v>16.6</v>
      </c>
      <c r="N970" t="s">
        <v>61</v>
      </c>
      <c r="O970" t="s">
        <v>47</v>
      </c>
      <c r="P970" t="s">
        <v>58</v>
      </c>
      <c r="R970">
        <f>SUMIF(A970:A5969,"C00969",I970:I5969)</f>
        <v>19349.04</v>
      </c>
      <c r="S970" s="1">
        <v>85592.01</v>
      </c>
      <c r="T970">
        <f t="shared" si="106"/>
        <v>569.089411764706</v>
      </c>
      <c r="U970">
        <f t="shared" si="107"/>
        <v>564.4</v>
      </c>
      <c r="V970">
        <f t="shared" si="110"/>
        <v>47.0333333333333</v>
      </c>
      <c r="W970">
        <f t="shared" si="108"/>
        <v>8659.34333333333</v>
      </c>
      <c r="X970">
        <f t="shared" si="104"/>
        <v>0.159324320042728</v>
      </c>
      <c r="AH970" t="str">
        <f t="shared" si="103"/>
        <v>3rd Quality</v>
      </c>
      <c r="AJ970">
        <f t="shared" si="105"/>
        <v>40.0654991158214</v>
      </c>
      <c r="AK970">
        <f t="shared" si="109"/>
        <v>600958.418823529</v>
      </c>
    </row>
    <row r="971" spans="1:37">
      <c r="A971" t="s">
        <v>1034</v>
      </c>
      <c r="B971">
        <v>26</v>
      </c>
      <c r="C971" t="s">
        <v>50</v>
      </c>
      <c r="D971" t="s">
        <v>60</v>
      </c>
      <c r="E971">
        <v>1189</v>
      </c>
      <c r="F971">
        <v>5</v>
      </c>
      <c r="G971">
        <v>27</v>
      </c>
      <c r="H971">
        <v>3283.39</v>
      </c>
      <c r="I971">
        <v>85592.01</v>
      </c>
      <c r="J971">
        <v>174</v>
      </c>
      <c r="K971">
        <v>4</v>
      </c>
      <c r="L971">
        <v>14.1</v>
      </c>
      <c r="M971">
        <v>29</v>
      </c>
      <c r="N971" t="s">
        <v>52</v>
      </c>
      <c r="O971" t="s">
        <v>47</v>
      </c>
      <c r="P971" t="s">
        <v>58</v>
      </c>
      <c r="R971">
        <f>SUMIF(A971:A5970,"C00970",I971:I5970)</f>
        <v>85592.01</v>
      </c>
      <c r="S971" s="1">
        <v>10523.35</v>
      </c>
      <c r="T971">
        <f t="shared" si="106"/>
        <v>491.908103448276</v>
      </c>
      <c r="U971">
        <f t="shared" si="107"/>
        <v>5046</v>
      </c>
      <c r="V971">
        <f>U971*4</f>
        <v>20184</v>
      </c>
      <c r="W971">
        <f t="shared" si="108"/>
        <v>29625.4666666667</v>
      </c>
      <c r="X971">
        <f t="shared" si="104"/>
        <v>0.362125729809739</v>
      </c>
      <c r="AH971" t="str">
        <f t="shared" si="103"/>
        <v>1st Quality</v>
      </c>
      <c r="AJ971">
        <f t="shared" si="105"/>
        <v>34.6159139238357</v>
      </c>
      <c r="AK971">
        <f t="shared" si="109"/>
        <v>584878.735</v>
      </c>
    </row>
    <row r="972" spans="1:37">
      <c r="A972" t="s">
        <v>1035</v>
      </c>
      <c r="B972">
        <v>42</v>
      </c>
      <c r="C972" t="s">
        <v>44</v>
      </c>
      <c r="D972" t="s">
        <v>51</v>
      </c>
      <c r="E972">
        <v>903</v>
      </c>
      <c r="F972">
        <v>32</v>
      </c>
      <c r="G972">
        <v>5</v>
      </c>
      <c r="H972">
        <v>2142.92</v>
      </c>
      <c r="I972">
        <v>10523.35</v>
      </c>
      <c r="J972">
        <v>31</v>
      </c>
      <c r="K972">
        <v>2</v>
      </c>
      <c r="L972">
        <v>13.5</v>
      </c>
      <c r="M972">
        <v>28.6</v>
      </c>
      <c r="N972" t="s">
        <v>63</v>
      </c>
      <c r="O972" t="s">
        <v>47</v>
      </c>
      <c r="P972" t="s">
        <v>68</v>
      </c>
      <c r="R972">
        <f>SUMIF(A972:A5971,"C00971",I972:I5971)</f>
        <v>10523.35</v>
      </c>
      <c r="S972" s="1">
        <v>50548.63</v>
      </c>
      <c r="T972">
        <f t="shared" si="106"/>
        <v>339.462903225806</v>
      </c>
      <c r="U972">
        <f t="shared" si="107"/>
        <v>886.6</v>
      </c>
      <c r="V972">
        <f>U972*2</f>
        <v>1773.2</v>
      </c>
      <c r="W972">
        <f t="shared" si="108"/>
        <v>4222.42333333333</v>
      </c>
      <c r="X972">
        <f t="shared" si="104"/>
        <v>0.421387639295914</v>
      </c>
      <c r="AH972" t="str">
        <f t="shared" si="103"/>
        <v>3rd Quality</v>
      </c>
      <c r="AJ972">
        <f t="shared" si="105"/>
        <v>23.8761630694725</v>
      </c>
      <c r="AK972">
        <f t="shared" si="109"/>
        <v>306535.001612903</v>
      </c>
    </row>
    <row r="973" spans="1:37">
      <c r="A973" t="s">
        <v>1036</v>
      </c>
      <c r="B973">
        <v>23</v>
      </c>
      <c r="C973" t="s">
        <v>50</v>
      </c>
      <c r="D973" t="s">
        <v>45</v>
      </c>
      <c r="E973">
        <v>800</v>
      </c>
      <c r="F973">
        <v>1</v>
      </c>
      <c r="G973">
        <v>22</v>
      </c>
      <c r="H973">
        <v>2187.22</v>
      </c>
      <c r="I973">
        <v>50548.63</v>
      </c>
      <c r="J973">
        <v>117</v>
      </c>
      <c r="K973">
        <v>2</v>
      </c>
      <c r="L973">
        <v>16.2</v>
      </c>
      <c r="M973">
        <v>57.1</v>
      </c>
      <c r="N973" t="s">
        <v>81</v>
      </c>
      <c r="O973" t="s">
        <v>75</v>
      </c>
      <c r="P973" t="s">
        <v>68</v>
      </c>
      <c r="R973">
        <f>SUMIF(A973:A5972,"C00972",I973:I5972)</f>
        <v>50548.63</v>
      </c>
      <c r="S973" s="1">
        <v>56106.46</v>
      </c>
      <c r="T973">
        <f t="shared" si="106"/>
        <v>432.039572649573</v>
      </c>
      <c r="U973">
        <f t="shared" si="107"/>
        <v>6680.7</v>
      </c>
      <c r="V973">
        <f>U973*2</f>
        <v>13361.4</v>
      </c>
      <c r="W973">
        <f t="shared" si="108"/>
        <v>17578.95</v>
      </c>
      <c r="X973">
        <f t="shared" si="104"/>
        <v>0.365761103135487</v>
      </c>
      <c r="AH973" t="str">
        <f t="shared" si="103"/>
        <v>2nd Quality</v>
      </c>
      <c r="AJ973">
        <f t="shared" si="105"/>
        <v>30.3995641934111</v>
      </c>
      <c r="AK973">
        <f t="shared" si="109"/>
        <v>345631.658119658</v>
      </c>
    </row>
    <row r="974" spans="1:37">
      <c r="A974" t="s">
        <v>1037</v>
      </c>
      <c r="B974">
        <v>31</v>
      </c>
      <c r="C974" t="s">
        <v>44</v>
      </c>
      <c r="D974" t="s">
        <v>45</v>
      </c>
      <c r="E974">
        <v>944</v>
      </c>
      <c r="F974">
        <v>15</v>
      </c>
      <c r="G974">
        <v>22</v>
      </c>
      <c r="H974">
        <v>2481.83</v>
      </c>
      <c r="I974">
        <v>56106.46</v>
      </c>
      <c r="J974">
        <v>51</v>
      </c>
      <c r="K974">
        <v>6</v>
      </c>
      <c r="L974">
        <v>9.8</v>
      </c>
      <c r="M974">
        <v>5.9</v>
      </c>
      <c r="N974" t="s">
        <v>63</v>
      </c>
      <c r="O974" t="s">
        <v>47</v>
      </c>
      <c r="P974" t="s">
        <v>66</v>
      </c>
      <c r="R974">
        <f>SUMIF(A974:A5973,"C00973",I974:I5973)</f>
        <v>56106.46</v>
      </c>
      <c r="S974" s="1">
        <v>2404.55</v>
      </c>
      <c r="T974">
        <f t="shared" si="106"/>
        <v>1100.12666666667</v>
      </c>
      <c r="U974">
        <f t="shared" si="107"/>
        <v>300.9</v>
      </c>
      <c r="V974">
        <f>U974*6</f>
        <v>1805.4</v>
      </c>
      <c r="W974">
        <f t="shared" si="108"/>
        <v>19529.7633333333</v>
      </c>
      <c r="X974">
        <f t="shared" si="104"/>
        <v>0.380364489106828</v>
      </c>
      <c r="AH974" t="str">
        <f t="shared" ref="AH974:AH1037" si="111">IF(AND(W974&gt;=12550,B974&lt;=33,E974&gt;=915),"1st Quality",IF(AND(W974&gt;=6275,B974&lt;=43,E974&gt;=457),"2nd Quality","3rd Quality"))</f>
        <v>1st Quality</v>
      </c>
      <c r="AJ974">
        <f t="shared" si="105"/>
        <v>77.4469226885608</v>
      </c>
      <c r="AK974">
        <f t="shared" si="109"/>
        <v>1038519.57333333</v>
      </c>
    </row>
    <row r="975" spans="1:37">
      <c r="A975" t="s">
        <v>1038</v>
      </c>
      <c r="B975">
        <v>63</v>
      </c>
      <c r="C975" t="s">
        <v>50</v>
      </c>
      <c r="D975" t="s">
        <v>45</v>
      </c>
      <c r="E975">
        <v>1137</v>
      </c>
      <c r="F975">
        <v>130</v>
      </c>
      <c r="G975">
        <v>1</v>
      </c>
      <c r="H975">
        <v>2186.03</v>
      </c>
      <c r="I975">
        <v>2404.55</v>
      </c>
      <c r="J975">
        <v>11</v>
      </c>
      <c r="K975">
        <v>0</v>
      </c>
      <c r="L975">
        <v>19.1</v>
      </c>
      <c r="M975">
        <v>33.8</v>
      </c>
      <c r="N975" t="s">
        <v>57</v>
      </c>
      <c r="O975" t="s">
        <v>53</v>
      </c>
      <c r="P975" t="s">
        <v>58</v>
      </c>
      <c r="R975">
        <f>SUMIF(A975:A5974,"C00974",I975:I5974)</f>
        <v>2404.55</v>
      </c>
      <c r="S975" s="1">
        <v>10059.66</v>
      </c>
      <c r="T975">
        <f t="shared" si="106"/>
        <v>218.595454545455</v>
      </c>
      <c r="U975">
        <f t="shared" si="107"/>
        <v>371.8</v>
      </c>
      <c r="V975">
        <f t="shared" si="110"/>
        <v>30.9833333333333</v>
      </c>
      <c r="W975">
        <f t="shared" si="108"/>
        <v>1530.52666666667</v>
      </c>
      <c r="X975">
        <f t="shared" si="104"/>
        <v>0.520120949849728</v>
      </c>
      <c r="AH975" t="str">
        <f t="shared" si="111"/>
        <v>3rd Quality</v>
      </c>
      <c r="AJ975">
        <f>((T975-X975)*2)/19.1</f>
        <v>22.8351134655084</v>
      </c>
      <c r="AK975">
        <f t="shared" si="109"/>
        <v>248543.031818182</v>
      </c>
    </row>
    <row r="976" spans="1:37">
      <c r="A976" t="s">
        <v>1039</v>
      </c>
      <c r="B976">
        <v>18</v>
      </c>
      <c r="C976" t="s">
        <v>50</v>
      </c>
      <c r="D976" t="s">
        <v>60</v>
      </c>
      <c r="E976">
        <v>743</v>
      </c>
      <c r="F976">
        <v>59</v>
      </c>
      <c r="G976">
        <v>9</v>
      </c>
      <c r="H976">
        <v>1270.03</v>
      </c>
      <c r="I976">
        <v>10059.66</v>
      </c>
      <c r="J976">
        <v>59</v>
      </c>
      <c r="K976">
        <v>1</v>
      </c>
      <c r="L976">
        <v>19.5</v>
      </c>
      <c r="M976">
        <v>11.4</v>
      </c>
      <c r="N976" t="s">
        <v>81</v>
      </c>
      <c r="O976" t="s">
        <v>47</v>
      </c>
      <c r="P976" t="s">
        <v>48</v>
      </c>
      <c r="R976">
        <f>SUMIF(A976:A5975,"C00975",I976:I5975)</f>
        <v>10059.66</v>
      </c>
      <c r="S976" s="1">
        <v>19184.61</v>
      </c>
      <c r="T976">
        <f t="shared" si="106"/>
        <v>170.502711864407</v>
      </c>
      <c r="U976">
        <f t="shared" si="107"/>
        <v>672.6</v>
      </c>
      <c r="V976">
        <f>U976*1</f>
        <v>672.6</v>
      </c>
      <c r="W976">
        <f t="shared" si="108"/>
        <v>3776.89666666667</v>
      </c>
      <c r="X976">
        <f t="shared" si="104"/>
        <v>0.585025550577545</v>
      </c>
      <c r="AH976" t="str">
        <f t="shared" si="111"/>
        <v>3rd Quality</v>
      </c>
      <c r="AJ976">
        <f>((T976-X976)*2)/19.5</f>
        <v>17.4274550065466</v>
      </c>
      <c r="AK976">
        <f t="shared" si="109"/>
        <v>126683.514915254</v>
      </c>
    </row>
    <row r="977" spans="1:37">
      <c r="A977" t="s">
        <v>1040</v>
      </c>
      <c r="B977">
        <v>23</v>
      </c>
      <c r="C977" t="s">
        <v>44</v>
      </c>
      <c r="D977" t="s">
        <v>45</v>
      </c>
      <c r="E977">
        <v>541</v>
      </c>
      <c r="F977">
        <v>48</v>
      </c>
      <c r="G977">
        <v>4</v>
      </c>
      <c r="H977">
        <v>5220.99</v>
      </c>
      <c r="I977">
        <v>19184.61</v>
      </c>
      <c r="J977">
        <v>25</v>
      </c>
      <c r="K977">
        <v>0</v>
      </c>
      <c r="L977">
        <v>3.1</v>
      </c>
      <c r="M977">
        <v>16.7</v>
      </c>
      <c r="N977" t="s">
        <v>57</v>
      </c>
      <c r="O977" t="s">
        <v>47</v>
      </c>
      <c r="P977" t="s">
        <v>68</v>
      </c>
      <c r="R977">
        <f>SUMIF(A977:A5976,"C00976",I977:I5976)</f>
        <v>19184.61</v>
      </c>
      <c r="S977" s="1">
        <v>7161.69</v>
      </c>
      <c r="T977">
        <f t="shared" si="106"/>
        <v>767.3844</v>
      </c>
      <c r="U977">
        <f t="shared" si="107"/>
        <v>417.5</v>
      </c>
      <c r="V977">
        <f t="shared" si="110"/>
        <v>34.7916666666667</v>
      </c>
      <c r="W977">
        <f t="shared" si="108"/>
        <v>8135.53333333333</v>
      </c>
      <c r="X977">
        <f t="shared" si="104"/>
        <v>0.103620194637416</v>
      </c>
      <c r="AH977" t="str">
        <f t="shared" si="111"/>
        <v>2nd Quality</v>
      </c>
      <c r="AJ977">
        <f>((T977-X977)*2)/3.1</f>
        <v>495.019857938944</v>
      </c>
      <c r="AK977">
        <f t="shared" si="109"/>
        <v>415154.9604</v>
      </c>
    </row>
    <row r="978" spans="1:37">
      <c r="A978" t="s">
        <v>1041</v>
      </c>
      <c r="B978">
        <v>20</v>
      </c>
      <c r="C978" t="s">
        <v>50</v>
      </c>
      <c r="D978" t="s">
        <v>51</v>
      </c>
      <c r="E978">
        <v>461</v>
      </c>
      <c r="F978">
        <v>28</v>
      </c>
      <c r="G978">
        <v>6</v>
      </c>
      <c r="H978">
        <v>1195.33</v>
      </c>
      <c r="I978">
        <v>7161.69</v>
      </c>
      <c r="J978">
        <v>54</v>
      </c>
      <c r="K978">
        <v>0</v>
      </c>
      <c r="L978">
        <v>25.5</v>
      </c>
      <c r="M978">
        <v>28.5</v>
      </c>
      <c r="N978" t="s">
        <v>81</v>
      </c>
      <c r="O978" t="s">
        <v>47</v>
      </c>
      <c r="P978" t="s">
        <v>66</v>
      </c>
      <c r="R978">
        <f>SUMIF(A978:A5977,"C00977",I978:I5977)</f>
        <v>7161.69</v>
      </c>
      <c r="S978" s="1">
        <v>24554.23</v>
      </c>
      <c r="T978">
        <f t="shared" si="106"/>
        <v>132.623888888889</v>
      </c>
      <c r="U978">
        <f t="shared" si="107"/>
        <v>1539</v>
      </c>
      <c r="V978">
        <f t="shared" si="110"/>
        <v>128.25</v>
      </c>
      <c r="W978">
        <f t="shared" si="108"/>
        <v>2786.00666666667</v>
      </c>
      <c r="X978">
        <f t="shared" si="104"/>
        <v>0.3856675562397</v>
      </c>
      <c r="AH978" t="str">
        <f t="shared" si="111"/>
        <v>3rd Quality</v>
      </c>
      <c r="AJ978">
        <f>((T978-X978)*2)/25.5</f>
        <v>10.3716252025607</v>
      </c>
      <c r="AK978">
        <f t="shared" si="109"/>
        <v>61139.6127777778</v>
      </c>
    </row>
    <row r="979" spans="1:37">
      <c r="A979" t="s">
        <v>1042</v>
      </c>
      <c r="B979">
        <v>39</v>
      </c>
      <c r="C979" t="s">
        <v>50</v>
      </c>
      <c r="D979" t="s">
        <v>45</v>
      </c>
      <c r="E979">
        <v>431</v>
      </c>
      <c r="F979">
        <v>36</v>
      </c>
      <c r="G979">
        <v>9</v>
      </c>
      <c r="H979">
        <v>2621.51</v>
      </c>
      <c r="I979">
        <v>24554.23</v>
      </c>
      <c r="J979">
        <v>34</v>
      </c>
      <c r="K979">
        <v>2</v>
      </c>
      <c r="L979">
        <v>34.7</v>
      </c>
      <c r="M979">
        <v>12.7</v>
      </c>
      <c r="N979" t="s">
        <v>78</v>
      </c>
      <c r="O979" t="s">
        <v>47</v>
      </c>
      <c r="P979" t="s">
        <v>68</v>
      </c>
      <c r="R979">
        <f>SUMIF(A979:A5978,"C00978",I979:I5978)</f>
        <v>24554.23</v>
      </c>
      <c r="S979" s="1">
        <v>131291.29</v>
      </c>
      <c r="T979">
        <f t="shared" si="106"/>
        <v>722.183235294118</v>
      </c>
      <c r="U979">
        <f t="shared" si="107"/>
        <v>431.8</v>
      </c>
      <c r="V979">
        <f>U979*2</f>
        <v>863.6</v>
      </c>
      <c r="W979">
        <f t="shared" si="108"/>
        <v>9058.91333333333</v>
      </c>
      <c r="X979">
        <f t="shared" si="104"/>
        <v>0.164409061952844</v>
      </c>
      <c r="AH979" t="str">
        <f t="shared" si="111"/>
        <v>3rd Quality</v>
      </c>
      <c r="AJ979">
        <f>((T979-X979)*2)/34.7</f>
        <v>41.6149179384533</v>
      </c>
      <c r="AK979">
        <f t="shared" si="109"/>
        <v>311260.974411765</v>
      </c>
    </row>
    <row r="980" spans="1:37">
      <c r="A980" t="s">
        <v>1043</v>
      </c>
      <c r="B980">
        <v>18</v>
      </c>
      <c r="C980" t="s">
        <v>44</v>
      </c>
      <c r="D980" t="s">
        <v>45</v>
      </c>
      <c r="E980">
        <v>1356</v>
      </c>
      <c r="F980">
        <v>37</v>
      </c>
      <c r="G980">
        <v>7</v>
      </c>
      <c r="H980">
        <v>20804.92</v>
      </c>
      <c r="I980">
        <v>131291.29</v>
      </c>
      <c r="J980">
        <v>34</v>
      </c>
      <c r="K980">
        <v>0</v>
      </c>
      <c r="L980">
        <v>0</v>
      </c>
      <c r="M980">
        <v>23</v>
      </c>
      <c r="N980" t="s">
        <v>52</v>
      </c>
      <c r="O980" t="s">
        <v>53</v>
      </c>
      <c r="P980" t="s">
        <v>68</v>
      </c>
      <c r="R980">
        <f>SUMIF(A980:A5979,"C00979",I980:I5979)</f>
        <v>131291.29</v>
      </c>
      <c r="S980" s="1">
        <v>76412.23</v>
      </c>
      <c r="T980">
        <f t="shared" si="106"/>
        <v>3861.50852941176</v>
      </c>
      <c r="U980">
        <f t="shared" si="107"/>
        <v>782</v>
      </c>
      <c r="V980">
        <f t="shared" si="110"/>
        <v>65.1666666666667</v>
      </c>
      <c r="W980">
        <f t="shared" si="108"/>
        <v>50699.07</v>
      </c>
      <c r="X980">
        <f t="shared" si="104"/>
        <v>0.065176890850818</v>
      </c>
      <c r="AH980" t="str">
        <f t="shared" si="111"/>
        <v>1st Quality</v>
      </c>
      <c r="AJ980">
        <f>((T980-X980)*2)</f>
        <v>7722.88670504182</v>
      </c>
      <c r="AK980">
        <f t="shared" si="109"/>
        <v>5236205.56588235</v>
      </c>
    </row>
    <row r="981" spans="1:37">
      <c r="A981" t="s">
        <v>1044</v>
      </c>
      <c r="B981">
        <v>52</v>
      </c>
      <c r="C981" t="s">
        <v>50</v>
      </c>
      <c r="D981" t="s">
        <v>60</v>
      </c>
      <c r="E981">
        <v>546</v>
      </c>
      <c r="F981">
        <v>6</v>
      </c>
      <c r="G981">
        <v>32</v>
      </c>
      <c r="H981">
        <v>2511.95</v>
      </c>
      <c r="I981">
        <v>76412.23</v>
      </c>
      <c r="J981">
        <v>232</v>
      </c>
      <c r="K981">
        <v>4</v>
      </c>
      <c r="L981">
        <v>6.6</v>
      </c>
      <c r="M981">
        <v>18.3</v>
      </c>
      <c r="N981" t="s">
        <v>63</v>
      </c>
      <c r="O981" t="s">
        <v>47</v>
      </c>
      <c r="P981" t="s">
        <v>58</v>
      </c>
      <c r="R981">
        <f>SUMIF(A981:A5980,"C00980",I981:I5980)</f>
        <v>76412.23</v>
      </c>
      <c r="S981" s="1">
        <v>1342.38</v>
      </c>
      <c r="T981">
        <f t="shared" si="106"/>
        <v>329.363060344828</v>
      </c>
      <c r="U981">
        <f t="shared" si="107"/>
        <v>4245.6</v>
      </c>
      <c r="V981">
        <f>U981*4</f>
        <v>16982.4</v>
      </c>
      <c r="W981">
        <f t="shared" si="108"/>
        <v>26308.3933333333</v>
      </c>
      <c r="X981">
        <f t="shared" si="104"/>
        <v>0.2173610143514</v>
      </c>
      <c r="AH981" t="str">
        <f t="shared" si="111"/>
        <v>3rd Quality</v>
      </c>
      <c r="AJ981">
        <f>((T981-X981)*2)/6.6</f>
        <v>99.7411210092353</v>
      </c>
      <c r="AK981">
        <f t="shared" si="109"/>
        <v>179832.230948276</v>
      </c>
    </row>
    <row r="982" spans="1:37">
      <c r="A982" t="s">
        <v>1045</v>
      </c>
      <c r="B982">
        <v>31</v>
      </c>
      <c r="C982" t="s">
        <v>44</v>
      </c>
      <c r="D982" t="s">
        <v>45</v>
      </c>
      <c r="E982">
        <v>1090</v>
      </c>
      <c r="F982">
        <v>27</v>
      </c>
      <c r="G982">
        <v>1</v>
      </c>
      <c r="H982">
        <v>1201.5</v>
      </c>
      <c r="I982">
        <v>1342.38</v>
      </c>
      <c r="J982">
        <v>18</v>
      </c>
      <c r="K982">
        <v>0</v>
      </c>
      <c r="L982">
        <v>12.7</v>
      </c>
      <c r="M982">
        <v>7.6</v>
      </c>
      <c r="N982" t="s">
        <v>78</v>
      </c>
      <c r="O982" t="s">
        <v>47</v>
      </c>
      <c r="P982" t="s">
        <v>48</v>
      </c>
      <c r="R982">
        <f>SUMIF(A982:A5981,"C00981",I982:I5981)</f>
        <v>1342.38</v>
      </c>
      <c r="S982" s="1">
        <v>684.68</v>
      </c>
      <c r="T982">
        <f t="shared" si="106"/>
        <v>74.5766666666667</v>
      </c>
      <c r="U982">
        <f t="shared" si="107"/>
        <v>136.8</v>
      </c>
      <c r="V982">
        <f t="shared" si="110"/>
        <v>11.4</v>
      </c>
      <c r="W982">
        <f t="shared" si="108"/>
        <v>848.293333333333</v>
      </c>
      <c r="X982">
        <f t="shared" si="104"/>
        <v>0.907199334165626</v>
      </c>
      <c r="AH982" t="str">
        <f t="shared" si="111"/>
        <v>3rd Quality</v>
      </c>
      <c r="AJ982">
        <f>((T982-X982)*2)/12.7</f>
        <v>11.6014909185041</v>
      </c>
      <c r="AK982">
        <f t="shared" si="109"/>
        <v>81288.5666666667</v>
      </c>
    </row>
    <row r="983" spans="1:37">
      <c r="A983" t="s">
        <v>1046</v>
      </c>
      <c r="B983">
        <v>23</v>
      </c>
      <c r="C983" t="s">
        <v>44</v>
      </c>
      <c r="D983" t="s">
        <v>60</v>
      </c>
      <c r="E983">
        <v>566</v>
      </c>
      <c r="F983">
        <v>100</v>
      </c>
      <c r="G983">
        <v>1</v>
      </c>
      <c r="H983">
        <v>714.22</v>
      </c>
      <c r="I983">
        <v>684.68</v>
      </c>
      <c r="J983">
        <v>11</v>
      </c>
      <c r="K983">
        <v>0</v>
      </c>
      <c r="L983">
        <v>18.4</v>
      </c>
      <c r="M983">
        <v>6.7</v>
      </c>
      <c r="N983" t="s">
        <v>61</v>
      </c>
      <c r="O983" t="s">
        <v>47</v>
      </c>
      <c r="P983" t="s">
        <v>58</v>
      </c>
      <c r="R983">
        <f>SUMIF(A983:A5982,"C00982",I983:I5982)</f>
        <v>684.68</v>
      </c>
      <c r="S983" s="1">
        <v>6548.96</v>
      </c>
      <c r="T983">
        <f t="shared" si="106"/>
        <v>62.2436363636364</v>
      </c>
      <c r="U983">
        <f t="shared" si="107"/>
        <v>73.7</v>
      </c>
      <c r="V983">
        <f t="shared" si="110"/>
        <v>6.14166666666667</v>
      </c>
      <c r="W983">
        <f t="shared" si="108"/>
        <v>466.633333333333</v>
      </c>
      <c r="X983">
        <f t="shared" si="104"/>
        <v>0.792472907507491</v>
      </c>
      <c r="AH983" t="str">
        <f t="shared" si="111"/>
        <v>3rd Quality</v>
      </c>
      <c r="AJ983">
        <f>((T983-X983)*2)/18.4</f>
        <v>6.67947428870966</v>
      </c>
      <c r="AK983">
        <f t="shared" si="109"/>
        <v>35229.8981818182</v>
      </c>
    </row>
    <row r="984" spans="1:37">
      <c r="A984" t="s">
        <v>1047</v>
      </c>
      <c r="B984">
        <v>46</v>
      </c>
      <c r="C984" t="s">
        <v>44</v>
      </c>
      <c r="D984" t="s">
        <v>45</v>
      </c>
      <c r="E984">
        <v>942</v>
      </c>
      <c r="F984">
        <v>182</v>
      </c>
      <c r="G984">
        <v>4</v>
      </c>
      <c r="H984">
        <v>1685.74</v>
      </c>
      <c r="I984">
        <v>6548.96</v>
      </c>
      <c r="J984">
        <v>18</v>
      </c>
      <c r="K984">
        <v>0</v>
      </c>
      <c r="L984">
        <v>18.3</v>
      </c>
      <c r="M984">
        <v>8.3</v>
      </c>
      <c r="N984" t="s">
        <v>63</v>
      </c>
      <c r="O984" t="s">
        <v>47</v>
      </c>
      <c r="P984" t="s">
        <v>66</v>
      </c>
      <c r="R984">
        <f>SUMIF(A984:A5983,"C00983",I984:I5983)</f>
        <v>6548.96</v>
      </c>
      <c r="S984" s="1">
        <v>8712.8</v>
      </c>
      <c r="T984">
        <f t="shared" si="106"/>
        <v>363.831111111111</v>
      </c>
      <c r="U984">
        <f t="shared" si="107"/>
        <v>149.4</v>
      </c>
      <c r="V984">
        <f t="shared" si="110"/>
        <v>12.45</v>
      </c>
      <c r="W984">
        <f t="shared" si="108"/>
        <v>2745.23333333333</v>
      </c>
      <c r="X984">
        <f t="shared" si="104"/>
        <v>0.55880503517743</v>
      </c>
      <c r="AH984" t="str">
        <f t="shared" si="111"/>
        <v>3rd Quality</v>
      </c>
      <c r="AJ984">
        <f>((T984-X984)*2)/18.3</f>
        <v>39.701891374419</v>
      </c>
      <c r="AK984">
        <f t="shared" si="109"/>
        <v>342728.906666667</v>
      </c>
    </row>
    <row r="985" spans="1:37">
      <c r="A985" t="s">
        <v>1048</v>
      </c>
      <c r="B985">
        <v>31</v>
      </c>
      <c r="C985" t="s">
        <v>44</v>
      </c>
      <c r="D985" t="s">
        <v>60</v>
      </c>
      <c r="E985">
        <v>1200</v>
      </c>
      <c r="F985">
        <v>17</v>
      </c>
      <c r="G985">
        <v>5</v>
      </c>
      <c r="H985">
        <v>1859.11</v>
      </c>
      <c r="I985">
        <v>8712.8</v>
      </c>
      <c r="J985">
        <v>37</v>
      </c>
      <c r="K985">
        <v>0</v>
      </c>
      <c r="L985">
        <v>16.9</v>
      </c>
      <c r="M985">
        <v>22.4</v>
      </c>
      <c r="N985" t="s">
        <v>78</v>
      </c>
      <c r="O985" t="s">
        <v>75</v>
      </c>
      <c r="P985" t="s">
        <v>58</v>
      </c>
      <c r="R985">
        <f>SUMIF(A985:A5984,"C00984",I985:I5984)</f>
        <v>8712.8</v>
      </c>
      <c r="S985" s="1">
        <v>138188.45</v>
      </c>
      <c r="T985">
        <f t="shared" si="106"/>
        <v>235.481081081081</v>
      </c>
      <c r="U985">
        <f t="shared" si="107"/>
        <v>828.8</v>
      </c>
      <c r="V985">
        <f t="shared" si="110"/>
        <v>69.0666666666667</v>
      </c>
      <c r="W985">
        <f t="shared" si="108"/>
        <v>3524.30333333333</v>
      </c>
      <c r="X985">
        <f t="shared" si="104"/>
        <v>0.645470144316367</v>
      </c>
      <c r="AH985" t="str">
        <f t="shared" si="111"/>
        <v>3rd Quality</v>
      </c>
      <c r="AJ985">
        <f>((T985-X985)*2)/16.9</f>
        <v>27.7911965605639</v>
      </c>
      <c r="AK985">
        <f t="shared" si="109"/>
        <v>282577.297297297</v>
      </c>
    </row>
    <row r="986" spans="1:37">
      <c r="A986" t="s">
        <v>1049</v>
      </c>
      <c r="B986">
        <v>49</v>
      </c>
      <c r="C986" t="s">
        <v>50</v>
      </c>
      <c r="D986" t="s">
        <v>45</v>
      </c>
      <c r="E986">
        <v>529</v>
      </c>
      <c r="F986">
        <v>17</v>
      </c>
      <c r="G986">
        <v>28</v>
      </c>
      <c r="H986">
        <v>5581.75</v>
      </c>
      <c r="I986">
        <v>138188.45</v>
      </c>
      <c r="J986">
        <v>89</v>
      </c>
      <c r="K986">
        <v>0</v>
      </c>
      <c r="L986">
        <v>6.2</v>
      </c>
      <c r="M986">
        <v>48.3</v>
      </c>
      <c r="N986" t="s">
        <v>52</v>
      </c>
      <c r="O986" t="s">
        <v>47</v>
      </c>
      <c r="P986" t="s">
        <v>68</v>
      </c>
      <c r="R986">
        <f>SUMIF(A986:A5985,"C00985",I986:I5985)</f>
        <v>138188.45</v>
      </c>
      <c r="S986" s="1">
        <v>2356.67</v>
      </c>
      <c r="T986">
        <f t="shared" si="106"/>
        <v>1552.67921348315</v>
      </c>
      <c r="U986">
        <f t="shared" si="107"/>
        <v>4298.7</v>
      </c>
      <c r="V986">
        <f t="shared" si="110"/>
        <v>358.225</v>
      </c>
      <c r="W986">
        <f t="shared" si="108"/>
        <v>47923.7333333333</v>
      </c>
      <c r="X986">
        <f t="shared" si="104"/>
        <v>0.0947731446231021</v>
      </c>
      <c r="AH986" t="str">
        <f t="shared" si="111"/>
        <v>3rd Quality</v>
      </c>
      <c r="AJ986">
        <f>((T986-X986)*2)/6.2</f>
        <v>500.833690431783</v>
      </c>
      <c r="AK986">
        <f t="shared" si="109"/>
        <v>821367.303932584</v>
      </c>
    </row>
    <row r="987" spans="1:37">
      <c r="A987" t="s">
        <v>1050</v>
      </c>
      <c r="B987">
        <v>36</v>
      </c>
      <c r="C987" t="s">
        <v>44</v>
      </c>
      <c r="D987" t="s">
        <v>60</v>
      </c>
      <c r="E987">
        <v>907</v>
      </c>
      <c r="F987">
        <v>62</v>
      </c>
      <c r="G987">
        <v>1</v>
      </c>
      <c r="H987">
        <v>2484.64</v>
      </c>
      <c r="I987">
        <v>2356.67</v>
      </c>
      <c r="J987">
        <v>18</v>
      </c>
      <c r="K987">
        <v>0</v>
      </c>
      <c r="L987">
        <v>26.9</v>
      </c>
      <c r="M987">
        <v>9.7</v>
      </c>
      <c r="N987" t="s">
        <v>78</v>
      </c>
      <c r="O987" t="s">
        <v>47</v>
      </c>
      <c r="P987" t="s">
        <v>58</v>
      </c>
      <c r="R987">
        <f>SUMIF(A987:A5986,"C00986",I987:I5986)</f>
        <v>2356.67</v>
      </c>
      <c r="S987" s="1">
        <v>5258.28</v>
      </c>
      <c r="T987">
        <f t="shared" si="106"/>
        <v>130.926111111111</v>
      </c>
      <c r="U987">
        <f t="shared" si="107"/>
        <v>174.6</v>
      </c>
      <c r="V987">
        <f t="shared" si="110"/>
        <v>14.55</v>
      </c>
      <c r="W987">
        <f t="shared" si="108"/>
        <v>1614.10333333333</v>
      </c>
      <c r="X987">
        <f t="shared" si="104"/>
        <v>0.365042823105158</v>
      </c>
      <c r="AH987" t="str">
        <f t="shared" si="111"/>
        <v>3rd Quality</v>
      </c>
      <c r="AJ987">
        <f>((T987-X987)*2)/26.9</f>
        <v>9.70714262364356</v>
      </c>
      <c r="AK987">
        <f t="shared" si="109"/>
        <v>118749.982777778</v>
      </c>
    </row>
    <row r="988" spans="1:37">
      <c r="A988" t="s">
        <v>1051</v>
      </c>
      <c r="B988">
        <v>29</v>
      </c>
      <c r="C988" t="s">
        <v>50</v>
      </c>
      <c r="D988" t="s">
        <v>51</v>
      </c>
      <c r="E988">
        <v>832</v>
      </c>
      <c r="F988">
        <v>26</v>
      </c>
      <c r="G988">
        <v>7</v>
      </c>
      <c r="H988">
        <v>817.7</v>
      </c>
      <c r="I988">
        <v>5258.28</v>
      </c>
      <c r="J988">
        <v>34</v>
      </c>
      <c r="K988">
        <v>0</v>
      </c>
      <c r="L988">
        <v>28.9</v>
      </c>
      <c r="M988">
        <v>10.8</v>
      </c>
      <c r="N988" t="s">
        <v>63</v>
      </c>
      <c r="O988" t="s">
        <v>47</v>
      </c>
      <c r="P988" t="s">
        <v>68</v>
      </c>
      <c r="R988">
        <f>SUMIF(A988:A5987,"C00987",I988:I5987)</f>
        <v>5258.28</v>
      </c>
      <c r="S988" s="1">
        <v>56357.52</v>
      </c>
      <c r="T988">
        <f t="shared" si="106"/>
        <v>154.655294117647</v>
      </c>
      <c r="U988">
        <f t="shared" si="107"/>
        <v>367.2</v>
      </c>
      <c r="V988">
        <f t="shared" si="110"/>
        <v>30.6</v>
      </c>
      <c r="W988">
        <f t="shared" si="108"/>
        <v>2025.66</v>
      </c>
      <c r="X988">
        <f t="shared" si="104"/>
        <v>1.01748807631161</v>
      </c>
      <c r="AH988" t="str">
        <f t="shared" si="111"/>
        <v>3rd Quality</v>
      </c>
      <c r="AJ988">
        <f>((T988-X988)*2)/28.9</f>
        <v>10.6323741205076</v>
      </c>
      <c r="AK988">
        <f t="shared" si="109"/>
        <v>128673.204705882</v>
      </c>
    </row>
    <row r="989" spans="1:37">
      <c r="A989" t="s">
        <v>1052</v>
      </c>
      <c r="B989">
        <v>40</v>
      </c>
      <c r="C989" t="s">
        <v>44</v>
      </c>
      <c r="D989" t="s">
        <v>60</v>
      </c>
      <c r="E989">
        <v>1203</v>
      </c>
      <c r="F989">
        <v>8</v>
      </c>
      <c r="G989">
        <v>26</v>
      </c>
      <c r="H989">
        <v>2231.31</v>
      </c>
      <c r="I989">
        <v>56357.52</v>
      </c>
      <c r="J989">
        <v>83</v>
      </c>
      <c r="K989">
        <v>5</v>
      </c>
      <c r="L989">
        <v>3.3</v>
      </c>
      <c r="M989">
        <v>21</v>
      </c>
      <c r="N989" t="s">
        <v>61</v>
      </c>
      <c r="O989" t="s">
        <v>47</v>
      </c>
      <c r="P989" t="s">
        <v>58</v>
      </c>
      <c r="R989">
        <f>SUMIF(A989:A5988,"C00988",I989:I5988)</f>
        <v>56357.52</v>
      </c>
      <c r="S989" s="1">
        <v>9696.61</v>
      </c>
      <c r="T989">
        <f t="shared" si="106"/>
        <v>679.006265060241</v>
      </c>
      <c r="U989">
        <f t="shared" si="107"/>
        <v>1743</v>
      </c>
      <c r="V989">
        <f>U989*5</f>
        <v>8715</v>
      </c>
      <c r="W989">
        <f t="shared" si="108"/>
        <v>19529.9433333333</v>
      </c>
      <c r="X989">
        <f t="shared" si="104"/>
        <v>0.53914516584428</v>
      </c>
      <c r="AH989" t="str">
        <f t="shared" si="111"/>
        <v>2nd Quality</v>
      </c>
      <c r="AJ989">
        <f>((T989-X989)*2)/3.3</f>
        <v>411.192193875392</v>
      </c>
      <c r="AK989">
        <f t="shared" si="109"/>
        <v>816844.53686747</v>
      </c>
    </row>
    <row r="990" spans="1:37">
      <c r="A990" t="s">
        <v>1053</v>
      </c>
      <c r="B990">
        <v>42</v>
      </c>
      <c r="C990" t="s">
        <v>50</v>
      </c>
      <c r="D990" t="s">
        <v>51</v>
      </c>
      <c r="E990">
        <v>987</v>
      </c>
      <c r="F990">
        <v>32</v>
      </c>
      <c r="G990">
        <v>10</v>
      </c>
      <c r="H990">
        <v>1036.2</v>
      </c>
      <c r="I990">
        <v>9696.61</v>
      </c>
      <c r="J990">
        <v>88</v>
      </c>
      <c r="K990">
        <v>2</v>
      </c>
      <c r="L990">
        <v>27.4</v>
      </c>
      <c r="M990">
        <v>23.6</v>
      </c>
      <c r="N990" t="s">
        <v>81</v>
      </c>
      <c r="O990" t="s">
        <v>47</v>
      </c>
      <c r="P990" t="s">
        <v>66</v>
      </c>
      <c r="R990">
        <f>SUMIF(A990:A5989,"C00989",I990:I5989)</f>
        <v>9696.61</v>
      </c>
      <c r="S990" s="1">
        <v>2042.96</v>
      </c>
      <c r="T990">
        <f t="shared" si="106"/>
        <v>110.18875</v>
      </c>
      <c r="U990">
        <f t="shared" si="107"/>
        <v>2076.8</v>
      </c>
      <c r="V990">
        <f>U990*2</f>
        <v>4153.6</v>
      </c>
      <c r="W990">
        <f t="shared" si="108"/>
        <v>3577.93666666667</v>
      </c>
      <c r="X990">
        <f t="shared" si="104"/>
        <v>0.952518818760857</v>
      </c>
      <c r="AH990" t="str">
        <f t="shared" si="111"/>
        <v>3rd Quality</v>
      </c>
      <c r="AJ990">
        <f>((T990-X990)*2)/27.4</f>
        <v>7.97344753147731</v>
      </c>
      <c r="AK990">
        <f t="shared" si="109"/>
        <v>108756.29625</v>
      </c>
    </row>
    <row r="991" spans="1:37">
      <c r="A991" t="s">
        <v>1054</v>
      </c>
      <c r="B991">
        <v>35</v>
      </c>
      <c r="C991" t="s">
        <v>44</v>
      </c>
      <c r="D991" t="s">
        <v>60</v>
      </c>
      <c r="E991">
        <v>1184</v>
      </c>
      <c r="F991">
        <v>39</v>
      </c>
      <c r="G991">
        <v>3</v>
      </c>
      <c r="H991">
        <v>697.07</v>
      </c>
      <c r="I991">
        <v>2042.96</v>
      </c>
      <c r="J991">
        <v>24</v>
      </c>
      <c r="K991">
        <v>0</v>
      </c>
      <c r="L991">
        <v>23.4</v>
      </c>
      <c r="M991">
        <v>4.4</v>
      </c>
      <c r="N991" t="s">
        <v>61</v>
      </c>
      <c r="O991" t="s">
        <v>47</v>
      </c>
      <c r="P991" t="s">
        <v>68</v>
      </c>
      <c r="R991">
        <f>SUMIF(A991:A5990,"C00990",I991:I5990)</f>
        <v>2042.96</v>
      </c>
      <c r="S991" s="1">
        <v>27740.93</v>
      </c>
      <c r="T991">
        <f t="shared" si="106"/>
        <v>85.1233333333333</v>
      </c>
      <c r="U991">
        <f t="shared" si="107"/>
        <v>105.6</v>
      </c>
      <c r="V991">
        <f t="shared" si="110"/>
        <v>8.8</v>
      </c>
      <c r="W991">
        <f t="shared" si="108"/>
        <v>913.676666666667</v>
      </c>
      <c r="X991">
        <f t="shared" si="104"/>
        <v>1.69853816689859</v>
      </c>
      <c r="AH991" t="str">
        <f t="shared" si="111"/>
        <v>3rd Quality</v>
      </c>
      <c r="AJ991">
        <f>((T991-X991)*2)/23.4</f>
        <v>7.13032437319955</v>
      </c>
      <c r="AK991">
        <f t="shared" si="109"/>
        <v>100786.026666667</v>
      </c>
    </row>
    <row r="992" spans="1:37">
      <c r="A992" t="s">
        <v>1055</v>
      </c>
      <c r="B992">
        <v>25</v>
      </c>
      <c r="C992" t="s">
        <v>50</v>
      </c>
      <c r="D992" t="s">
        <v>60</v>
      </c>
      <c r="E992">
        <v>1010</v>
      </c>
      <c r="F992">
        <v>9</v>
      </c>
      <c r="G992">
        <v>4</v>
      </c>
      <c r="H992">
        <v>7341.44</v>
      </c>
      <c r="I992">
        <v>27740.93</v>
      </c>
      <c r="J992">
        <v>33</v>
      </c>
      <c r="K992">
        <v>0</v>
      </c>
      <c r="L992">
        <v>5.4</v>
      </c>
      <c r="M992">
        <v>15.8</v>
      </c>
      <c r="N992" t="s">
        <v>46</v>
      </c>
      <c r="O992" t="s">
        <v>47</v>
      </c>
      <c r="P992" t="s">
        <v>58</v>
      </c>
      <c r="R992">
        <f>SUMIF(A992:A5991,"C00991",I992:I5991)</f>
        <v>27740.93</v>
      </c>
      <c r="S992" s="1">
        <v>2265.12</v>
      </c>
      <c r="T992">
        <f t="shared" si="106"/>
        <v>840.634242424242</v>
      </c>
      <c r="U992">
        <f t="shared" si="107"/>
        <v>521.4</v>
      </c>
      <c r="V992">
        <f t="shared" si="110"/>
        <v>43.45</v>
      </c>
      <c r="W992">
        <f t="shared" si="108"/>
        <v>11694.4566666667</v>
      </c>
      <c r="X992">
        <f t="shared" si="104"/>
        <v>0.137575189608578</v>
      </c>
      <c r="AH992" t="str">
        <f t="shared" si="111"/>
        <v>2nd Quality</v>
      </c>
      <c r="AJ992">
        <f>((T992-X992)*2)/5.4</f>
        <v>311.295061938753</v>
      </c>
      <c r="AK992">
        <f t="shared" si="109"/>
        <v>849040.584848485</v>
      </c>
    </row>
    <row r="993" spans="1:37">
      <c r="A993" t="s">
        <v>1056</v>
      </c>
      <c r="B993">
        <v>55</v>
      </c>
      <c r="C993" t="s">
        <v>50</v>
      </c>
      <c r="D993" t="s">
        <v>60</v>
      </c>
      <c r="E993">
        <v>637</v>
      </c>
      <c r="F993">
        <v>72</v>
      </c>
      <c r="G993">
        <v>3</v>
      </c>
      <c r="H993">
        <v>686.56</v>
      </c>
      <c r="I993">
        <v>2265.12</v>
      </c>
      <c r="J993">
        <v>15</v>
      </c>
      <c r="K993">
        <v>0</v>
      </c>
      <c r="L993">
        <v>31.3</v>
      </c>
      <c r="M993">
        <v>33.5</v>
      </c>
      <c r="N993" t="s">
        <v>52</v>
      </c>
      <c r="O993" t="s">
        <v>47</v>
      </c>
      <c r="P993" t="s">
        <v>66</v>
      </c>
      <c r="R993">
        <f>SUMIF(A993:A5992,"C00992",I993:I5992)</f>
        <v>2265.12</v>
      </c>
      <c r="S993" s="1">
        <v>2059.89</v>
      </c>
      <c r="T993">
        <f t="shared" si="106"/>
        <v>151.008</v>
      </c>
      <c r="U993">
        <f t="shared" si="107"/>
        <v>502.5</v>
      </c>
      <c r="V993">
        <f t="shared" si="110"/>
        <v>41.875</v>
      </c>
      <c r="W993">
        <f t="shared" si="108"/>
        <v>984.226666666667</v>
      </c>
      <c r="X993">
        <f t="shared" si="104"/>
        <v>0.927814029363785</v>
      </c>
      <c r="AH993" t="str">
        <f t="shared" si="111"/>
        <v>3rd Quality</v>
      </c>
      <c r="AJ993">
        <f>((T993-X993)*2)/31.3</f>
        <v>9.58978824093522</v>
      </c>
      <c r="AK993">
        <f t="shared" si="109"/>
        <v>96192.096</v>
      </c>
    </row>
    <row r="994" spans="1:37">
      <c r="A994" t="s">
        <v>1057</v>
      </c>
      <c r="B994">
        <v>32</v>
      </c>
      <c r="C994" t="s">
        <v>50</v>
      </c>
      <c r="D994" t="s">
        <v>45</v>
      </c>
      <c r="E994">
        <v>988</v>
      </c>
      <c r="F994">
        <v>130</v>
      </c>
      <c r="G994">
        <v>2</v>
      </c>
      <c r="H994">
        <v>1084.23</v>
      </c>
      <c r="I994">
        <v>2059.89</v>
      </c>
      <c r="J994">
        <v>29</v>
      </c>
      <c r="K994">
        <v>0</v>
      </c>
      <c r="L994">
        <v>43.8</v>
      </c>
      <c r="M994">
        <v>58.2</v>
      </c>
      <c r="N994" t="s">
        <v>81</v>
      </c>
      <c r="O994" t="s">
        <v>47</v>
      </c>
      <c r="P994" t="s">
        <v>48</v>
      </c>
      <c r="R994">
        <f>SUMIF(A994:A5993,"C00993",I994:I5993)</f>
        <v>2059.89</v>
      </c>
      <c r="S994" s="1">
        <v>84176.51</v>
      </c>
      <c r="T994">
        <f t="shared" si="106"/>
        <v>71.0306896551724</v>
      </c>
      <c r="U994">
        <f t="shared" si="107"/>
        <v>1687.8</v>
      </c>
      <c r="V994">
        <f t="shared" si="110"/>
        <v>140.65</v>
      </c>
      <c r="W994">
        <f t="shared" si="108"/>
        <v>1048.37333333333</v>
      </c>
      <c r="X994">
        <f t="shared" si="104"/>
        <v>0.911245768886675</v>
      </c>
      <c r="AH994" t="str">
        <f t="shared" si="111"/>
        <v>3rd Quality</v>
      </c>
      <c r="AJ994">
        <f>((T994-X994)*2)/43.8</f>
        <v>3.20180109069798</v>
      </c>
      <c r="AK994">
        <f t="shared" si="109"/>
        <v>70178.3213793103</v>
      </c>
    </row>
    <row r="995" spans="1:37">
      <c r="A995" t="s">
        <v>1058</v>
      </c>
      <c r="B995">
        <v>27</v>
      </c>
      <c r="C995" t="s">
        <v>44</v>
      </c>
      <c r="D995" t="s">
        <v>60</v>
      </c>
      <c r="E995">
        <v>1363</v>
      </c>
      <c r="F995">
        <v>4</v>
      </c>
      <c r="G995">
        <v>27</v>
      </c>
      <c r="H995">
        <v>3369.46</v>
      </c>
      <c r="I995">
        <v>84176.51</v>
      </c>
      <c r="J995">
        <v>114</v>
      </c>
      <c r="K995">
        <v>2</v>
      </c>
      <c r="L995">
        <v>10.9</v>
      </c>
      <c r="M995">
        <v>38.1</v>
      </c>
      <c r="N995" t="s">
        <v>63</v>
      </c>
      <c r="O995" t="s">
        <v>47</v>
      </c>
      <c r="P995" t="s">
        <v>58</v>
      </c>
      <c r="R995">
        <f>SUMIF(A995:A5994,"C00994",I995:I5994)</f>
        <v>84176.51</v>
      </c>
      <c r="S995" s="1">
        <v>2872.36</v>
      </c>
      <c r="T995">
        <f t="shared" si="106"/>
        <v>738.390438596491</v>
      </c>
      <c r="U995">
        <f t="shared" si="107"/>
        <v>4343.4</v>
      </c>
      <c r="V995">
        <f>U995*2</f>
        <v>8686.8</v>
      </c>
      <c r="W995">
        <f t="shared" si="108"/>
        <v>29182.3233333333</v>
      </c>
      <c r="X995">
        <f t="shared" si="104"/>
        <v>0.404515857140313</v>
      </c>
      <c r="AH995" t="str">
        <f t="shared" si="111"/>
        <v>1st Quality</v>
      </c>
      <c r="AJ995">
        <f>((T995-X995)*2)/10.9</f>
        <v>135.410261053092</v>
      </c>
      <c r="AK995">
        <f t="shared" si="109"/>
        <v>1006426.16780702</v>
      </c>
    </row>
    <row r="996" spans="1:37">
      <c r="A996" t="s">
        <v>1059</v>
      </c>
      <c r="B996">
        <v>45</v>
      </c>
      <c r="C996" t="s">
        <v>50</v>
      </c>
      <c r="D996" t="s">
        <v>60</v>
      </c>
      <c r="E996">
        <v>812</v>
      </c>
      <c r="F996">
        <v>172</v>
      </c>
      <c r="G996">
        <v>1</v>
      </c>
      <c r="H996">
        <v>2702.41</v>
      </c>
      <c r="I996">
        <v>2872.36</v>
      </c>
      <c r="J996">
        <v>13</v>
      </c>
      <c r="K996">
        <v>0</v>
      </c>
      <c r="L996">
        <v>6.7</v>
      </c>
      <c r="M996">
        <v>28.3</v>
      </c>
      <c r="N996" t="s">
        <v>61</v>
      </c>
      <c r="O996" t="s">
        <v>47</v>
      </c>
      <c r="P996" t="s">
        <v>66</v>
      </c>
      <c r="R996">
        <f>SUMIF(A996:A5995,"C00995",I996:I5995)</f>
        <v>2872.36</v>
      </c>
      <c r="S996" s="1">
        <v>20757.48</v>
      </c>
      <c r="T996">
        <f t="shared" si="106"/>
        <v>220.950769230769</v>
      </c>
      <c r="U996">
        <f t="shared" si="107"/>
        <v>367.9</v>
      </c>
      <c r="V996">
        <f t="shared" si="110"/>
        <v>30.6583333333333</v>
      </c>
      <c r="W996">
        <f t="shared" si="108"/>
        <v>1858.59</v>
      </c>
      <c r="X996">
        <f t="shared" si="104"/>
        <v>0.300472541176209</v>
      </c>
      <c r="AH996" t="str">
        <f t="shared" si="111"/>
        <v>3rd Quality</v>
      </c>
      <c r="AJ996">
        <f>((T996-X996)*2)/6.7</f>
        <v>65.8657602058486</v>
      </c>
      <c r="AK996">
        <f t="shared" si="109"/>
        <v>179412.024615385</v>
      </c>
    </row>
    <row r="997" spans="1:37">
      <c r="A997" t="s">
        <v>1060</v>
      </c>
      <c r="B997">
        <v>41</v>
      </c>
      <c r="C997" t="s">
        <v>50</v>
      </c>
      <c r="D997" t="s">
        <v>60</v>
      </c>
      <c r="E997">
        <v>1209</v>
      </c>
      <c r="F997">
        <v>119</v>
      </c>
      <c r="G997">
        <v>13</v>
      </c>
      <c r="H997">
        <v>1485.58</v>
      </c>
      <c r="I997">
        <v>20757.48</v>
      </c>
      <c r="J997">
        <v>72</v>
      </c>
      <c r="K997">
        <v>3</v>
      </c>
      <c r="L997">
        <v>27.2</v>
      </c>
      <c r="M997">
        <v>30.9</v>
      </c>
      <c r="N997" t="s">
        <v>46</v>
      </c>
      <c r="O997" t="s">
        <v>75</v>
      </c>
      <c r="P997" t="s">
        <v>48</v>
      </c>
      <c r="R997">
        <f>SUMIF(A997:A5996,"C00996",I997:I5996)</f>
        <v>20757.48</v>
      </c>
      <c r="S997" s="1">
        <v>22374.63</v>
      </c>
      <c r="T997">
        <f t="shared" si="106"/>
        <v>288.298333333333</v>
      </c>
      <c r="U997">
        <f t="shared" si="107"/>
        <v>2224.8</v>
      </c>
      <c r="V997">
        <f>U997*3</f>
        <v>6674.4</v>
      </c>
      <c r="W997">
        <f t="shared" si="108"/>
        <v>7414.68666666667</v>
      </c>
      <c r="X997">
        <f t="shared" si="104"/>
        <v>0.813823557129202</v>
      </c>
      <c r="AH997" t="str">
        <f t="shared" si="111"/>
        <v>2nd Quality</v>
      </c>
      <c r="AJ997">
        <f>((T997-X997)*2)/27.2</f>
        <v>21.1385668953091</v>
      </c>
      <c r="AK997">
        <f t="shared" si="109"/>
        <v>348552.685</v>
      </c>
    </row>
    <row r="998" spans="1:37">
      <c r="A998" t="s">
        <v>1061</v>
      </c>
      <c r="B998">
        <v>41</v>
      </c>
      <c r="C998" t="s">
        <v>50</v>
      </c>
      <c r="D998" t="s">
        <v>60</v>
      </c>
      <c r="E998">
        <v>1096</v>
      </c>
      <c r="F998">
        <v>33</v>
      </c>
      <c r="G998">
        <v>3</v>
      </c>
      <c r="H998">
        <v>7347.11</v>
      </c>
      <c r="I998">
        <v>22374.63</v>
      </c>
      <c r="J998">
        <v>25</v>
      </c>
      <c r="K998">
        <v>0</v>
      </c>
      <c r="L998">
        <v>14</v>
      </c>
      <c r="M998">
        <v>57.9</v>
      </c>
      <c r="N998" t="s">
        <v>63</v>
      </c>
      <c r="O998" t="s">
        <v>47</v>
      </c>
      <c r="P998" t="s">
        <v>66</v>
      </c>
      <c r="R998">
        <f>SUMIF(A998:A5997,"C00997",I998:I5997)</f>
        <v>22374.63</v>
      </c>
      <c r="S998" s="1">
        <v>79429.98</v>
      </c>
      <c r="T998">
        <f t="shared" si="106"/>
        <v>894.9852</v>
      </c>
      <c r="U998">
        <f t="shared" si="107"/>
        <v>1447.5</v>
      </c>
      <c r="V998">
        <f t="shared" si="110"/>
        <v>120.625</v>
      </c>
      <c r="W998">
        <f t="shared" si="108"/>
        <v>9907.58</v>
      </c>
      <c r="X998">
        <f t="shared" si="104"/>
        <v>0.149174301187814</v>
      </c>
      <c r="AH998" t="str">
        <f t="shared" si="111"/>
        <v>2nd Quality</v>
      </c>
      <c r="AJ998">
        <f>((T998-X998)*2)/14</f>
        <v>127.833717956973</v>
      </c>
      <c r="AK998">
        <f t="shared" si="109"/>
        <v>980903.7792</v>
      </c>
    </row>
    <row r="999" spans="1:37">
      <c r="A999" t="s">
        <v>1062</v>
      </c>
      <c r="B999">
        <v>28</v>
      </c>
      <c r="C999" t="s">
        <v>50</v>
      </c>
      <c r="D999" t="s">
        <v>45</v>
      </c>
      <c r="E999">
        <v>463</v>
      </c>
      <c r="F999">
        <v>7</v>
      </c>
      <c r="G999">
        <v>24</v>
      </c>
      <c r="H999">
        <v>3437.58</v>
      </c>
      <c r="I999">
        <v>79429.98</v>
      </c>
      <c r="J999">
        <v>151</v>
      </c>
      <c r="K999">
        <v>1</v>
      </c>
      <c r="L999">
        <v>15.2</v>
      </c>
      <c r="M999">
        <v>40</v>
      </c>
      <c r="N999" t="s">
        <v>63</v>
      </c>
      <c r="O999" t="s">
        <v>47</v>
      </c>
      <c r="P999" t="s">
        <v>58</v>
      </c>
      <c r="R999">
        <f>SUMIF(A999:A5998,"C00998",I999:I5998)</f>
        <v>79429.98</v>
      </c>
      <c r="S999" s="1">
        <v>1034.06</v>
      </c>
      <c r="T999">
        <f t="shared" si="106"/>
        <v>526.026357615894</v>
      </c>
      <c r="U999">
        <f t="shared" si="107"/>
        <v>6040</v>
      </c>
      <c r="V999">
        <f>U999*1</f>
        <v>6040</v>
      </c>
      <c r="W999">
        <f t="shared" si="108"/>
        <v>27622.8533333333</v>
      </c>
      <c r="X999">
        <f t="shared" si="104"/>
        <v>0.134687774539065</v>
      </c>
      <c r="AH999" t="str">
        <f t="shared" si="111"/>
        <v>2nd Quality</v>
      </c>
      <c r="AJ999">
        <f>((T999-X999)*2)/15.2</f>
        <v>69.1962723475467</v>
      </c>
      <c r="AK999">
        <f t="shared" si="109"/>
        <v>243550.203576159</v>
      </c>
    </row>
    <row r="1000" spans="1:37">
      <c r="A1000" t="s">
        <v>1063</v>
      </c>
      <c r="B1000">
        <v>20</v>
      </c>
      <c r="C1000" t="s">
        <v>44</v>
      </c>
      <c r="D1000" t="s">
        <v>60</v>
      </c>
      <c r="E1000">
        <v>464</v>
      </c>
      <c r="F1000">
        <v>185</v>
      </c>
      <c r="G1000">
        <v>1</v>
      </c>
      <c r="H1000">
        <v>957.27</v>
      </c>
      <c r="I1000">
        <v>1034.06</v>
      </c>
      <c r="J1000">
        <v>14</v>
      </c>
      <c r="K1000">
        <v>0</v>
      </c>
      <c r="L1000">
        <v>10</v>
      </c>
      <c r="M1000">
        <v>47.5</v>
      </c>
      <c r="N1000" t="s">
        <v>46</v>
      </c>
      <c r="O1000" t="s">
        <v>47</v>
      </c>
      <c r="P1000" t="s">
        <v>58</v>
      </c>
      <c r="R1000">
        <f>SUMIF(A1000:A5999,"C00999",I1000:I5999)</f>
        <v>1034.06</v>
      </c>
      <c r="S1000" s="1">
        <v>2334.65</v>
      </c>
      <c r="T1000">
        <f t="shared" si="106"/>
        <v>73.8614285714286</v>
      </c>
      <c r="U1000">
        <f t="shared" si="107"/>
        <v>665</v>
      </c>
      <c r="V1000">
        <f t="shared" si="110"/>
        <v>55.4166666666667</v>
      </c>
      <c r="W1000">
        <f t="shared" si="108"/>
        <v>664.11</v>
      </c>
      <c r="X1000">
        <f t="shared" si="104"/>
        <v>0.484711732322124</v>
      </c>
      <c r="AH1000" t="str">
        <f t="shared" si="111"/>
        <v>3rd Quality</v>
      </c>
      <c r="AJ1000">
        <f>((T1000-X1000)*2)/10</f>
        <v>14.6753433678213</v>
      </c>
      <c r="AK1000">
        <f t="shared" si="109"/>
        <v>34271.7028571429</v>
      </c>
    </row>
    <row r="1001" spans="1:37">
      <c r="A1001" t="s">
        <v>1064</v>
      </c>
      <c r="B1001">
        <v>40</v>
      </c>
      <c r="C1001" t="s">
        <v>50</v>
      </c>
      <c r="D1001" t="s">
        <v>51</v>
      </c>
      <c r="E1001">
        <v>994</v>
      </c>
      <c r="F1001">
        <v>103</v>
      </c>
      <c r="G1001">
        <v>4</v>
      </c>
      <c r="H1001">
        <v>560.8</v>
      </c>
      <c r="I1001">
        <v>2334.65</v>
      </c>
      <c r="J1001">
        <v>24</v>
      </c>
      <c r="K1001">
        <v>0</v>
      </c>
      <c r="L1001">
        <v>22.9</v>
      </c>
      <c r="M1001">
        <v>21.1</v>
      </c>
      <c r="N1001" t="s">
        <v>52</v>
      </c>
      <c r="O1001" t="s">
        <v>47</v>
      </c>
      <c r="P1001" t="s">
        <v>68</v>
      </c>
      <c r="R1001">
        <f>SUMIF(A1001:A6000,"C01000",I1001:I6000)</f>
        <v>2334.65</v>
      </c>
      <c r="S1001" s="1">
        <v>75417.8</v>
      </c>
      <c r="T1001">
        <f t="shared" si="106"/>
        <v>97.2770833333333</v>
      </c>
      <c r="U1001">
        <f t="shared" si="107"/>
        <v>506.4</v>
      </c>
      <c r="V1001">
        <f t="shared" si="110"/>
        <v>42.2</v>
      </c>
      <c r="W1001">
        <f t="shared" si="108"/>
        <v>965.483333333333</v>
      </c>
      <c r="X1001">
        <f t="shared" si="104"/>
        <v>1.77246790299572</v>
      </c>
      <c r="AH1001" t="str">
        <f t="shared" si="111"/>
        <v>3rd Quality</v>
      </c>
      <c r="AJ1001">
        <f>((T1001-X1001)*2)/22.9</f>
        <v>8.34101444806442</v>
      </c>
      <c r="AK1001">
        <f t="shared" si="109"/>
        <v>96693.4208333333</v>
      </c>
    </row>
    <row r="1002" spans="1:37">
      <c r="A1002" t="s">
        <v>1065</v>
      </c>
      <c r="B1002">
        <v>30</v>
      </c>
      <c r="C1002" t="s">
        <v>50</v>
      </c>
      <c r="D1002" t="s">
        <v>60</v>
      </c>
      <c r="E1002">
        <v>582</v>
      </c>
      <c r="F1002">
        <v>14</v>
      </c>
      <c r="G1002">
        <v>19</v>
      </c>
      <c r="H1002">
        <v>4086.02</v>
      </c>
      <c r="I1002">
        <v>75417.8</v>
      </c>
      <c r="J1002">
        <v>81</v>
      </c>
      <c r="K1002">
        <v>1</v>
      </c>
      <c r="L1002">
        <v>8.9</v>
      </c>
      <c r="M1002">
        <v>20</v>
      </c>
      <c r="N1002" t="s">
        <v>63</v>
      </c>
      <c r="O1002" t="s">
        <v>47</v>
      </c>
      <c r="P1002" t="s">
        <v>58</v>
      </c>
      <c r="R1002">
        <f>SUMIF(A1002:A6001,"C01001",I1002:I6001)</f>
        <v>75417.8</v>
      </c>
      <c r="S1002" s="1">
        <v>9680.92</v>
      </c>
      <c r="T1002">
        <f t="shared" si="106"/>
        <v>931.083950617284</v>
      </c>
      <c r="U1002">
        <f t="shared" si="107"/>
        <v>1620</v>
      </c>
      <c r="V1002">
        <f>U1002*1</f>
        <v>1620</v>
      </c>
      <c r="W1002">
        <f t="shared" si="108"/>
        <v>26501.6066666667</v>
      </c>
      <c r="X1002">
        <f t="shared" si="104"/>
        <v>0.142436894582014</v>
      </c>
      <c r="AH1002" t="str">
        <f t="shared" si="111"/>
        <v>2nd Quality</v>
      </c>
      <c r="AJ1002">
        <f>((T1002-X1002)*2)/8.9</f>
        <v>209.200340162405</v>
      </c>
      <c r="AK1002">
        <f t="shared" si="109"/>
        <v>541890.859259259</v>
      </c>
    </row>
    <row r="1003" spans="1:37">
      <c r="A1003" t="s">
        <v>1066</v>
      </c>
      <c r="B1003">
        <v>34</v>
      </c>
      <c r="C1003" t="s">
        <v>50</v>
      </c>
      <c r="D1003" t="s">
        <v>60</v>
      </c>
      <c r="E1003">
        <v>820</v>
      </c>
      <c r="F1003">
        <v>18</v>
      </c>
      <c r="G1003">
        <v>5</v>
      </c>
      <c r="H1003">
        <v>1987.87</v>
      </c>
      <c r="I1003">
        <v>9680.92</v>
      </c>
      <c r="J1003">
        <v>24</v>
      </c>
      <c r="K1003">
        <v>0</v>
      </c>
      <c r="L1003">
        <v>34.4</v>
      </c>
      <c r="M1003">
        <v>53.4</v>
      </c>
      <c r="N1003" t="s">
        <v>46</v>
      </c>
      <c r="O1003" t="s">
        <v>53</v>
      </c>
      <c r="P1003" t="s">
        <v>48</v>
      </c>
      <c r="R1003">
        <f>SUMIF(A1003:A6002,"C01002",I1003:I6002)</f>
        <v>9680.92</v>
      </c>
      <c r="S1003" s="1">
        <v>72404.51</v>
      </c>
      <c r="T1003">
        <f t="shared" si="106"/>
        <v>403.371666666667</v>
      </c>
      <c r="U1003">
        <f t="shared" si="107"/>
        <v>1281.6</v>
      </c>
      <c r="V1003">
        <f t="shared" si="110"/>
        <v>106.8</v>
      </c>
      <c r="W1003">
        <f t="shared" si="108"/>
        <v>3889.93</v>
      </c>
      <c r="X1003">
        <f t="shared" si="104"/>
        <v>0.412501823559891</v>
      </c>
      <c r="AH1003" t="str">
        <f t="shared" si="111"/>
        <v>3rd Quality</v>
      </c>
      <c r="AJ1003">
        <f>((T1003-X1003)*2)/34.4</f>
        <v>23.4278584211109</v>
      </c>
      <c r="AK1003">
        <f t="shared" si="109"/>
        <v>330764.766666667</v>
      </c>
    </row>
    <row r="1004" spans="1:37">
      <c r="A1004" t="s">
        <v>1067</v>
      </c>
      <c r="B1004">
        <v>51</v>
      </c>
      <c r="C1004" t="s">
        <v>44</v>
      </c>
      <c r="D1004" t="s">
        <v>45</v>
      </c>
      <c r="E1004">
        <v>856</v>
      </c>
      <c r="F1004">
        <v>15</v>
      </c>
      <c r="G1004">
        <v>25</v>
      </c>
      <c r="H1004">
        <v>3288.92</v>
      </c>
      <c r="I1004">
        <v>72404.51</v>
      </c>
      <c r="J1004">
        <v>204</v>
      </c>
      <c r="K1004">
        <v>0</v>
      </c>
      <c r="L1004">
        <v>13.3</v>
      </c>
      <c r="M1004">
        <v>39.7</v>
      </c>
      <c r="N1004" t="s">
        <v>52</v>
      </c>
      <c r="O1004" t="s">
        <v>75</v>
      </c>
      <c r="P1004" t="s">
        <v>58</v>
      </c>
      <c r="R1004">
        <f>SUMIF(A1004:A6003,"C01003",I1004:I6003)</f>
        <v>72404.51</v>
      </c>
      <c r="S1004" s="1">
        <v>64093.95</v>
      </c>
      <c r="T1004">
        <f t="shared" si="106"/>
        <v>354.924068627451</v>
      </c>
      <c r="U1004">
        <f t="shared" si="107"/>
        <v>8098.8</v>
      </c>
      <c r="V1004">
        <f t="shared" si="110"/>
        <v>674.9</v>
      </c>
      <c r="W1004">
        <f t="shared" si="108"/>
        <v>25231.4766666667</v>
      </c>
      <c r="X1004">
        <f t="shared" si="104"/>
        <v>0.260267808277489</v>
      </c>
      <c r="AH1004" t="str">
        <f t="shared" si="111"/>
        <v>3rd Quality</v>
      </c>
      <c r="AJ1004">
        <f>((T1004-X1004)*2)/13.3</f>
        <v>53.3329023788231</v>
      </c>
      <c r="AK1004">
        <f t="shared" si="109"/>
        <v>303815.002745098</v>
      </c>
    </row>
    <row r="1005" spans="1:37">
      <c r="A1005" t="s">
        <v>1068</v>
      </c>
      <c r="B1005">
        <v>49</v>
      </c>
      <c r="C1005" t="s">
        <v>50</v>
      </c>
      <c r="D1005" t="s">
        <v>45</v>
      </c>
      <c r="E1005">
        <v>871</v>
      </c>
      <c r="F1005">
        <v>3</v>
      </c>
      <c r="G1005">
        <v>26</v>
      </c>
      <c r="H1005">
        <v>2757.86</v>
      </c>
      <c r="I1005">
        <v>64093.95</v>
      </c>
      <c r="J1005">
        <v>113</v>
      </c>
      <c r="K1005">
        <v>4</v>
      </c>
      <c r="L1005">
        <v>21</v>
      </c>
      <c r="M1005">
        <v>68</v>
      </c>
      <c r="N1005" t="s">
        <v>78</v>
      </c>
      <c r="O1005" t="s">
        <v>47</v>
      </c>
      <c r="P1005" t="s">
        <v>58</v>
      </c>
      <c r="R1005">
        <f>SUMIF(A1005:A6004,"C01004",I1005:I6004)</f>
        <v>64093.95</v>
      </c>
      <c r="S1005" s="1">
        <v>15615.58</v>
      </c>
      <c r="T1005">
        <f t="shared" si="106"/>
        <v>567.203097345133</v>
      </c>
      <c r="U1005">
        <f t="shared" si="107"/>
        <v>7684</v>
      </c>
      <c r="V1005">
        <f>U1005*4</f>
        <v>30736</v>
      </c>
      <c r="W1005">
        <f t="shared" si="108"/>
        <v>22284.27</v>
      </c>
      <c r="X1005">
        <f t="shared" si="104"/>
        <v>0.315824588630315</v>
      </c>
      <c r="AH1005" t="str">
        <f t="shared" si="111"/>
        <v>3rd Quality</v>
      </c>
      <c r="AJ1005">
        <f>((T1005-X1005)*2)/21</f>
        <v>53.9892640720479</v>
      </c>
      <c r="AK1005">
        <f t="shared" si="109"/>
        <v>494033.897787611</v>
      </c>
    </row>
    <row r="1006" spans="1:37">
      <c r="A1006" t="s">
        <v>1069</v>
      </c>
      <c r="B1006">
        <v>22</v>
      </c>
      <c r="C1006" t="s">
        <v>44</v>
      </c>
      <c r="D1006" t="s">
        <v>51</v>
      </c>
      <c r="E1006">
        <v>1161</v>
      </c>
      <c r="F1006">
        <v>29</v>
      </c>
      <c r="G1006">
        <v>3</v>
      </c>
      <c r="H1006">
        <v>5705.22</v>
      </c>
      <c r="I1006">
        <v>15615.58</v>
      </c>
      <c r="J1006">
        <v>31</v>
      </c>
      <c r="K1006">
        <v>0</v>
      </c>
      <c r="L1006">
        <v>1</v>
      </c>
      <c r="M1006">
        <v>12</v>
      </c>
      <c r="N1006" t="s">
        <v>57</v>
      </c>
      <c r="O1006" t="s">
        <v>47</v>
      </c>
      <c r="P1006" t="s">
        <v>58</v>
      </c>
      <c r="R1006">
        <f>SUMIF(A1006:A6005,"C01005",I1006:I6005)</f>
        <v>15615.58</v>
      </c>
      <c r="S1006" s="1">
        <v>11854.71</v>
      </c>
      <c r="T1006">
        <f t="shared" si="106"/>
        <v>503.728387096774</v>
      </c>
      <c r="U1006">
        <f t="shared" si="107"/>
        <v>372</v>
      </c>
      <c r="V1006">
        <f t="shared" si="110"/>
        <v>31</v>
      </c>
      <c r="W1006">
        <f t="shared" si="108"/>
        <v>7107.26666666667</v>
      </c>
      <c r="X1006">
        <f t="shared" si="104"/>
        <v>0.203497849337975</v>
      </c>
      <c r="AH1006" t="str">
        <f t="shared" si="111"/>
        <v>2nd Quality</v>
      </c>
      <c r="AJ1006">
        <f>((T1006-X1006)*2)/1</f>
        <v>1007.04977849487</v>
      </c>
      <c r="AK1006">
        <f t="shared" si="109"/>
        <v>584828.657419355</v>
      </c>
    </row>
    <row r="1007" spans="1:37">
      <c r="A1007" t="s">
        <v>1070</v>
      </c>
      <c r="B1007">
        <v>49</v>
      </c>
      <c r="C1007" t="s">
        <v>44</v>
      </c>
      <c r="D1007" t="s">
        <v>60</v>
      </c>
      <c r="E1007">
        <v>770</v>
      </c>
      <c r="F1007">
        <v>77</v>
      </c>
      <c r="G1007">
        <v>6</v>
      </c>
      <c r="H1007">
        <v>2103.36</v>
      </c>
      <c r="I1007">
        <v>11854.71</v>
      </c>
      <c r="J1007">
        <v>38</v>
      </c>
      <c r="K1007">
        <v>0</v>
      </c>
      <c r="L1007">
        <v>20.5</v>
      </c>
      <c r="M1007">
        <v>20.9</v>
      </c>
      <c r="N1007" t="s">
        <v>78</v>
      </c>
      <c r="O1007" t="s">
        <v>47</v>
      </c>
      <c r="P1007" t="s">
        <v>58</v>
      </c>
      <c r="R1007">
        <f>SUMIF(A1007:A6006,"C01006",I1007:I6006)</f>
        <v>11854.71</v>
      </c>
      <c r="S1007" s="1">
        <v>2259.52</v>
      </c>
      <c r="T1007">
        <f t="shared" si="106"/>
        <v>311.966052631579</v>
      </c>
      <c r="U1007">
        <f t="shared" si="107"/>
        <v>794.2</v>
      </c>
      <c r="V1007">
        <f t="shared" si="110"/>
        <v>66.1833333333333</v>
      </c>
      <c r="W1007">
        <f t="shared" si="108"/>
        <v>4653.02333333333</v>
      </c>
      <c r="X1007">
        <f t="shared" ref="X1007:X1070" si="112">E1007/H1007</f>
        <v>0.366080937167199</v>
      </c>
      <c r="AH1007" t="str">
        <f t="shared" si="111"/>
        <v>3rd Quality</v>
      </c>
      <c r="AJ1007">
        <f>((T1007-X1007)*2)/20.5</f>
        <v>30.3999972384792</v>
      </c>
      <c r="AK1007">
        <f t="shared" si="109"/>
        <v>240213.860526316</v>
      </c>
    </row>
    <row r="1008" spans="1:37">
      <c r="A1008" t="s">
        <v>1071</v>
      </c>
      <c r="B1008">
        <v>46</v>
      </c>
      <c r="C1008" t="s">
        <v>44</v>
      </c>
      <c r="D1008" t="s">
        <v>51</v>
      </c>
      <c r="E1008">
        <v>481</v>
      </c>
      <c r="F1008">
        <v>210</v>
      </c>
      <c r="G1008">
        <v>1</v>
      </c>
      <c r="H1008">
        <v>2049.9</v>
      </c>
      <c r="I1008">
        <v>2259.52</v>
      </c>
      <c r="J1008">
        <v>20</v>
      </c>
      <c r="K1008">
        <v>0</v>
      </c>
      <c r="L1008">
        <v>13.2</v>
      </c>
      <c r="M1008">
        <v>5.3</v>
      </c>
      <c r="N1008" t="s">
        <v>52</v>
      </c>
      <c r="O1008" t="s">
        <v>47</v>
      </c>
      <c r="P1008" t="s">
        <v>66</v>
      </c>
      <c r="R1008">
        <f>SUMIF(A1008:A6007,"C01007",I1008:I6007)</f>
        <v>2259.52</v>
      </c>
      <c r="S1008" s="1">
        <v>12994.77</v>
      </c>
      <c r="T1008">
        <f t="shared" si="106"/>
        <v>112.976</v>
      </c>
      <c r="U1008">
        <f t="shared" si="107"/>
        <v>106</v>
      </c>
      <c r="V1008">
        <f t="shared" si="110"/>
        <v>8.83333333333333</v>
      </c>
      <c r="W1008">
        <f t="shared" si="108"/>
        <v>1436.80666666667</v>
      </c>
      <c r="X1008">
        <f t="shared" si="112"/>
        <v>0.234645592467925</v>
      </c>
      <c r="AH1008" t="str">
        <f t="shared" si="111"/>
        <v>3rd Quality</v>
      </c>
      <c r="AJ1008">
        <f>((T1008-X1008)*2)/13.2</f>
        <v>17.0820233950806</v>
      </c>
      <c r="AK1008">
        <f t="shared" si="109"/>
        <v>54341.456</v>
      </c>
    </row>
    <row r="1009" spans="1:37">
      <c r="A1009" t="s">
        <v>1072</v>
      </c>
      <c r="B1009">
        <v>32</v>
      </c>
      <c r="C1009" t="s">
        <v>50</v>
      </c>
      <c r="D1009" t="s">
        <v>45</v>
      </c>
      <c r="E1009">
        <v>911</v>
      </c>
      <c r="F1009">
        <v>12</v>
      </c>
      <c r="G1009">
        <v>8</v>
      </c>
      <c r="H1009">
        <v>1507.95</v>
      </c>
      <c r="I1009">
        <v>12994.77</v>
      </c>
      <c r="J1009">
        <v>49</v>
      </c>
      <c r="K1009">
        <v>0</v>
      </c>
      <c r="L1009">
        <v>28.9</v>
      </c>
      <c r="M1009">
        <v>28.2</v>
      </c>
      <c r="N1009" t="s">
        <v>46</v>
      </c>
      <c r="O1009" t="s">
        <v>47</v>
      </c>
      <c r="P1009" t="s">
        <v>58</v>
      </c>
      <c r="R1009">
        <f>SUMIF(A1009:A6008,"C01008",I1009:I6008)</f>
        <v>12994.77</v>
      </c>
      <c r="S1009" s="1">
        <v>2264.79</v>
      </c>
      <c r="T1009">
        <f t="shared" si="106"/>
        <v>265.199387755102</v>
      </c>
      <c r="U1009">
        <f t="shared" si="107"/>
        <v>1381.8</v>
      </c>
      <c r="V1009">
        <f t="shared" si="110"/>
        <v>115.15</v>
      </c>
      <c r="W1009">
        <f t="shared" si="108"/>
        <v>4834.57333333333</v>
      </c>
      <c r="X1009">
        <f t="shared" si="112"/>
        <v>0.604131436718724</v>
      </c>
      <c r="AH1009" t="str">
        <f t="shared" si="111"/>
        <v>3rd Quality</v>
      </c>
      <c r="AJ1009">
        <f>((T1009-X1009)*2)/28.9</f>
        <v>18.3110904026563</v>
      </c>
      <c r="AK1009">
        <f t="shared" si="109"/>
        <v>241596.642244898</v>
      </c>
    </row>
    <row r="1010" spans="1:37">
      <c r="A1010" t="s">
        <v>1073</v>
      </c>
      <c r="B1010">
        <v>47</v>
      </c>
      <c r="C1010" t="s">
        <v>50</v>
      </c>
      <c r="D1010" t="s">
        <v>60</v>
      </c>
      <c r="E1010">
        <v>1314</v>
      </c>
      <c r="F1010">
        <v>87</v>
      </c>
      <c r="G1010">
        <v>3</v>
      </c>
      <c r="H1010">
        <v>848.44</v>
      </c>
      <c r="I1010">
        <v>2264.79</v>
      </c>
      <c r="J1010">
        <v>31</v>
      </c>
      <c r="K1010">
        <v>1</v>
      </c>
      <c r="L1010">
        <v>37</v>
      </c>
      <c r="M1010">
        <v>50.4</v>
      </c>
      <c r="N1010" t="s">
        <v>63</v>
      </c>
      <c r="O1010" t="s">
        <v>47</v>
      </c>
      <c r="P1010" t="s">
        <v>54</v>
      </c>
      <c r="R1010">
        <f>SUMIF(A1010:A6009,"C01009",I1010:I6009)</f>
        <v>2264.79</v>
      </c>
      <c r="S1010" s="1">
        <v>11974.78</v>
      </c>
      <c r="T1010">
        <f t="shared" si="106"/>
        <v>73.0577419354839</v>
      </c>
      <c r="U1010">
        <f t="shared" si="107"/>
        <v>1562.4</v>
      </c>
      <c r="V1010">
        <f>U1010*1</f>
        <v>1562.4</v>
      </c>
      <c r="W1010">
        <f t="shared" si="108"/>
        <v>1038.07666666667</v>
      </c>
      <c r="X1010">
        <f t="shared" si="112"/>
        <v>1.54872471830654</v>
      </c>
      <c r="AH1010" t="str">
        <f t="shared" si="111"/>
        <v>3rd Quality</v>
      </c>
      <c r="AJ1010">
        <f>((T1010-X1010)*2)/37</f>
        <v>3.86535228200959</v>
      </c>
      <c r="AK1010">
        <f t="shared" si="109"/>
        <v>95997.8729032258</v>
      </c>
    </row>
    <row r="1011" spans="1:37">
      <c r="A1011" t="s">
        <v>1074</v>
      </c>
      <c r="B1011">
        <v>28</v>
      </c>
      <c r="C1011" t="s">
        <v>44</v>
      </c>
      <c r="D1011" t="s">
        <v>60</v>
      </c>
      <c r="E1011">
        <v>757</v>
      </c>
      <c r="F1011">
        <v>77</v>
      </c>
      <c r="G1011">
        <v>12</v>
      </c>
      <c r="H1011">
        <v>1129.38</v>
      </c>
      <c r="I1011">
        <v>11974.78</v>
      </c>
      <c r="J1011">
        <v>90</v>
      </c>
      <c r="K1011">
        <v>0</v>
      </c>
      <c r="L1011">
        <v>24.7</v>
      </c>
      <c r="M1011">
        <v>21.6</v>
      </c>
      <c r="N1011" t="s">
        <v>81</v>
      </c>
      <c r="O1011" t="s">
        <v>47</v>
      </c>
      <c r="P1011" t="s">
        <v>66</v>
      </c>
      <c r="R1011">
        <f>SUMIF(A1011:A6010,"C01010",I1011:I6010)</f>
        <v>11974.78</v>
      </c>
      <c r="S1011" s="1">
        <v>12702.79</v>
      </c>
      <c r="T1011">
        <f t="shared" si="106"/>
        <v>133.053111111111</v>
      </c>
      <c r="U1011">
        <f t="shared" si="107"/>
        <v>1944</v>
      </c>
      <c r="V1011">
        <f t="shared" si="110"/>
        <v>162</v>
      </c>
      <c r="W1011">
        <f t="shared" si="108"/>
        <v>4368.38666666667</v>
      </c>
      <c r="X1011">
        <f t="shared" si="112"/>
        <v>0.670279268271087</v>
      </c>
      <c r="AH1011" t="str">
        <f t="shared" si="111"/>
        <v>3rd Quality</v>
      </c>
      <c r="AJ1011">
        <f>((T1011-X1011)*2)/24.7</f>
        <v>10.7192576390963</v>
      </c>
      <c r="AK1011">
        <f t="shared" si="109"/>
        <v>100721.205111111</v>
      </c>
    </row>
    <row r="1012" spans="1:37">
      <c r="A1012" t="s">
        <v>1075</v>
      </c>
      <c r="B1012">
        <v>34</v>
      </c>
      <c r="C1012" t="s">
        <v>50</v>
      </c>
      <c r="D1012" t="s">
        <v>60</v>
      </c>
      <c r="E1012">
        <v>1203</v>
      </c>
      <c r="F1012">
        <v>14</v>
      </c>
      <c r="G1012">
        <v>2</v>
      </c>
      <c r="H1012">
        <v>6222.95</v>
      </c>
      <c r="I1012">
        <v>12702.79</v>
      </c>
      <c r="J1012">
        <v>9</v>
      </c>
      <c r="K1012">
        <v>1</v>
      </c>
      <c r="L1012">
        <v>6.7</v>
      </c>
      <c r="M1012">
        <v>26.8</v>
      </c>
      <c r="N1012" t="s">
        <v>61</v>
      </c>
      <c r="O1012" t="s">
        <v>47</v>
      </c>
      <c r="P1012" t="s">
        <v>58</v>
      </c>
      <c r="R1012">
        <f>SUMIF(A1012:A6011,"C01011",I1012:I6011)</f>
        <v>12702.79</v>
      </c>
      <c r="S1012" s="1">
        <v>50737.47</v>
      </c>
      <c r="T1012">
        <f t="shared" si="106"/>
        <v>1411.42111111111</v>
      </c>
      <c r="U1012">
        <f t="shared" si="107"/>
        <v>241.2</v>
      </c>
      <c r="V1012">
        <f>U1012*1</f>
        <v>241.2</v>
      </c>
      <c r="W1012">
        <f t="shared" si="108"/>
        <v>6308.91333333333</v>
      </c>
      <c r="X1012">
        <f t="shared" si="112"/>
        <v>0.193316674567528</v>
      </c>
      <c r="AH1012" t="str">
        <f t="shared" si="111"/>
        <v>2nd Quality</v>
      </c>
      <c r="AJ1012">
        <f>((T1012-X1012)*2)/6.7</f>
        <v>421.262028190013</v>
      </c>
      <c r="AK1012">
        <f t="shared" si="109"/>
        <v>1697939.59666667</v>
      </c>
    </row>
    <row r="1013" spans="1:37">
      <c r="A1013" t="s">
        <v>1076</v>
      </c>
      <c r="B1013">
        <v>45</v>
      </c>
      <c r="C1013" t="s">
        <v>50</v>
      </c>
      <c r="D1013" t="s">
        <v>60</v>
      </c>
      <c r="E1013">
        <v>874</v>
      </c>
      <c r="F1013">
        <v>44</v>
      </c>
      <c r="G1013">
        <v>5</v>
      </c>
      <c r="H1013">
        <v>10457.5</v>
      </c>
      <c r="I1013">
        <v>50737.47</v>
      </c>
      <c r="J1013">
        <v>19</v>
      </c>
      <c r="K1013">
        <v>0</v>
      </c>
      <c r="L1013">
        <v>8.9</v>
      </c>
      <c r="M1013">
        <v>33.8</v>
      </c>
      <c r="N1013" t="s">
        <v>61</v>
      </c>
      <c r="O1013" t="s">
        <v>47</v>
      </c>
      <c r="P1013" t="s">
        <v>66</v>
      </c>
      <c r="R1013">
        <f>SUMIF(A1013:A6012,"C01012",I1013:I6012)</f>
        <v>50737.47</v>
      </c>
      <c r="S1013" s="1">
        <v>3539.55</v>
      </c>
      <c r="T1013">
        <f t="shared" si="106"/>
        <v>2670.39315789474</v>
      </c>
      <c r="U1013">
        <f t="shared" si="107"/>
        <v>642.2</v>
      </c>
      <c r="V1013">
        <f t="shared" si="110"/>
        <v>53.5166666666667</v>
      </c>
      <c r="W1013">
        <f t="shared" si="108"/>
        <v>20398.6566666667</v>
      </c>
      <c r="X1013">
        <f t="shared" si="112"/>
        <v>0.0835763805880947</v>
      </c>
      <c r="AH1013" t="str">
        <f t="shared" si="111"/>
        <v>3rd Quality</v>
      </c>
      <c r="AJ1013">
        <f>((T1013-X1013)*2)/8.9</f>
        <v>600.069568879585</v>
      </c>
      <c r="AK1013">
        <f t="shared" si="109"/>
        <v>2333923.62</v>
      </c>
    </row>
    <row r="1014" spans="1:37">
      <c r="A1014" t="s">
        <v>1077</v>
      </c>
      <c r="B1014">
        <v>27</v>
      </c>
      <c r="C1014" t="s">
        <v>44</v>
      </c>
      <c r="D1014" t="s">
        <v>60</v>
      </c>
      <c r="E1014">
        <v>581</v>
      </c>
      <c r="F1014">
        <v>80</v>
      </c>
      <c r="G1014">
        <v>3</v>
      </c>
      <c r="H1014">
        <v>1100.17</v>
      </c>
      <c r="I1014">
        <v>3539.55</v>
      </c>
      <c r="J1014">
        <v>19</v>
      </c>
      <c r="K1014">
        <v>0</v>
      </c>
      <c r="L1014">
        <v>12.3</v>
      </c>
      <c r="M1014">
        <v>63.3</v>
      </c>
      <c r="N1014" t="s">
        <v>46</v>
      </c>
      <c r="O1014" t="s">
        <v>47</v>
      </c>
      <c r="P1014" t="s">
        <v>54</v>
      </c>
      <c r="R1014">
        <f>SUMIF(A1014:A6013,"C01013",I1014:I6013)</f>
        <v>3539.55</v>
      </c>
      <c r="S1014" s="1">
        <v>15537.64</v>
      </c>
      <c r="T1014">
        <f t="shared" si="106"/>
        <v>186.292105263158</v>
      </c>
      <c r="U1014">
        <f t="shared" si="107"/>
        <v>1202.7</v>
      </c>
      <c r="V1014">
        <f t="shared" si="110"/>
        <v>100.225</v>
      </c>
      <c r="W1014">
        <f t="shared" si="108"/>
        <v>1546.90666666667</v>
      </c>
      <c r="X1014">
        <f t="shared" si="112"/>
        <v>0.528100202695947</v>
      </c>
      <c r="AH1014" t="str">
        <f t="shared" si="111"/>
        <v>3rd Quality</v>
      </c>
      <c r="AJ1014">
        <f>((T1014-X1014)*2)/12.3</f>
        <v>30.2055292781239</v>
      </c>
      <c r="AK1014">
        <f t="shared" si="109"/>
        <v>108235.713157895</v>
      </c>
    </row>
    <row r="1015" spans="1:37">
      <c r="A1015" t="s">
        <v>1078</v>
      </c>
      <c r="B1015">
        <v>22</v>
      </c>
      <c r="C1015" t="s">
        <v>44</v>
      </c>
      <c r="D1015" t="s">
        <v>45</v>
      </c>
      <c r="E1015">
        <v>964</v>
      </c>
      <c r="F1015">
        <v>260</v>
      </c>
      <c r="G1015">
        <v>1</v>
      </c>
      <c r="H1015">
        <v>1447.04</v>
      </c>
      <c r="I1015">
        <v>1611.27</v>
      </c>
      <c r="J1015">
        <v>15</v>
      </c>
      <c r="K1015">
        <v>0</v>
      </c>
      <c r="L1015">
        <v>14.1</v>
      </c>
      <c r="M1015">
        <v>50.6</v>
      </c>
      <c r="N1015" t="s">
        <v>63</v>
      </c>
      <c r="O1015" t="s">
        <v>75</v>
      </c>
      <c r="P1015" t="s">
        <v>68</v>
      </c>
      <c r="R1015">
        <f>SUMIF(A1015:A6014,"C01014",I1015:I6014)</f>
        <v>1611.27</v>
      </c>
      <c r="S1015" s="1">
        <v>98559.34</v>
      </c>
      <c r="T1015">
        <f t="shared" si="106"/>
        <v>107.418</v>
      </c>
      <c r="U1015">
        <f t="shared" si="107"/>
        <v>759</v>
      </c>
      <c r="V1015">
        <f t="shared" si="110"/>
        <v>63.25</v>
      </c>
      <c r="W1015">
        <f t="shared" si="108"/>
        <v>1019.77</v>
      </c>
      <c r="X1015">
        <f t="shared" si="112"/>
        <v>0.666187527642636</v>
      </c>
      <c r="AH1015" t="str">
        <f t="shared" si="111"/>
        <v>3rd Quality</v>
      </c>
      <c r="AJ1015">
        <f>((T1015-X1015)*2)/14.1</f>
        <v>15.1421010599088</v>
      </c>
      <c r="AK1015">
        <f t="shared" si="109"/>
        <v>103550.952</v>
      </c>
    </row>
    <row r="1016" spans="1:37">
      <c r="A1016" t="s">
        <v>1079</v>
      </c>
      <c r="B1016">
        <v>39</v>
      </c>
      <c r="C1016" t="s">
        <v>50</v>
      </c>
      <c r="D1016" t="s">
        <v>60</v>
      </c>
      <c r="E1016">
        <v>895</v>
      </c>
      <c r="F1016">
        <v>34</v>
      </c>
      <c r="G1016">
        <v>6</v>
      </c>
      <c r="H1016">
        <v>2593.18</v>
      </c>
      <c r="I1016">
        <v>15537.64</v>
      </c>
      <c r="J1016">
        <v>24</v>
      </c>
      <c r="K1016">
        <v>0</v>
      </c>
      <c r="L1016">
        <v>19.7</v>
      </c>
      <c r="M1016">
        <v>5.1</v>
      </c>
      <c r="N1016" t="s">
        <v>78</v>
      </c>
      <c r="O1016" t="s">
        <v>75</v>
      </c>
      <c r="P1016" t="s">
        <v>66</v>
      </c>
      <c r="R1016">
        <f>SUMIF(A1016:A6015,"C01015",I1016:I6015)</f>
        <v>15537.64</v>
      </c>
      <c r="S1016" s="1">
        <v>2197.24</v>
      </c>
      <c r="T1016">
        <f t="shared" si="106"/>
        <v>647.401666666667</v>
      </c>
      <c r="U1016">
        <f t="shared" si="107"/>
        <v>122.4</v>
      </c>
      <c r="V1016">
        <f t="shared" si="110"/>
        <v>10.2</v>
      </c>
      <c r="W1016">
        <f t="shared" si="108"/>
        <v>6043.94</v>
      </c>
      <c r="X1016">
        <f t="shared" si="112"/>
        <v>0.345136087737835</v>
      </c>
      <c r="AH1016" t="str">
        <f t="shared" si="111"/>
        <v>3rd Quality</v>
      </c>
      <c r="AJ1016">
        <f>((T1016-X1016)*2)/19.7</f>
        <v>65.6910183328862</v>
      </c>
      <c r="AK1016">
        <f t="shared" si="109"/>
        <v>579424.491666667</v>
      </c>
    </row>
    <row r="1017" spans="1:37">
      <c r="A1017" t="s">
        <v>1080</v>
      </c>
      <c r="B1017">
        <v>29</v>
      </c>
      <c r="C1017" t="s">
        <v>50</v>
      </c>
      <c r="D1017" t="s">
        <v>60</v>
      </c>
      <c r="E1017">
        <v>1167</v>
      </c>
      <c r="F1017">
        <v>5</v>
      </c>
      <c r="G1017">
        <v>34</v>
      </c>
      <c r="H1017">
        <v>3142.07</v>
      </c>
      <c r="I1017">
        <v>98559.34</v>
      </c>
      <c r="J1017">
        <v>115</v>
      </c>
      <c r="K1017">
        <v>3</v>
      </c>
      <c r="L1017">
        <v>8.9</v>
      </c>
      <c r="M1017">
        <v>20.1</v>
      </c>
      <c r="N1017" t="s">
        <v>46</v>
      </c>
      <c r="O1017" t="s">
        <v>53</v>
      </c>
      <c r="P1017" t="s">
        <v>58</v>
      </c>
      <c r="R1017">
        <f>SUMIF(A1017:A6016,"C01016",I1017:I6016)</f>
        <v>98559.34</v>
      </c>
      <c r="S1017" s="1">
        <v>2041.68</v>
      </c>
      <c r="T1017">
        <f t="shared" si="106"/>
        <v>857.037739130435</v>
      </c>
      <c r="U1017">
        <f t="shared" si="107"/>
        <v>2311.5</v>
      </c>
      <c r="V1017">
        <f>U1017*3</f>
        <v>6934.5</v>
      </c>
      <c r="W1017">
        <f t="shared" si="108"/>
        <v>33900.8033333333</v>
      </c>
      <c r="X1017">
        <f t="shared" si="112"/>
        <v>0.371411203442317</v>
      </c>
      <c r="AH1017" t="str">
        <f t="shared" si="111"/>
        <v>1st Quality</v>
      </c>
      <c r="AJ1017">
        <f>((T1017-X1017)*2)/8.9</f>
        <v>192.509287174605</v>
      </c>
      <c r="AK1017">
        <f t="shared" si="109"/>
        <v>1000163.04156522</v>
      </c>
    </row>
    <row r="1018" spans="1:37">
      <c r="A1018" t="s">
        <v>1081</v>
      </c>
      <c r="B1018">
        <v>40</v>
      </c>
      <c r="C1018" t="s">
        <v>44</v>
      </c>
      <c r="D1018" t="s">
        <v>60</v>
      </c>
      <c r="E1018">
        <v>1119</v>
      </c>
      <c r="F1018">
        <v>53</v>
      </c>
      <c r="G1018">
        <v>6</v>
      </c>
      <c r="H1018">
        <v>334.66</v>
      </c>
      <c r="I1018">
        <v>2197.24</v>
      </c>
      <c r="J1018">
        <v>25</v>
      </c>
      <c r="K1018">
        <v>1</v>
      </c>
      <c r="L1018">
        <v>24.4</v>
      </c>
      <c r="M1018">
        <v>5.6</v>
      </c>
      <c r="N1018" t="s">
        <v>61</v>
      </c>
      <c r="O1018" t="s">
        <v>75</v>
      </c>
      <c r="P1018" t="s">
        <v>66</v>
      </c>
      <c r="R1018">
        <f>SUMIF(A1018:A6017,"C01017",I1018:I6017)</f>
        <v>2197.24</v>
      </c>
      <c r="S1018" s="1">
        <v>45016.74</v>
      </c>
      <c r="T1018">
        <f t="shared" si="106"/>
        <v>87.8896</v>
      </c>
      <c r="U1018">
        <f t="shared" si="107"/>
        <v>140</v>
      </c>
      <c r="V1018">
        <f>U1018*1</f>
        <v>140</v>
      </c>
      <c r="W1018">
        <f t="shared" si="108"/>
        <v>844.3</v>
      </c>
      <c r="X1018">
        <f t="shared" si="112"/>
        <v>3.34369210542043</v>
      </c>
      <c r="AH1018" t="str">
        <f t="shared" si="111"/>
        <v>3rd Quality</v>
      </c>
      <c r="AJ1018">
        <f>((T1018-X1018)*2)/24.4</f>
        <v>6.92999245037537</v>
      </c>
      <c r="AK1018">
        <f t="shared" si="109"/>
        <v>98348.4624</v>
      </c>
    </row>
    <row r="1019" spans="1:37">
      <c r="A1019" t="s">
        <v>1082</v>
      </c>
      <c r="B1019">
        <v>30</v>
      </c>
      <c r="C1019" t="s">
        <v>44</v>
      </c>
      <c r="D1019" t="s">
        <v>45</v>
      </c>
      <c r="E1019">
        <v>535</v>
      </c>
      <c r="F1019">
        <v>71</v>
      </c>
      <c r="G1019">
        <v>3</v>
      </c>
      <c r="H1019">
        <v>693.51</v>
      </c>
      <c r="I1019">
        <v>2041.68</v>
      </c>
      <c r="J1019">
        <v>30</v>
      </c>
      <c r="K1019">
        <v>0</v>
      </c>
      <c r="L1019">
        <v>23.1</v>
      </c>
      <c r="M1019">
        <v>43.7</v>
      </c>
      <c r="N1019" t="s">
        <v>61</v>
      </c>
      <c r="O1019" t="s">
        <v>75</v>
      </c>
      <c r="P1019" t="s">
        <v>66</v>
      </c>
      <c r="R1019">
        <f>SUMIF(A1019:A6018,"C01018",I1019:I6018)</f>
        <v>2041.68</v>
      </c>
      <c r="S1019" s="1">
        <v>2686.21</v>
      </c>
      <c r="T1019">
        <f t="shared" si="106"/>
        <v>68.056</v>
      </c>
      <c r="U1019">
        <f t="shared" si="107"/>
        <v>1311</v>
      </c>
      <c r="V1019">
        <f t="shared" si="110"/>
        <v>109.25</v>
      </c>
      <c r="W1019">
        <f t="shared" si="108"/>
        <v>912.063333333333</v>
      </c>
      <c r="X1019">
        <f t="shared" si="112"/>
        <v>0.771438047036092</v>
      </c>
      <c r="AH1019" t="str">
        <f t="shared" si="111"/>
        <v>3rd Quality</v>
      </c>
      <c r="AJ1019">
        <f>((T1019-X1019)*2)/23.1</f>
        <v>5.82550319939081</v>
      </c>
      <c r="AK1019">
        <f t="shared" si="109"/>
        <v>36409.96</v>
      </c>
    </row>
    <row r="1020" spans="1:37">
      <c r="A1020" t="s">
        <v>1083</v>
      </c>
      <c r="B1020">
        <v>18</v>
      </c>
      <c r="C1020" t="s">
        <v>44</v>
      </c>
      <c r="D1020" t="s">
        <v>45</v>
      </c>
      <c r="E1020">
        <v>432</v>
      </c>
      <c r="F1020">
        <v>15</v>
      </c>
      <c r="G1020">
        <v>21</v>
      </c>
      <c r="H1020">
        <v>2187.15</v>
      </c>
      <c r="I1020">
        <v>45016.74</v>
      </c>
      <c r="J1020">
        <v>88</v>
      </c>
      <c r="K1020">
        <v>0</v>
      </c>
      <c r="L1020">
        <v>0</v>
      </c>
      <c r="M1020">
        <v>19.9</v>
      </c>
      <c r="N1020" t="s">
        <v>57</v>
      </c>
      <c r="O1020" t="s">
        <v>47</v>
      </c>
      <c r="P1020" t="s">
        <v>68</v>
      </c>
      <c r="R1020">
        <f>SUMIF(A1020:A6019,"C01019",I1020:I6019)</f>
        <v>45016.74</v>
      </c>
      <c r="S1020" s="1">
        <v>1917.02</v>
      </c>
      <c r="T1020">
        <f t="shared" si="106"/>
        <v>511.553863636364</v>
      </c>
      <c r="U1020">
        <f t="shared" si="107"/>
        <v>1751.2</v>
      </c>
      <c r="V1020">
        <f t="shared" si="110"/>
        <v>145.933333333333</v>
      </c>
      <c r="W1020">
        <f t="shared" si="108"/>
        <v>15734.9633333333</v>
      </c>
      <c r="X1020">
        <f t="shared" si="112"/>
        <v>0.197517317056443</v>
      </c>
      <c r="AH1020" t="str">
        <f t="shared" si="111"/>
        <v>3rd Quality</v>
      </c>
      <c r="AJ1020">
        <f>((T1020-X1020)*2)</f>
        <v>1022.71269263862</v>
      </c>
      <c r="AK1020">
        <f t="shared" si="109"/>
        <v>220991.269090909</v>
      </c>
    </row>
    <row r="1021" spans="1:37">
      <c r="A1021" t="s">
        <v>1084</v>
      </c>
      <c r="B1021">
        <v>30</v>
      </c>
      <c r="C1021" t="s">
        <v>50</v>
      </c>
      <c r="D1021" t="s">
        <v>60</v>
      </c>
      <c r="E1021">
        <v>515</v>
      </c>
      <c r="F1021">
        <v>138</v>
      </c>
      <c r="G1021">
        <v>2</v>
      </c>
      <c r="H1021">
        <v>1280.44</v>
      </c>
      <c r="I1021">
        <v>2686.21</v>
      </c>
      <c r="J1021">
        <v>19</v>
      </c>
      <c r="K1021">
        <v>0</v>
      </c>
      <c r="L1021">
        <v>25</v>
      </c>
      <c r="M1021">
        <v>12.7</v>
      </c>
      <c r="N1021" t="s">
        <v>57</v>
      </c>
      <c r="O1021" t="s">
        <v>53</v>
      </c>
      <c r="P1021" t="s">
        <v>58</v>
      </c>
      <c r="R1021">
        <f>SUMIF(A1021:A6020,"C01020",I1021:I6020)</f>
        <v>2686.21</v>
      </c>
      <c r="S1021" s="1">
        <v>938.48</v>
      </c>
      <c r="T1021">
        <f t="shared" si="106"/>
        <v>141.379473684211</v>
      </c>
      <c r="U1021">
        <f t="shared" si="107"/>
        <v>241.3</v>
      </c>
      <c r="V1021">
        <f t="shared" si="110"/>
        <v>20.1083333333333</v>
      </c>
      <c r="W1021">
        <f t="shared" si="108"/>
        <v>1322.55</v>
      </c>
      <c r="X1021">
        <f t="shared" si="112"/>
        <v>0.402205491862172</v>
      </c>
      <c r="AH1021" t="str">
        <f t="shared" si="111"/>
        <v>3rd Quality</v>
      </c>
      <c r="AJ1021">
        <f>((T1021-X1021)*2)/25</f>
        <v>11.2781814553879</v>
      </c>
      <c r="AK1021">
        <f t="shared" si="109"/>
        <v>72810.4289473684</v>
      </c>
    </row>
    <row r="1022" spans="1:37">
      <c r="A1022" t="s">
        <v>1085</v>
      </c>
      <c r="B1022">
        <v>45</v>
      </c>
      <c r="C1022" t="s">
        <v>44</v>
      </c>
      <c r="D1022" t="s">
        <v>45</v>
      </c>
      <c r="E1022">
        <v>1098</v>
      </c>
      <c r="F1022">
        <v>100</v>
      </c>
      <c r="G1022">
        <v>2</v>
      </c>
      <c r="H1022">
        <v>989.4</v>
      </c>
      <c r="I1022">
        <v>1917.02</v>
      </c>
      <c r="J1022">
        <v>19</v>
      </c>
      <c r="K1022">
        <v>0</v>
      </c>
      <c r="L1022">
        <v>7.4</v>
      </c>
      <c r="M1022">
        <v>36.1</v>
      </c>
      <c r="N1022" t="s">
        <v>81</v>
      </c>
      <c r="O1022" t="s">
        <v>75</v>
      </c>
      <c r="P1022" t="s">
        <v>58</v>
      </c>
      <c r="R1022">
        <f>SUMIF(A1022:A6021,"C01021",I1022:I6021)</f>
        <v>1917.02</v>
      </c>
      <c r="S1022" s="1">
        <v>1607.23</v>
      </c>
      <c r="T1022">
        <f t="shared" si="106"/>
        <v>100.895789473684</v>
      </c>
      <c r="U1022">
        <f t="shared" si="107"/>
        <v>685.9</v>
      </c>
      <c r="V1022">
        <f t="shared" si="110"/>
        <v>57.1583333333333</v>
      </c>
      <c r="W1022">
        <f t="shared" si="108"/>
        <v>969.14</v>
      </c>
      <c r="X1022">
        <f t="shared" si="112"/>
        <v>1.10976349302608</v>
      </c>
      <c r="AH1022" t="str">
        <f t="shared" si="111"/>
        <v>3rd Quality</v>
      </c>
      <c r="AJ1022">
        <f>((T1022-X1022)*2)/7.4</f>
        <v>26.9691962109886</v>
      </c>
      <c r="AK1022">
        <f t="shared" si="109"/>
        <v>110783.576842105</v>
      </c>
    </row>
    <row r="1023" spans="1:37">
      <c r="A1023" t="s">
        <v>1086</v>
      </c>
      <c r="B1023">
        <v>33</v>
      </c>
      <c r="C1023" t="s">
        <v>44</v>
      </c>
      <c r="D1023" t="s">
        <v>60</v>
      </c>
      <c r="E1023">
        <v>913</v>
      </c>
      <c r="F1023">
        <v>130</v>
      </c>
      <c r="G1023">
        <v>1</v>
      </c>
      <c r="H1023">
        <v>1002.26</v>
      </c>
      <c r="I1023">
        <v>938.48</v>
      </c>
      <c r="J1023">
        <v>13</v>
      </c>
      <c r="K1023">
        <v>0</v>
      </c>
      <c r="L1023">
        <v>36</v>
      </c>
      <c r="M1023">
        <v>38.9</v>
      </c>
      <c r="N1023" t="s">
        <v>46</v>
      </c>
      <c r="O1023" t="s">
        <v>75</v>
      </c>
      <c r="P1023" t="s">
        <v>48</v>
      </c>
      <c r="R1023">
        <f>SUMIF(A1023:A6022,"C01022",I1023:I6022)</f>
        <v>938.48</v>
      </c>
      <c r="S1023" s="1">
        <v>58648.96</v>
      </c>
      <c r="T1023">
        <f t="shared" si="106"/>
        <v>72.1907692307692</v>
      </c>
      <c r="U1023">
        <f t="shared" si="107"/>
        <v>505.7</v>
      </c>
      <c r="V1023">
        <f t="shared" ref="V1023:V1086" si="113">U1023/12</f>
        <v>42.1416666666667</v>
      </c>
      <c r="W1023">
        <f t="shared" si="108"/>
        <v>647.246666666667</v>
      </c>
      <c r="X1023">
        <f t="shared" si="112"/>
        <v>0.910941272723645</v>
      </c>
      <c r="AH1023" t="str">
        <f t="shared" si="111"/>
        <v>3rd Quality</v>
      </c>
      <c r="AJ1023">
        <f>((T1023-X1023)*2)/36</f>
        <v>3.95999044211364</v>
      </c>
      <c r="AK1023">
        <f t="shared" si="109"/>
        <v>65910.1723076923</v>
      </c>
    </row>
    <row r="1024" spans="1:37">
      <c r="A1024" t="s">
        <v>1087</v>
      </c>
      <c r="B1024">
        <v>31</v>
      </c>
      <c r="C1024" t="s">
        <v>50</v>
      </c>
      <c r="D1024" t="s">
        <v>60</v>
      </c>
      <c r="E1024">
        <v>781</v>
      </c>
      <c r="F1024">
        <v>365</v>
      </c>
      <c r="G1024">
        <v>1</v>
      </c>
      <c r="H1024">
        <v>1519.11</v>
      </c>
      <c r="I1024">
        <v>1607.23</v>
      </c>
      <c r="J1024">
        <v>8</v>
      </c>
      <c r="K1024">
        <v>0</v>
      </c>
      <c r="L1024">
        <v>19.3</v>
      </c>
      <c r="M1024">
        <v>44.1</v>
      </c>
      <c r="N1024" t="s">
        <v>57</v>
      </c>
      <c r="O1024" t="s">
        <v>47</v>
      </c>
      <c r="P1024" t="s">
        <v>68</v>
      </c>
      <c r="R1024">
        <f>SUMIF(A1024:A6023,"C01023",I1024:I6023)</f>
        <v>1607.23</v>
      </c>
      <c r="S1024" s="1">
        <v>17887.71</v>
      </c>
      <c r="T1024">
        <f t="shared" si="106"/>
        <v>200.90375</v>
      </c>
      <c r="U1024">
        <f t="shared" si="107"/>
        <v>352.8</v>
      </c>
      <c r="V1024">
        <f t="shared" si="113"/>
        <v>29.4</v>
      </c>
      <c r="W1024">
        <f t="shared" si="108"/>
        <v>1042.44666666667</v>
      </c>
      <c r="X1024">
        <f t="shared" si="112"/>
        <v>0.514116818400248</v>
      </c>
      <c r="AH1024" t="str">
        <f t="shared" si="111"/>
        <v>3rd Quality</v>
      </c>
      <c r="AJ1024">
        <f>((T1024-X1024)*2)/19.3</f>
        <v>20.7657650965388</v>
      </c>
      <c r="AK1024">
        <f t="shared" si="109"/>
        <v>156905.82875</v>
      </c>
    </row>
    <row r="1025" spans="1:37">
      <c r="A1025" t="s">
        <v>1088</v>
      </c>
      <c r="B1025">
        <v>24</v>
      </c>
      <c r="C1025" t="s">
        <v>44</v>
      </c>
      <c r="D1025" t="s">
        <v>60</v>
      </c>
      <c r="E1025">
        <v>888</v>
      </c>
      <c r="F1025">
        <v>28</v>
      </c>
      <c r="G1025">
        <v>8</v>
      </c>
      <c r="H1025">
        <v>7928.95</v>
      </c>
      <c r="I1025">
        <v>58648.96</v>
      </c>
      <c r="J1025">
        <v>55</v>
      </c>
      <c r="K1025">
        <v>0</v>
      </c>
      <c r="L1025">
        <v>12.2</v>
      </c>
      <c r="M1025">
        <v>64</v>
      </c>
      <c r="N1025" t="s">
        <v>61</v>
      </c>
      <c r="O1025" t="s">
        <v>47</v>
      </c>
      <c r="P1025" t="s">
        <v>66</v>
      </c>
      <c r="R1025">
        <f>SUMIF(A1025:A6024,"C01024",I1025:I6024)</f>
        <v>58648.96</v>
      </c>
      <c r="S1025" s="1">
        <v>11794.43</v>
      </c>
      <c r="T1025">
        <f t="shared" si="106"/>
        <v>1066.34472727273</v>
      </c>
      <c r="U1025">
        <f t="shared" si="107"/>
        <v>3520</v>
      </c>
      <c r="V1025">
        <f t="shared" si="113"/>
        <v>293.333333333333</v>
      </c>
      <c r="W1025">
        <f t="shared" si="108"/>
        <v>22192.97</v>
      </c>
      <c r="X1025">
        <f t="shared" si="112"/>
        <v>0.111994652507583</v>
      </c>
      <c r="AH1025" t="str">
        <f t="shared" si="111"/>
        <v>2nd Quality</v>
      </c>
      <c r="AJ1025">
        <f>((T1025-X1025)*2)/12.2</f>
        <v>174.792251249217</v>
      </c>
      <c r="AK1025">
        <f t="shared" si="109"/>
        <v>946914.117818182</v>
      </c>
    </row>
    <row r="1026" spans="1:37">
      <c r="A1026" t="s">
        <v>1089</v>
      </c>
      <c r="B1026">
        <v>44</v>
      </c>
      <c r="C1026" t="s">
        <v>50</v>
      </c>
      <c r="D1026" t="s">
        <v>60</v>
      </c>
      <c r="E1026">
        <v>370</v>
      </c>
      <c r="F1026">
        <v>27</v>
      </c>
      <c r="G1026">
        <v>2</v>
      </c>
      <c r="H1026">
        <v>10055.77</v>
      </c>
      <c r="I1026">
        <v>17887.71</v>
      </c>
      <c r="J1026">
        <v>15</v>
      </c>
      <c r="K1026">
        <v>0</v>
      </c>
      <c r="L1026">
        <v>0</v>
      </c>
      <c r="M1026">
        <v>40.2</v>
      </c>
      <c r="N1026" t="s">
        <v>57</v>
      </c>
      <c r="O1026" t="s">
        <v>47</v>
      </c>
      <c r="P1026" t="s">
        <v>58</v>
      </c>
      <c r="R1026">
        <f>SUMIF(A1026:A6025,"C01025",I1026:I6025)</f>
        <v>17887.71</v>
      </c>
      <c r="S1026" s="1">
        <v>1434.5</v>
      </c>
      <c r="T1026">
        <f t="shared" si="106"/>
        <v>1192.514</v>
      </c>
      <c r="U1026">
        <f t="shared" si="107"/>
        <v>603</v>
      </c>
      <c r="V1026">
        <f t="shared" si="113"/>
        <v>50.25</v>
      </c>
      <c r="W1026">
        <f t="shared" si="108"/>
        <v>9314.82666666667</v>
      </c>
      <c r="X1026">
        <f t="shared" si="112"/>
        <v>0.0367947954259097</v>
      </c>
      <c r="AH1026" t="str">
        <f t="shared" si="111"/>
        <v>3rd Quality</v>
      </c>
      <c r="AJ1026">
        <f>((T1026-X1026)*2)</f>
        <v>2384.95441040915</v>
      </c>
      <c r="AK1026">
        <f t="shared" si="109"/>
        <v>441230.18</v>
      </c>
    </row>
    <row r="1027" spans="1:37">
      <c r="A1027" t="s">
        <v>1090</v>
      </c>
      <c r="B1027">
        <v>18</v>
      </c>
      <c r="C1027" t="s">
        <v>50</v>
      </c>
      <c r="D1027" t="s">
        <v>60</v>
      </c>
      <c r="E1027">
        <v>985</v>
      </c>
      <c r="F1027">
        <v>8</v>
      </c>
      <c r="G1027">
        <v>9</v>
      </c>
      <c r="H1027">
        <v>1311.24</v>
      </c>
      <c r="I1027">
        <v>11794.43</v>
      </c>
      <c r="J1027">
        <v>81</v>
      </c>
      <c r="K1027">
        <v>0</v>
      </c>
      <c r="L1027">
        <v>35</v>
      </c>
      <c r="M1027">
        <v>13.2</v>
      </c>
      <c r="N1027" t="s">
        <v>81</v>
      </c>
      <c r="O1027" t="s">
        <v>75</v>
      </c>
      <c r="P1027" t="s">
        <v>66</v>
      </c>
      <c r="R1027">
        <f>SUMIF(A1027:A6026,"C01026",I1027:I6026)</f>
        <v>11794.43</v>
      </c>
      <c r="S1027" s="1">
        <v>7957.9</v>
      </c>
      <c r="T1027">
        <f t="shared" ref="T1027:T1037" si="114">I1027/J1027</f>
        <v>145.61024691358</v>
      </c>
      <c r="U1027">
        <f t="shared" ref="U1027:U1090" si="115">J1027*M1027</f>
        <v>1069.2</v>
      </c>
      <c r="V1027">
        <f t="shared" si="113"/>
        <v>89.1</v>
      </c>
      <c r="W1027">
        <f t="shared" ref="W1027:W1090" si="116">(H1027+I1027+1)/3</f>
        <v>4368.89</v>
      </c>
      <c r="X1027">
        <f t="shared" si="112"/>
        <v>0.751197339922516</v>
      </c>
      <c r="AH1027" t="str">
        <f t="shared" si="111"/>
        <v>3rd Quality</v>
      </c>
      <c r="AJ1027">
        <f>((T1027-X1027)*2)/35</f>
        <v>8.27765997563757</v>
      </c>
      <c r="AK1027">
        <f t="shared" ref="AK1027:AK1090" si="117">I1027/J1027*E1027</f>
        <v>143426.093209877</v>
      </c>
    </row>
    <row r="1028" spans="1:37">
      <c r="A1028" t="s">
        <v>1091</v>
      </c>
      <c r="B1028">
        <v>32</v>
      </c>
      <c r="C1028" t="s">
        <v>44</v>
      </c>
      <c r="D1028" t="s">
        <v>45</v>
      </c>
      <c r="E1028">
        <v>546</v>
      </c>
      <c r="F1028">
        <v>223</v>
      </c>
      <c r="G1028">
        <v>1</v>
      </c>
      <c r="H1028">
        <v>1615.17</v>
      </c>
      <c r="I1028">
        <v>1434.5</v>
      </c>
      <c r="J1028">
        <v>14</v>
      </c>
      <c r="K1028">
        <v>0</v>
      </c>
      <c r="L1028">
        <v>32.5</v>
      </c>
      <c r="M1028">
        <v>58.8</v>
      </c>
      <c r="N1028" t="s">
        <v>63</v>
      </c>
      <c r="O1028" t="s">
        <v>47</v>
      </c>
      <c r="P1028" t="s">
        <v>68</v>
      </c>
      <c r="R1028">
        <f>SUMIF(A1028:A6027,"C01027",I1028:I6027)</f>
        <v>1434.5</v>
      </c>
      <c r="S1028" s="1">
        <v>5640.61</v>
      </c>
      <c r="T1028">
        <f t="shared" si="114"/>
        <v>102.464285714286</v>
      </c>
      <c r="U1028">
        <f t="shared" si="115"/>
        <v>823.2</v>
      </c>
      <c r="V1028">
        <f t="shared" si="113"/>
        <v>68.6</v>
      </c>
      <c r="W1028">
        <f t="shared" si="116"/>
        <v>1016.89</v>
      </c>
      <c r="X1028">
        <f t="shared" si="112"/>
        <v>0.338044911681123</v>
      </c>
      <c r="AH1028" t="str">
        <f t="shared" si="111"/>
        <v>3rd Quality</v>
      </c>
      <c r="AJ1028">
        <f>((T1028-X1028)*2)/32.5</f>
        <v>6.28469174169876</v>
      </c>
      <c r="AK1028">
        <f t="shared" si="117"/>
        <v>55945.5</v>
      </c>
    </row>
    <row r="1029" spans="1:37">
      <c r="A1029" t="s">
        <v>1092</v>
      </c>
      <c r="B1029">
        <v>53</v>
      </c>
      <c r="C1029" t="s">
        <v>50</v>
      </c>
      <c r="D1029" t="s">
        <v>51</v>
      </c>
      <c r="E1029">
        <v>1039</v>
      </c>
      <c r="F1029">
        <v>31</v>
      </c>
      <c r="G1029">
        <v>6</v>
      </c>
      <c r="H1029">
        <v>1239.75</v>
      </c>
      <c r="I1029">
        <v>7957.9</v>
      </c>
      <c r="J1029">
        <v>23</v>
      </c>
      <c r="K1029">
        <v>0</v>
      </c>
      <c r="L1029">
        <v>22.2</v>
      </c>
      <c r="M1029">
        <v>30.8</v>
      </c>
      <c r="N1029" t="s">
        <v>78</v>
      </c>
      <c r="O1029" t="s">
        <v>47</v>
      </c>
      <c r="P1029" t="s">
        <v>58</v>
      </c>
      <c r="R1029">
        <f>SUMIF(A1029:A6028,"C01028",I1029:I6028)</f>
        <v>7957.9</v>
      </c>
      <c r="S1029" s="1">
        <v>17036.46</v>
      </c>
      <c r="T1029">
        <f t="shared" si="114"/>
        <v>345.995652173913</v>
      </c>
      <c r="U1029">
        <f t="shared" si="115"/>
        <v>708.4</v>
      </c>
      <c r="V1029">
        <f t="shared" si="113"/>
        <v>59.0333333333333</v>
      </c>
      <c r="W1029">
        <f t="shared" si="116"/>
        <v>3066.21666666667</v>
      </c>
      <c r="X1029">
        <f t="shared" si="112"/>
        <v>0.838072191974188</v>
      </c>
      <c r="AH1029" t="str">
        <f t="shared" si="111"/>
        <v>3rd Quality</v>
      </c>
      <c r="AJ1029">
        <f>((T1029-X1029)*2)/22.2</f>
        <v>31.0952774758503</v>
      </c>
      <c r="AK1029">
        <f t="shared" si="117"/>
        <v>359489.482608696</v>
      </c>
    </row>
    <row r="1030" spans="1:37">
      <c r="A1030" t="s">
        <v>1093</v>
      </c>
      <c r="B1030">
        <v>24</v>
      </c>
      <c r="C1030" t="s">
        <v>44</v>
      </c>
      <c r="D1030" t="s">
        <v>60</v>
      </c>
      <c r="E1030">
        <v>542</v>
      </c>
      <c r="F1030">
        <v>65</v>
      </c>
      <c r="G1030">
        <v>6</v>
      </c>
      <c r="H1030">
        <v>843.46</v>
      </c>
      <c r="I1030">
        <v>5640.61</v>
      </c>
      <c r="J1030">
        <v>39</v>
      </c>
      <c r="K1030">
        <v>0</v>
      </c>
      <c r="L1030">
        <v>31.8</v>
      </c>
      <c r="M1030">
        <v>68.7</v>
      </c>
      <c r="N1030" t="s">
        <v>81</v>
      </c>
      <c r="O1030" t="s">
        <v>47</v>
      </c>
      <c r="P1030" t="s">
        <v>58</v>
      </c>
      <c r="R1030">
        <f>SUMIF(A1030:A6029,"C01029",I1030:I6029)</f>
        <v>5640.61</v>
      </c>
      <c r="S1030" s="1">
        <v>56704.62</v>
      </c>
      <c r="T1030">
        <f t="shared" si="114"/>
        <v>144.631025641026</v>
      </c>
      <c r="U1030">
        <f t="shared" si="115"/>
        <v>2679.3</v>
      </c>
      <c r="V1030">
        <f t="shared" si="113"/>
        <v>223.275</v>
      </c>
      <c r="W1030">
        <f t="shared" si="116"/>
        <v>2161.69</v>
      </c>
      <c r="X1030">
        <f t="shared" si="112"/>
        <v>0.642591231356555</v>
      </c>
      <c r="AH1030" t="str">
        <f t="shared" si="111"/>
        <v>3rd Quality</v>
      </c>
      <c r="AJ1030">
        <f>((T1030-X1030)*2)/31.8</f>
        <v>9.05587637796663</v>
      </c>
      <c r="AK1030">
        <f t="shared" si="117"/>
        <v>78390.0158974359</v>
      </c>
    </row>
    <row r="1031" spans="1:37">
      <c r="A1031" t="s">
        <v>1094</v>
      </c>
      <c r="B1031">
        <v>41</v>
      </c>
      <c r="C1031" t="s">
        <v>50</v>
      </c>
      <c r="D1031" t="s">
        <v>60</v>
      </c>
      <c r="E1031">
        <v>669</v>
      </c>
      <c r="F1031">
        <v>43</v>
      </c>
      <c r="G1031">
        <v>10</v>
      </c>
      <c r="H1031">
        <v>1538.04</v>
      </c>
      <c r="I1031">
        <v>17036.46</v>
      </c>
      <c r="J1031">
        <v>49</v>
      </c>
      <c r="K1031">
        <v>0</v>
      </c>
      <c r="L1031">
        <v>21.9</v>
      </c>
      <c r="M1031">
        <v>25.8</v>
      </c>
      <c r="N1031" t="s">
        <v>63</v>
      </c>
      <c r="O1031" t="s">
        <v>47</v>
      </c>
      <c r="P1031" t="s">
        <v>68</v>
      </c>
      <c r="R1031">
        <f>SUMIF(A1031:A6030,"C01030",I1031:I6030)</f>
        <v>17036.46</v>
      </c>
      <c r="S1031" s="1">
        <v>1439.57</v>
      </c>
      <c r="T1031">
        <f t="shared" si="114"/>
        <v>347.682857142857</v>
      </c>
      <c r="U1031">
        <f t="shared" si="115"/>
        <v>1264.2</v>
      </c>
      <c r="V1031">
        <f t="shared" si="113"/>
        <v>105.35</v>
      </c>
      <c r="W1031">
        <f t="shared" si="116"/>
        <v>6191.83333333333</v>
      </c>
      <c r="X1031">
        <f t="shared" si="112"/>
        <v>0.434969181555746</v>
      </c>
      <c r="AH1031" t="str">
        <f t="shared" si="111"/>
        <v>3rd Quality</v>
      </c>
      <c r="AJ1031">
        <f>((T1031-X1031)*2)/21.9</f>
        <v>31.7121358868768</v>
      </c>
      <c r="AK1031">
        <f t="shared" si="117"/>
        <v>232599.831428571</v>
      </c>
    </row>
    <row r="1032" spans="1:37">
      <c r="A1032" t="s">
        <v>1095</v>
      </c>
      <c r="B1032">
        <v>31</v>
      </c>
      <c r="C1032" t="s">
        <v>44</v>
      </c>
      <c r="D1032" t="s">
        <v>51</v>
      </c>
      <c r="E1032">
        <v>1400</v>
      </c>
      <c r="F1032">
        <v>11</v>
      </c>
      <c r="G1032">
        <v>6</v>
      </c>
      <c r="H1032">
        <v>10320.38</v>
      </c>
      <c r="I1032">
        <v>56704.62</v>
      </c>
      <c r="J1032">
        <v>42</v>
      </c>
      <c r="K1032">
        <v>1</v>
      </c>
      <c r="L1032">
        <v>13.1</v>
      </c>
      <c r="M1032">
        <v>14.6</v>
      </c>
      <c r="N1032" t="s">
        <v>63</v>
      </c>
      <c r="O1032" t="s">
        <v>53</v>
      </c>
      <c r="P1032" t="s">
        <v>58</v>
      </c>
      <c r="R1032">
        <f>SUMIF(A1032:A6031,"C01031",I1032:I6031)</f>
        <v>56704.62</v>
      </c>
      <c r="S1032" s="1">
        <v>13997.92</v>
      </c>
      <c r="T1032">
        <f t="shared" si="114"/>
        <v>1350.11</v>
      </c>
      <c r="U1032">
        <f t="shared" si="115"/>
        <v>613.2</v>
      </c>
      <c r="V1032">
        <f>U1032*1</f>
        <v>613.2</v>
      </c>
      <c r="W1032">
        <f t="shared" si="116"/>
        <v>22342</v>
      </c>
      <c r="X1032">
        <f t="shared" si="112"/>
        <v>0.13565391972001</v>
      </c>
      <c r="AH1032" t="str">
        <f t="shared" si="111"/>
        <v>1st Quality</v>
      </c>
      <c r="AJ1032">
        <f>((T1032-X1032)*2)/13.1</f>
        <v>206.102953600043</v>
      </c>
      <c r="AK1032">
        <f t="shared" si="117"/>
        <v>1890154</v>
      </c>
    </row>
    <row r="1033" spans="1:37">
      <c r="A1033" t="s">
        <v>1096</v>
      </c>
      <c r="B1033">
        <v>18</v>
      </c>
      <c r="C1033" t="s">
        <v>50</v>
      </c>
      <c r="D1033" t="s">
        <v>60</v>
      </c>
      <c r="E1033">
        <v>1076</v>
      </c>
      <c r="F1033">
        <v>43</v>
      </c>
      <c r="G1033">
        <v>1</v>
      </c>
      <c r="H1033">
        <v>1304.34</v>
      </c>
      <c r="I1033">
        <v>1439.57</v>
      </c>
      <c r="J1033">
        <v>16</v>
      </c>
      <c r="K1033">
        <v>0</v>
      </c>
      <c r="L1033">
        <v>34.5</v>
      </c>
      <c r="M1033">
        <v>29.4</v>
      </c>
      <c r="N1033" t="s">
        <v>52</v>
      </c>
      <c r="O1033" t="s">
        <v>47</v>
      </c>
      <c r="P1033" t="s">
        <v>58</v>
      </c>
      <c r="R1033">
        <f>SUMIF(A1033:A6032,"C01032",I1033:I6032)</f>
        <v>1439.57</v>
      </c>
      <c r="S1033" s="1">
        <v>5387.92</v>
      </c>
      <c r="T1033">
        <f t="shared" si="114"/>
        <v>89.973125</v>
      </c>
      <c r="U1033">
        <f t="shared" si="115"/>
        <v>470.4</v>
      </c>
      <c r="V1033">
        <f t="shared" si="113"/>
        <v>39.2</v>
      </c>
      <c r="W1033">
        <f t="shared" si="116"/>
        <v>914.97</v>
      </c>
      <c r="X1033">
        <f t="shared" si="112"/>
        <v>0.824938282963031</v>
      </c>
      <c r="AH1033" t="str">
        <f t="shared" si="111"/>
        <v>3rd Quality</v>
      </c>
      <c r="AJ1033">
        <f>((T1033-X1033)*2)/34.5</f>
        <v>5.16801082417606</v>
      </c>
      <c r="AK1033">
        <f t="shared" si="117"/>
        <v>96811.0825</v>
      </c>
    </row>
    <row r="1034" spans="1:37">
      <c r="A1034" t="s">
        <v>1097</v>
      </c>
      <c r="B1034">
        <v>44</v>
      </c>
      <c r="C1034" t="s">
        <v>50</v>
      </c>
      <c r="D1034" t="s">
        <v>60</v>
      </c>
      <c r="E1034">
        <v>1334</v>
      </c>
      <c r="F1034">
        <v>32</v>
      </c>
      <c r="G1034">
        <v>2</v>
      </c>
      <c r="H1034">
        <v>7717.96</v>
      </c>
      <c r="I1034">
        <v>13997.92</v>
      </c>
      <c r="J1034">
        <v>19</v>
      </c>
      <c r="K1034">
        <v>0</v>
      </c>
      <c r="L1034">
        <v>0</v>
      </c>
      <c r="M1034">
        <v>55.4</v>
      </c>
      <c r="N1034" t="s">
        <v>78</v>
      </c>
      <c r="O1034" t="s">
        <v>47</v>
      </c>
      <c r="P1034" t="s">
        <v>66</v>
      </c>
      <c r="R1034">
        <f>SUMIF(A1034:A6033,"C01033",I1034:I6033)</f>
        <v>13997.92</v>
      </c>
      <c r="S1034" s="1">
        <v>30787.67</v>
      </c>
      <c r="T1034">
        <f t="shared" si="114"/>
        <v>736.732631578947</v>
      </c>
      <c r="U1034">
        <f t="shared" si="115"/>
        <v>1052.6</v>
      </c>
      <c r="V1034">
        <f t="shared" si="113"/>
        <v>87.7166666666667</v>
      </c>
      <c r="W1034">
        <f t="shared" si="116"/>
        <v>7238.96</v>
      </c>
      <c r="X1034">
        <f t="shared" si="112"/>
        <v>0.172843601158855</v>
      </c>
      <c r="AH1034" t="str">
        <f t="shared" si="111"/>
        <v>3rd Quality</v>
      </c>
      <c r="AJ1034">
        <f>((T1034-X1034)*2)</f>
        <v>1473.11957595558</v>
      </c>
      <c r="AK1034">
        <f t="shared" si="117"/>
        <v>982801.330526316</v>
      </c>
    </row>
    <row r="1035" spans="1:37">
      <c r="A1035" t="s">
        <v>1098</v>
      </c>
      <c r="B1035">
        <v>18</v>
      </c>
      <c r="C1035" t="s">
        <v>44</v>
      </c>
      <c r="D1035" t="s">
        <v>45</v>
      </c>
      <c r="E1035">
        <v>910</v>
      </c>
      <c r="F1035">
        <v>365</v>
      </c>
      <c r="G1035">
        <v>3</v>
      </c>
      <c r="H1035">
        <v>1861</v>
      </c>
      <c r="I1035">
        <v>5387.92</v>
      </c>
      <c r="J1035">
        <v>15</v>
      </c>
      <c r="K1035">
        <v>0</v>
      </c>
      <c r="L1035">
        <v>11.2</v>
      </c>
      <c r="M1035">
        <v>35.9</v>
      </c>
      <c r="N1035" t="s">
        <v>57</v>
      </c>
      <c r="O1035" t="s">
        <v>47</v>
      </c>
      <c r="P1035" t="s">
        <v>58</v>
      </c>
      <c r="R1035">
        <f>SUMIF(A1035:A6034,"C01034",I1035:I6034)</f>
        <v>5387.92</v>
      </c>
      <c r="S1035" s="1">
        <v>30232.91</v>
      </c>
      <c r="T1035">
        <f t="shared" si="114"/>
        <v>359.194666666667</v>
      </c>
      <c r="U1035">
        <f t="shared" si="115"/>
        <v>538.5</v>
      </c>
      <c r="V1035">
        <f t="shared" si="113"/>
        <v>44.875</v>
      </c>
      <c r="W1035">
        <f t="shared" si="116"/>
        <v>2416.64</v>
      </c>
      <c r="X1035">
        <f t="shared" si="112"/>
        <v>0.488984416980118</v>
      </c>
      <c r="AH1035" t="str">
        <f t="shared" si="111"/>
        <v>3rd Quality</v>
      </c>
      <c r="AJ1035">
        <f>((T1035-X1035)*2)/11.2</f>
        <v>64.0545861160155</v>
      </c>
      <c r="AK1035">
        <f t="shared" si="117"/>
        <v>326867.146666667</v>
      </c>
    </row>
    <row r="1036" spans="1:37">
      <c r="A1036" t="s">
        <v>1099</v>
      </c>
      <c r="B1036">
        <v>33</v>
      </c>
      <c r="C1036" t="s">
        <v>44</v>
      </c>
      <c r="D1036" t="s">
        <v>60</v>
      </c>
      <c r="E1036">
        <v>1159</v>
      </c>
      <c r="F1036">
        <v>29</v>
      </c>
      <c r="G1036">
        <v>10</v>
      </c>
      <c r="H1036">
        <v>3419.94</v>
      </c>
      <c r="I1036">
        <v>30787.67</v>
      </c>
      <c r="J1036">
        <v>56</v>
      </c>
      <c r="K1036">
        <v>0</v>
      </c>
      <c r="L1036">
        <v>24.7</v>
      </c>
      <c r="M1036">
        <v>58.1</v>
      </c>
      <c r="N1036" t="s">
        <v>78</v>
      </c>
      <c r="O1036" t="s">
        <v>53</v>
      </c>
      <c r="P1036" t="s">
        <v>66</v>
      </c>
      <c r="R1036">
        <f>SUMIF(A1036:A6035,"C01035",I1036:I6035)</f>
        <v>30787.67</v>
      </c>
      <c r="S1036" s="1">
        <v>13853.92</v>
      </c>
      <c r="T1036">
        <f t="shared" si="114"/>
        <v>549.779821428571</v>
      </c>
      <c r="U1036">
        <f t="shared" si="115"/>
        <v>3253.6</v>
      </c>
      <c r="V1036">
        <f t="shared" si="113"/>
        <v>271.133333333333</v>
      </c>
      <c r="W1036">
        <f t="shared" si="116"/>
        <v>11402.87</v>
      </c>
      <c r="X1036">
        <f t="shared" si="112"/>
        <v>0.3388948344123</v>
      </c>
      <c r="AH1036" t="str">
        <f t="shared" si="111"/>
        <v>2nd Quality</v>
      </c>
      <c r="AJ1036">
        <f>((T1036-X1036)*2)/24.7</f>
        <v>44.489143853778</v>
      </c>
      <c r="AK1036">
        <f t="shared" si="117"/>
        <v>637194.813035714</v>
      </c>
    </row>
    <row r="1037" spans="1:37">
      <c r="A1037" t="s">
        <v>1100</v>
      </c>
      <c r="B1037">
        <v>62</v>
      </c>
      <c r="C1037" t="s">
        <v>50</v>
      </c>
      <c r="D1037" t="s">
        <v>45</v>
      </c>
      <c r="E1037">
        <v>911</v>
      </c>
      <c r="F1037">
        <v>28</v>
      </c>
      <c r="G1037">
        <v>3</v>
      </c>
      <c r="H1037">
        <v>9353.3</v>
      </c>
      <c r="I1037">
        <v>30232.91</v>
      </c>
      <c r="J1037">
        <v>12</v>
      </c>
      <c r="K1037">
        <v>0</v>
      </c>
      <c r="L1037">
        <v>11.4</v>
      </c>
      <c r="M1037">
        <v>13</v>
      </c>
      <c r="N1037" t="s">
        <v>81</v>
      </c>
      <c r="O1037" t="s">
        <v>75</v>
      </c>
      <c r="P1037" t="s">
        <v>58</v>
      </c>
      <c r="R1037">
        <f>SUMIF(A1037:A6036,"C01036",I1037:I6036)</f>
        <v>30232.91</v>
      </c>
      <c r="S1037" s="1">
        <v>10420.17</v>
      </c>
      <c r="T1037">
        <f t="shared" si="114"/>
        <v>2519.40916666667</v>
      </c>
      <c r="U1037">
        <f t="shared" si="115"/>
        <v>156</v>
      </c>
      <c r="V1037">
        <f t="shared" si="113"/>
        <v>13</v>
      </c>
      <c r="W1037">
        <f t="shared" si="116"/>
        <v>13195.7366666667</v>
      </c>
      <c r="X1037">
        <f t="shared" si="112"/>
        <v>0.0973987790405525</v>
      </c>
      <c r="AH1037" t="str">
        <f t="shared" si="111"/>
        <v>3rd Quality</v>
      </c>
      <c r="AJ1037">
        <f>((T1037-X1037)*2)/11.4</f>
        <v>441.98452068204</v>
      </c>
      <c r="AK1037">
        <f t="shared" si="117"/>
        <v>2295181.75083333</v>
      </c>
    </row>
    <row r="1038" spans="1:37">
      <c r="A1038" t="s">
        <v>1101</v>
      </c>
      <c r="B1038">
        <v>33</v>
      </c>
      <c r="C1038" t="s">
        <v>44</v>
      </c>
      <c r="D1038" t="s">
        <v>60</v>
      </c>
      <c r="E1038">
        <v>1057</v>
      </c>
      <c r="F1038">
        <v>33</v>
      </c>
      <c r="G1038">
        <v>11</v>
      </c>
      <c r="H1038">
        <v>1348.88</v>
      </c>
      <c r="I1038">
        <v>13853.92</v>
      </c>
      <c r="J1038">
        <v>64</v>
      </c>
      <c r="K1038">
        <v>2</v>
      </c>
      <c r="L1038">
        <v>23</v>
      </c>
      <c r="M1038">
        <v>62.4</v>
      </c>
      <c r="N1038" t="s">
        <v>78</v>
      </c>
      <c r="O1038" t="s">
        <v>47</v>
      </c>
      <c r="P1038" t="s">
        <v>66</v>
      </c>
      <c r="R1038">
        <f>SUMIF(A1038:A6037,"C01037",I1038:I6037)</f>
        <v>13853.92</v>
      </c>
      <c r="S1038" s="1">
        <v>3283.25</v>
      </c>
      <c r="T1038">
        <f t="shared" ref="T1038:T1101" si="118">I1038/J1038</f>
        <v>216.4675</v>
      </c>
      <c r="U1038">
        <f t="shared" si="115"/>
        <v>3993.6</v>
      </c>
      <c r="V1038">
        <f>U1038*2</f>
        <v>7987.2</v>
      </c>
      <c r="W1038">
        <f t="shared" si="116"/>
        <v>5067.93333333333</v>
      </c>
      <c r="X1038">
        <f t="shared" si="112"/>
        <v>0.783613071585315</v>
      </c>
      <c r="AH1038" t="str">
        <f t="shared" ref="AH1038:AH1101" si="119">IF(AND(W1038&gt;=12550,B1038&lt;=33,E1038&gt;=915),"1st Quality",IF(AND(W1038&gt;=6275,B1038&lt;=43,E1038&gt;=457),"2nd Quality","3rd Quality"))</f>
        <v>3rd Quality</v>
      </c>
      <c r="AJ1038">
        <f>((T1038-X1038)*2)/23</f>
        <v>18.7551206024708</v>
      </c>
      <c r="AK1038">
        <f t="shared" si="117"/>
        <v>228806.1475</v>
      </c>
    </row>
    <row r="1039" spans="1:37">
      <c r="A1039" t="s">
        <v>1102</v>
      </c>
      <c r="B1039">
        <v>18</v>
      </c>
      <c r="C1039" t="s">
        <v>44</v>
      </c>
      <c r="D1039" t="s">
        <v>60</v>
      </c>
      <c r="E1039">
        <v>1017</v>
      </c>
      <c r="F1039">
        <v>13</v>
      </c>
      <c r="G1039">
        <v>12</v>
      </c>
      <c r="H1039">
        <v>835.29</v>
      </c>
      <c r="I1039">
        <v>10420.17</v>
      </c>
      <c r="J1039">
        <v>42</v>
      </c>
      <c r="K1039">
        <v>0</v>
      </c>
      <c r="L1039">
        <v>10.1</v>
      </c>
      <c r="M1039">
        <v>18.5</v>
      </c>
      <c r="N1039" t="s">
        <v>46</v>
      </c>
      <c r="O1039" t="s">
        <v>47</v>
      </c>
      <c r="P1039" t="s">
        <v>58</v>
      </c>
      <c r="R1039">
        <f>SUMIF(A1039:A6038,"C01038",I1039:I6038)</f>
        <v>10420.17</v>
      </c>
      <c r="S1039" s="1">
        <v>59705.85</v>
      </c>
      <c r="T1039">
        <f t="shared" si="118"/>
        <v>248.099285714286</v>
      </c>
      <c r="U1039">
        <f t="shared" si="115"/>
        <v>777</v>
      </c>
      <c r="V1039">
        <f t="shared" si="113"/>
        <v>64.75</v>
      </c>
      <c r="W1039">
        <f t="shared" si="116"/>
        <v>3752.15333333333</v>
      </c>
      <c r="X1039">
        <f t="shared" si="112"/>
        <v>1.21754121323133</v>
      </c>
      <c r="AH1039" t="str">
        <f t="shared" si="119"/>
        <v>3rd Quality</v>
      </c>
      <c r="AJ1039">
        <f>((T1039-X1039)*2)/10.1</f>
        <v>48.8874741586247</v>
      </c>
      <c r="AK1039">
        <f t="shared" si="117"/>
        <v>252316.973571429</v>
      </c>
    </row>
    <row r="1040" spans="1:37">
      <c r="A1040" t="s">
        <v>1103</v>
      </c>
      <c r="B1040">
        <v>26</v>
      </c>
      <c r="C1040" t="s">
        <v>50</v>
      </c>
      <c r="D1040" t="s">
        <v>45</v>
      </c>
      <c r="E1040">
        <v>374</v>
      </c>
      <c r="F1040">
        <v>26</v>
      </c>
      <c r="G1040">
        <v>3</v>
      </c>
      <c r="H1040">
        <v>1029.51</v>
      </c>
      <c r="I1040">
        <v>3283.25</v>
      </c>
      <c r="J1040">
        <v>18</v>
      </c>
      <c r="K1040">
        <v>0</v>
      </c>
      <c r="L1040">
        <v>25.9</v>
      </c>
      <c r="M1040">
        <v>59.2</v>
      </c>
      <c r="N1040" t="s">
        <v>52</v>
      </c>
      <c r="O1040" t="s">
        <v>47</v>
      </c>
      <c r="P1040" t="s">
        <v>66</v>
      </c>
      <c r="R1040">
        <f>SUMIF(A1040:A6039,"C01039",I1040:I6039)</f>
        <v>3283.25</v>
      </c>
      <c r="S1040" s="1">
        <v>134118.32</v>
      </c>
      <c r="T1040">
        <f t="shared" si="118"/>
        <v>182.402777777778</v>
      </c>
      <c r="U1040">
        <f t="shared" si="115"/>
        <v>1065.6</v>
      </c>
      <c r="V1040">
        <f t="shared" si="113"/>
        <v>88.8</v>
      </c>
      <c r="W1040">
        <f t="shared" si="116"/>
        <v>1437.92</v>
      </c>
      <c r="X1040">
        <f t="shared" si="112"/>
        <v>0.363279618459267</v>
      </c>
      <c r="AH1040" t="str">
        <f t="shared" si="119"/>
        <v>3rd Quality</v>
      </c>
      <c r="AJ1040">
        <f>((T1040-X1040)*2)/25.9</f>
        <v>14.0571041049667</v>
      </c>
      <c r="AK1040">
        <f t="shared" si="117"/>
        <v>68218.6388888889</v>
      </c>
    </row>
    <row r="1041" spans="1:37">
      <c r="A1041" t="s">
        <v>1104</v>
      </c>
      <c r="B1041">
        <v>43</v>
      </c>
      <c r="C1041" t="s">
        <v>50</v>
      </c>
      <c r="D1041" t="s">
        <v>60</v>
      </c>
      <c r="E1041">
        <v>1037</v>
      </c>
      <c r="F1041">
        <v>10</v>
      </c>
      <c r="G1041">
        <v>20</v>
      </c>
      <c r="H1041">
        <v>3073.24</v>
      </c>
      <c r="I1041">
        <v>59705.85</v>
      </c>
      <c r="J1041">
        <v>84</v>
      </c>
      <c r="K1041">
        <v>2</v>
      </c>
      <c r="L1041">
        <v>21.8</v>
      </c>
      <c r="M1041">
        <v>50.5</v>
      </c>
      <c r="N1041" t="s">
        <v>81</v>
      </c>
      <c r="O1041" t="s">
        <v>47</v>
      </c>
      <c r="P1041" t="s">
        <v>68</v>
      </c>
      <c r="R1041">
        <f>SUMIF(A1041:A6040,"C01040",I1041:I6040)</f>
        <v>59705.85</v>
      </c>
      <c r="S1041" s="1">
        <v>2084.55</v>
      </c>
      <c r="T1041">
        <f t="shared" si="118"/>
        <v>710.783928571429</v>
      </c>
      <c r="U1041">
        <f t="shared" si="115"/>
        <v>4242</v>
      </c>
      <c r="V1041">
        <f>U1041*2</f>
        <v>8484</v>
      </c>
      <c r="W1041">
        <f t="shared" si="116"/>
        <v>20926.6966666667</v>
      </c>
      <c r="X1041">
        <f t="shared" si="112"/>
        <v>0.337428902396168</v>
      </c>
      <c r="AH1041" t="str">
        <f t="shared" si="119"/>
        <v>2nd Quality</v>
      </c>
      <c r="AJ1041">
        <f>((T1041-X1041)*2)/21.8</f>
        <v>65.1785779512874</v>
      </c>
      <c r="AK1041">
        <f t="shared" si="117"/>
        <v>737082.933928571</v>
      </c>
    </row>
    <row r="1042" spans="1:37">
      <c r="A1042" t="s">
        <v>1105</v>
      </c>
      <c r="B1042">
        <v>33</v>
      </c>
      <c r="C1042" t="s">
        <v>44</v>
      </c>
      <c r="D1042" t="s">
        <v>60</v>
      </c>
      <c r="E1042">
        <v>512</v>
      </c>
      <c r="F1042">
        <v>10</v>
      </c>
      <c r="G1042">
        <v>32</v>
      </c>
      <c r="H1042">
        <v>3919.1</v>
      </c>
      <c r="I1042">
        <v>134118.32</v>
      </c>
      <c r="J1042">
        <v>230</v>
      </c>
      <c r="K1042">
        <v>1</v>
      </c>
      <c r="L1042">
        <v>0</v>
      </c>
      <c r="M1042">
        <v>65.3</v>
      </c>
      <c r="N1042" t="s">
        <v>57</v>
      </c>
      <c r="O1042" t="s">
        <v>75</v>
      </c>
      <c r="P1042" t="s">
        <v>54</v>
      </c>
      <c r="R1042">
        <f>SUMIF(A1042:A6041,"C01041",I1042:I6041)</f>
        <v>134118.32</v>
      </c>
      <c r="S1042" s="1">
        <v>59076.45</v>
      </c>
      <c r="T1042">
        <f t="shared" si="118"/>
        <v>583.123130434783</v>
      </c>
      <c r="U1042">
        <f t="shared" si="115"/>
        <v>15019</v>
      </c>
      <c r="V1042">
        <f>U1042*1</f>
        <v>15019</v>
      </c>
      <c r="W1042">
        <f t="shared" si="116"/>
        <v>46012.8066666667</v>
      </c>
      <c r="X1042">
        <f t="shared" si="112"/>
        <v>0.130642239289633</v>
      </c>
      <c r="AH1042" t="str">
        <f t="shared" si="119"/>
        <v>2nd Quality</v>
      </c>
      <c r="AJ1042">
        <f>((T1042-X1042)*2)</f>
        <v>1165.98497639099</v>
      </c>
      <c r="AK1042">
        <f t="shared" si="117"/>
        <v>298559.042782609</v>
      </c>
    </row>
    <row r="1043" spans="1:37">
      <c r="A1043" t="s">
        <v>1106</v>
      </c>
      <c r="B1043">
        <v>21</v>
      </c>
      <c r="C1043" t="s">
        <v>50</v>
      </c>
      <c r="D1043" t="s">
        <v>60</v>
      </c>
      <c r="E1043">
        <v>1043</v>
      </c>
      <c r="F1043">
        <v>119</v>
      </c>
      <c r="G1043">
        <v>2</v>
      </c>
      <c r="H1043">
        <v>1087.81</v>
      </c>
      <c r="I1043">
        <v>2084.55</v>
      </c>
      <c r="J1043">
        <v>27</v>
      </c>
      <c r="K1043">
        <v>0</v>
      </c>
      <c r="L1043">
        <v>35.6</v>
      </c>
      <c r="M1043">
        <v>39</v>
      </c>
      <c r="N1043" t="s">
        <v>63</v>
      </c>
      <c r="O1043" t="s">
        <v>75</v>
      </c>
      <c r="P1043" t="s">
        <v>48</v>
      </c>
      <c r="R1043">
        <f>SUMIF(A1043:A6042,"C01042",I1043:I6042)</f>
        <v>2084.55</v>
      </c>
      <c r="S1043" s="1">
        <v>1142.65</v>
      </c>
      <c r="T1043">
        <f t="shared" si="118"/>
        <v>77.2055555555556</v>
      </c>
      <c r="U1043">
        <f t="shared" si="115"/>
        <v>1053</v>
      </c>
      <c r="V1043">
        <f t="shared" si="113"/>
        <v>87.75</v>
      </c>
      <c r="W1043">
        <f t="shared" si="116"/>
        <v>1057.78666666667</v>
      </c>
      <c r="X1043">
        <f t="shared" si="112"/>
        <v>0.958807144630037</v>
      </c>
      <c r="AH1043" t="str">
        <f t="shared" si="119"/>
        <v>3rd Quality</v>
      </c>
      <c r="AJ1043">
        <f>((T1043-X1043)*2)/35.6</f>
        <v>4.28352519162503</v>
      </c>
      <c r="AK1043">
        <f t="shared" si="117"/>
        <v>80525.3944444444</v>
      </c>
    </row>
    <row r="1044" spans="1:37">
      <c r="A1044" t="s">
        <v>1107</v>
      </c>
      <c r="B1044">
        <v>30</v>
      </c>
      <c r="C1044" t="s">
        <v>44</v>
      </c>
      <c r="D1044" t="s">
        <v>51</v>
      </c>
      <c r="E1044">
        <v>500</v>
      </c>
      <c r="F1044">
        <v>10</v>
      </c>
      <c r="G1044">
        <v>6</v>
      </c>
      <c r="H1044">
        <v>10753.98</v>
      </c>
      <c r="I1044">
        <v>59076.45</v>
      </c>
      <c r="J1044">
        <v>57</v>
      </c>
      <c r="K1044">
        <v>0</v>
      </c>
      <c r="L1044">
        <v>18.8</v>
      </c>
      <c r="M1044">
        <v>24.9</v>
      </c>
      <c r="N1044" t="s">
        <v>81</v>
      </c>
      <c r="O1044" t="s">
        <v>53</v>
      </c>
      <c r="P1044" t="s">
        <v>66</v>
      </c>
      <c r="R1044">
        <f>SUMIF(A1044:A6043,"C01043",I1044:I6043)</f>
        <v>59076.45</v>
      </c>
      <c r="S1044" s="1">
        <v>82778</v>
      </c>
      <c r="T1044">
        <f t="shared" si="118"/>
        <v>1036.42894736842</v>
      </c>
      <c r="U1044">
        <f t="shared" si="115"/>
        <v>1419.3</v>
      </c>
      <c r="V1044">
        <f t="shared" si="113"/>
        <v>118.275</v>
      </c>
      <c r="W1044">
        <f t="shared" si="116"/>
        <v>23277.1433333333</v>
      </c>
      <c r="X1044">
        <f t="shared" si="112"/>
        <v>0.0464944141610827</v>
      </c>
      <c r="AH1044" t="str">
        <f t="shared" si="119"/>
        <v>2nd Quality</v>
      </c>
      <c r="AJ1044">
        <f>((T1044-X1044)*2)/18.8</f>
        <v>110.253452441942</v>
      </c>
      <c r="AK1044">
        <f t="shared" si="117"/>
        <v>518214.47368421</v>
      </c>
    </row>
    <row r="1045" spans="1:37">
      <c r="A1045" t="s">
        <v>1108</v>
      </c>
      <c r="B1045">
        <v>33</v>
      </c>
      <c r="C1045" t="s">
        <v>50</v>
      </c>
      <c r="D1045" t="s">
        <v>45</v>
      </c>
      <c r="E1045">
        <v>1276</v>
      </c>
      <c r="F1045">
        <v>51</v>
      </c>
      <c r="G1045">
        <v>1</v>
      </c>
      <c r="H1045">
        <v>1153.77</v>
      </c>
      <c r="I1045">
        <v>1142.65</v>
      </c>
      <c r="J1045">
        <v>15</v>
      </c>
      <c r="K1045">
        <v>0</v>
      </c>
      <c r="L1045">
        <v>35.6</v>
      </c>
      <c r="M1045">
        <v>7.8</v>
      </c>
      <c r="N1045" t="s">
        <v>57</v>
      </c>
      <c r="O1045" t="s">
        <v>47</v>
      </c>
      <c r="P1045" t="s">
        <v>48</v>
      </c>
      <c r="R1045">
        <f>SUMIF(A1045:A6044,"C01044",I1045:I6044)</f>
        <v>1142.65</v>
      </c>
      <c r="S1045" s="1">
        <v>23136.71</v>
      </c>
      <c r="T1045">
        <f t="shared" si="118"/>
        <v>76.1766666666667</v>
      </c>
      <c r="U1045">
        <f t="shared" si="115"/>
        <v>117</v>
      </c>
      <c r="V1045">
        <f t="shared" si="113"/>
        <v>9.75</v>
      </c>
      <c r="W1045">
        <f t="shared" si="116"/>
        <v>765.806666666667</v>
      </c>
      <c r="X1045">
        <f t="shared" si="112"/>
        <v>1.10593965868414</v>
      </c>
      <c r="AH1045" t="str">
        <f t="shared" si="119"/>
        <v>3rd Quality</v>
      </c>
      <c r="AJ1045">
        <f>((T1045-X1045)*2)/35.6</f>
        <v>4.21745657348217</v>
      </c>
      <c r="AK1045">
        <f t="shared" si="117"/>
        <v>97201.4266666667</v>
      </c>
    </row>
    <row r="1046" spans="1:37">
      <c r="A1046" t="s">
        <v>1109</v>
      </c>
      <c r="B1046">
        <v>44</v>
      </c>
      <c r="C1046" t="s">
        <v>44</v>
      </c>
      <c r="D1046" t="s">
        <v>60</v>
      </c>
      <c r="E1046">
        <v>1009</v>
      </c>
      <c r="F1046">
        <v>1</v>
      </c>
      <c r="G1046">
        <v>36</v>
      </c>
      <c r="H1046">
        <v>2188.9</v>
      </c>
      <c r="I1046">
        <v>82778</v>
      </c>
      <c r="J1046">
        <v>119</v>
      </c>
      <c r="K1046">
        <v>2</v>
      </c>
      <c r="L1046">
        <v>8.4</v>
      </c>
      <c r="M1046">
        <v>31.6</v>
      </c>
      <c r="N1046" t="s">
        <v>61</v>
      </c>
      <c r="O1046" t="s">
        <v>47</v>
      </c>
      <c r="P1046" t="s">
        <v>58</v>
      </c>
      <c r="R1046">
        <f>SUMIF(A1046:A6045,"C01045",I1046:I6045)</f>
        <v>82778</v>
      </c>
      <c r="S1046" s="1">
        <v>69053.45</v>
      </c>
      <c r="T1046">
        <f t="shared" si="118"/>
        <v>695.613445378151</v>
      </c>
      <c r="U1046">
        <f t="shared" si="115"/>
        <v>3760.4</v>
      </c>
      <c r="V1046">
        <f>U1046*2</f>
        <v>7520.8</v>
      </c>
      <c r="W1046">
        <f t="shared" si="116"/>
        <v>28322.6333333333</v>
      </c>
      <c r="X1046">
        <f t="shared" si="112"/>
        <v>0.460962127095802</v>
      </c>
      <c r="AH1046" t="str">
        <f t="shared" si="119"/>
        <v>3rd Quality</v>
      </c>
      <c r="AJ1046">
        <f>((T1046-X1046)*2)/8.4</f>
        <v>165.512496012156</v>
      </c>
      <c r="AK1046">
        <f t="shared" si="117"/>
        <v>701873.966386555</v>
      </c>
    </row>
    <row r="1047" spans="1:37">
      <c r="A1047" t="s">
        <v>1110</v>
      </c>
      <c r="B1047">
        <v>28</v>
      </c>
      <c r="C1047" t="s">
        <v>101</v>
      </c>
      <c r="D1047" t="s">
        <v>45</v>
      </c>
      <c r="E1047">
        <v>914</v>
      </c>
      <c r="F1047">
        <v>82</v>
      </c>
      <c r="G1047">
        <v>16</v>
      </c>
      <c r="H1047">
        <v>1625.63</v>
      </c>
      <c r="I1047">
        <v>23136.71</v>
      </c>
      <c r="J1047">
        <v>57</v>
      </c>
      <c r="K1047">
        <v>1</v>
      </c>
      <c r="L1047">
        <v>28.3</v>
      </c>
      <c r="M1047">
        <v>53</v>
      </c>
      <c r="N1047" t="s">
        <v>61</v>
      </c>
      <c r="O1047" t="s">
        <v>47</v>
      </c>
      <c r="P1047" t="s">
        <v>68</v>
      </c>
      <c r="R1047">
        <f>SUMIF(A1047:A6046,"C01046",I1047:I6046)</f>
        <v>23136.71</v>
      </c>
      <c r="S1047" s="1">
        <v>839.04</v>
      </c>
      <c r="T1047">
        <f t="shared" si="118"/>
        <v>405.907192982456</v>
      </c>
      <c r="U1047">
        <f t="shared" si="115"/>
        <v>3021</v>
      </c>
      <c r="V1047">
        <f>U1047*1</f>
        <v>3021</v>
      </c>
      <c r="W1047">
        <f t="shared" si="116"/>
        <v>8254.44666666667</v>
      </c>
      <c r="X1047">
        <f t="shared" si="112"/>
        <v>0.562243560957906</v>
      </c>
      <c r="AH1047" t="str">
        <f t="shared" si="119"/>
        <v>2nd Quality</v>
      </c>
      <c r="AJ1047">
        <f>((T1047-X1047)*2)/28.3</f>
        <v>28.6462861781977</v>
      </c>
      <c r="AK1047">
        <f t="shared" si="117"/>
        <v>370999.174385965</v>
      </c>
    </row>
    <row r="1048" spans="1:37">
      <c r="A1048" t="s">
        <v>1111</v>
      </c>
      <c r="B1048">
        <v>36</v>
      </c>
      <c r="C1048" t="s">
        <v>44</v>
      </c>
      <c r="D1048" t="s">
        <v>45</v>
      </c>
      <c r="E1048">
        <v>1392</v>
      </c>
      <c r="F1048">
        <v>6</v>
      </c>
      <c r="G1048">
        <v>20</v>
      </c>
      <c r="H1048">
        <v>3216.28</v>
      </c>
      <c r="I1048">
        <v>69053.45</v>
      </c>
      <c r="J1048">
        <v>171</v>
      </c>
      <c r="K1048">
        <v>0</v>
      </c>
      <c r="L1048">
        <v>8.4</v>
      </c>
      <c r="M1048">
        <v>65.7</v>
      </c>
      <c r="N1048" t="s">
        <v>63</v>
      </c>
      <c r="O1048" t="s">
        <v>53</v>
      </c>
      <c r="P1048" t="s">
        <v>58</v>
      </c>
      <c r="R1048">
        <f>SUMIF(A1048:A6047,"C01047",I1048:I6047)</f>
        <v>69053.45</v>
      </c>
      <c r="S1048" s="1">
        <v>1545.76</v>
      </c>
      <c r="T1048">
        <f t="shared" si="118"/>
        <v>403.82134502924</v>
      </c>
      <c r="U1048">
        <f t="shared" si="115"/>
        <v>11234.7</v>
      </c>
      <c r="V1048">
        <f t="shared" si="113"/>
        <v>936.225</v>
      </c>
      <c r="W1048">
        <f t="shared" si="116"/>
        <v>24090.2433333333</v>
      </c>
      <c r="X1048">
        <f t="shared" si="112"/>
        <v>0.432798139465469</v>
      </c>
      <c r="AH1048" t="str">
        <f t="shared" si="119"/>
        <v>2nd Quality</v>
      </c>
      <c r="AJ1048">
        <f>((T1048-X1048)*2)/8.4</f>
        <v>96.044892116613</v>
      </c>
      <c r="AK1048">
        <f t="shared" si="117"/>
        <v>562119.312280702</v>
      </c>
    </row>
    <row r="1049" spans="1:37">
      <c r="A1049" t="s">
        <v>1112</v>
      </c>
      <c r="B1049">
        <v>23</v>
      </c>
      <c r="C1049" t="s">
        <v>50</v>
      </c>
      <c r="D1049" t="s">
        <v>45</v>
      </c>
      <c r="E1049">
        <v>1396</v>
      </c>
      <c r="F1049">
        <v>105</v>
      </c>
      <c r="G1049">
        <v>1</v>
      </c>
      <c r="H1049">
        <v>891.31</v>
      </c>
      <c r="I1049">
        <v>839.04</v>
      </c>
      <c r="J1049">
        <v>14</v>
      </c>
      <c r="K1049">
        <v>0</v>
      </c>
      <c r="L1049">
        <v>32.8</v>
      </c>
      <c r="M1049">
        <v>34.7</v>
      </c>
      <c r="N1049" t="s">
        <v>81</v>
      </c>
      <c r="O1049" t="s">
        <v>53</v>
      </c>
      <c r="P1049" t="s">
        <v>58</v>
      </c>
      <c r="R1049">
        <f>SUMIF(A1049:A6048,"C01048",I1049:I6048)</f>
        <v>839.04</v>
      </c>
      <c r="S1049" s="1">
        <v>4263.92</v>
      </c>
      <c r="T1049">
        <f t="shared" si="118"/>
        <v>59.9314285714286</v>
      </c>
      <c r="U1049">
        <f t="shared" si="115"/>
        <v>485.8</v>
      </c>
      <c r="V1049">
        <f t="shared" si="113"/>
        <v>40.4833333333333</v>
      </c>
      <c r="W1049">
        <f t="shared" si="116"/>
        <v>577.116666666667</v>
      </c>
      <c r="X1049">
        <f t="shared" si="112"/>
        <v>1.5662339702236</v>
      </c>
      <c r="AH1049" t="str">
        <f t="shared" si="119"/>
        <v>3rd Quality</v>
      </c>
      <c r="AJ1049">
        <f>((T1049-X1049)*2)/32.8</f>
        <v>3.55885332934177</v>
      </c>
      <c r="AK1049">
        <f t="shared" si="117"/>
        <v>83664.2742857143</v>
      </c>
    </row>
    <row r="1050" spans="1:37">
      <c r="A1050" t="s">
        <v>1113</v>
      </c>
      <c r="B1050">
        <v>40</v>
      </c>
      <c r="C1050" t="s">
        <v>50</v>
      </c>
      <c r="D1050" t="s">
        <v>60</v>
      </c>
      <c r="E1050">
        <v>675</v>
      </c>
      <c r="F1050">
        <v>190</v>
      </c>
      <c r="G1050">
        <v>1</v>
      </c>
      <c r="H1050">
        <v>1481.34</v>
      </c>
      <c r="I1050">
        <v>1545.76</v>
      </c>
      <c r="J1050">
        <v>12</v>
      </c>
      <c r="K1050">
        <v>0</v>
      </c>
      <c r="L1050">
        <v>17.6</v>
      </c>
      <c r="M1050">
        <v>45.9</v>
      </c>
      <c r="N1050" t="s">
        <v>57</v>
      </c>
      <c r="O1050" t="s">
        <v>47</v>
      </c>
      <c r="P1050" t="s">
        <v>48</v>
      </c>
      <c r="R1050">
        <f>SUMIF(A1050:A6049,"C01049",I1050:I6049)</f>
        <v>1545.76</v>
      </c>
      <c r="S1050" s="1">
        <v>2085.76</v>
      </c>
      <c r="T1050">
        <f t="shared" si="118"/>
        <v>128.813333333333</v>
      </c>
      <c r="U1050">
        <f t="shared" si="115"/>
        <v>550.8</v>
      </c>
      <c r="V1050">
        <f t="shared" si="113"/>
        <v>45.9</v>
      </c>
      <c r="W1050">
        <f t="shared" si="116"/>
        <v>1009.36666666667</v>
      </c>
      <c r="X1050">
        <f t="shared" si="112"/>
        <v>0.455668516343311</v>
      </c>
      <c r="AH1050" t="str">
        <f t="shared" si="119"/>
        <v>3rd Quality</v>
      </c>
      <c r="AJ1050">
        <f>((T1050-X1050)*2)/17.6</f>
        <v>14.5860982746579</v>
      </c>
      <c r="AK1050">
        <f t="shared" si="117"/>
        <v>86949</v>
      </c>
    </row>
    <row r="1051" spans="1:37">
      <c r="A1051" t="s">
        <v>1114</v>
      </c>
      <c r="B1051">
        <v>22</v>
      </c>
      <c r="C1051" t="s">
        <v>44</v>
      </c>
      <c r="D1051" t="s">
        <v>45</v>
      </c>
      <c r="E1051">
        <v>1402</v>
      </c>
      <c r="F1051">
        <v>2</v>
      </c>
      <c r="G1051">
        <v>5</v>
      </c>
      <c r="H1051">
        <v>939.84</v>
      </c>
      <c r="I1051">
        <v>4263.92</v>
      </c>
      <c r="J1051">
        <v>34</v>
      </c>
      <c r="K1051">
        <v>1</v>
      </c>
      <c r="L1051">
        <v>22.8</v>
      </c>
      <c r="M1051">
        <v>24.6</v>
      </c>
      <c r="N1051" t="s">
        <v>46</v>
      </c>
      <c r="O1051" t="s">
        <v>47</v>
      </c>
      <c r="P1051" t="s">
        <v>68</v>
      </c>
      <c r="R1051">
        <f>SUMIF(A1051:A6050,"C01050",I1051:I6050)</f>
        <v>4263.92</v>
      </c>
      <c r="S1051" s="1">
        <v>96777.95</v>
      </c>
      <c r="T1051">
        <f t="shared" si="118"/>
        <v>125.409411764706</v>
      </c>
      <c r="U1051">
        <f t="shared" si="115"/>
        <v>836.4</v>
      </c>
      <c r="V1051">
        <f>U1051*1</f>
        <v>836.4</v>
      </c>
      <c r="W1051">
        <f t="shared" si="116"/>
        <v>1734.92</v>
      </c>
      <c r="X1051">
        <f t="shared" si="112"/>
        <v>1.49174327545114</v>
      </c>
      <c r="AH1051" t="str">
        <f t="shared" si="119"/>
        <v>3rd Quality</v>
      </c>
      <c r="AJ1051">
        <f>((T1051-X1051)*2)/22.8</f>
        <v>10.8699709201101</v>
      </c>
      <c r="AK1051">
        <f t="shared" si="117"/>
        <v>175823.995294118</v>
      </c>
    </row>
    <row r="1052" spans="1:37">
      <c r="A1052" t="s">
        <v>1115</v>
      </c>
      <c r="B1052">
        <v>31</v>
      </c>
      <c r="C1052" t="s">
        <v>44</v>
      </c>
      <c r="D1052" t="s">
        <v>60</v>
      </c>
      <c r="E1052">
        <v>831</v>
      </c>
      <c r="F1052">
        <v>28</v>
      </c>
      <c r="G1052">
        <v>4</v>
      </c>
      <c r="H1052">
        <v>535.65</v>
      </c>
      <c r="I1052">
        <v>2085.76</v>
      </c>
      <c r="J1052">
        <v>18</v>
      </c>
      <c r="K1052">
        <v>1</v>
      </c>
      <c r="L1052">
        <v>23.7</v>
      </c>
      <c r="M1052">
        <v>23.9</v>
      </c>
      <c r="N1052" t="s">
        <v>52</v>
      </c>
      <c r="O1052" t="s">
        <v>47</v>
      </c>
      <c r="P1052" t="s">
        <v>48</v>
      </c>
      <c r="R1052">
        <f>SUMIF(A1052:A6051,"C01051",I1052:I6051)</f>
        <v>2085.76</v>
      </c>
      <c r="S1052" s="1">
        <v>19425.56</v>
      </c>
      <c r="T1052">
        <f t="shared" si="118"/>
        <v>115.875555555556</v>
      </c>
      <c r="U1052">
        <f t="shared" si="115"/>
        <v>430.2</v>
      </c>
      <c r="V1052">
        <f>U1052*1</f>
        <v>430.2</v>
      </c>
      <c r="W1052">
        <f t="shared" si="116"/>
        <v>874.136666666667</v>
      </c>
      <c r="X1052">
        <f t="shared" si="112"/>
        <v>1.55138616633996</v>
      </c>
      <c r="AH1052" t="str">
        <f t="shared" si="119"/>
        <v>3rd Quality</v>
      </c>
      <c r="AJ1052">
        <f>((T1052-X1052)*2)/23.7</f>
        <v>9.64760923115747</v>
      </c>
      <c r="AK1052">
        <f t="shared" si="117"/>
        <v>96292.5866666667</v>
      </c>
    </row>
    <row r="1053" spans="1:37">
      <c r="A1053" t="s">
        <v>1116</v>
      </c>
      <c r="B1053">
        <v>25</v>
      </c>
      <c r="C1053" t="s">
        <v>44</v>
      </c>
      <c r="D1053" t="s">
        <v>60</v>
      </c>
      <c r="E1053">
        <v>735</v>
      </c>
      <c r="F1053">
        <v>9</v>
      </c>
      <c r="G1053">
        <v>27</v>
      </c>
      <c r="H1053">
        <v>3614.69</v>
      </c>
      <c r="I1053">
        <v>96777.95</v>
      </c>
      <c r="J1053">
        <v>60</v>
      </c>
      <c r="K1053">
        <v>3</v>
      </c>
      <c r="L1053">
        <v>5.8</v>
      </c>
      <c r="M1053">
        <v>44.2</v>
      </c>
      <c r="N1053" t="s">
        <v>61</v>
      </c>
      <c r="O1053" t="s">
        <v>75</v>
      </c>
      <c r="P1053" t="s">
        <v>68</v>
      </c>
      <c r="R1053">
        <f>SUMIF(A1053:A6052,"C01052",I1053:I6052)</f>
        <v>96777.95</v>
      </c>
      <c r="S1053" s="1">
        <v>40326.62</v>
      </c>
      <c r="T1053">
        <f t="shared" si="118"/>
        <v>1612.96583333333</v>
      </c>
      <c r="U1053">
        <f t="shared" si="115"/>
        <v>2652</v>
      </c>
      <c r="V1053">
        <f>U1053*3</f>
        <v>7956</v>
      </c>
      <c r="W1053">
        <f t="shared" si="116"/>
        <v>33464.5466666667</v>
      </c>
      <c r="X1053">
        <f t="shared" si="112"/>
        <v>0.203336938990619</v>
      </c>
      <c r="AH1053" t="str">
        <f t="shared" si="119"/>
        <v>2nd Quality</v>
      </c>
      <c r="AJ1053">
        <f>((T1053-X1053)*2)/5.8</f>
        <v>556.124998756669</v>
      </c>
      <c r="AK1053">
        <f t="shared" si="117"/>
        <v>1185529.8875</v>
      </c>
    </row>
    <row r="1054" spans="1:37">
      <c r="A1054" t="s">
        <v>1117</v>
      </c>
      <c r="B1054">
        <v>41</v>
      </c>
      <c r="C1054" t="s">
        <v>50</v>
      </c>
      <c r="D1054" t="s">
        <v>51</v>
      </c>
      <c r="E1054">
        <v>1397</v>
      </c>
      <c r="F1054">
        <v>49</v>
      </c>
      <c r="G1054">
        <v>12</v>
      </c>
      <c r="H1054">
        <v>1631.15</v>
      </c>
      <c r="I1054">
        <v>19425.56</v>
      </c>
      <c r="J1054">
        <v>106</v>
      </c>
      <c r="K1054">
        <v>1</v>
      </c>
      <c r="L1054">
        <v>33.4</v>
      </c>
      <c r="M1054">
        <v>12.8</v>
      </c>
      <c r="N1054" t="s">
        <v>57</v>
      </c>
      <c r="O1054" t="s">
        <v>75</v>
      </c>
      <c r="P1054" t="s">
        <v>68</v>
      </c>
      <c r="R1054">
        <f>SUMIF(A1054:A6053,"C01053",I1054:I6053)</f>
        <v>19425.56</v>
      </c>
      <c r="S1054" s="1">
        <v>14870.11</v>
      </c>
      <c r="T1054">
        <f t="shared" si="118"/>
        <v>183.26</v>
      </c>
      <c r="U1054">
        <f t="shared" si="115"/>
        <v>1356.8</v>
      </c>
      <c r="V1054">
        <f>U1054*1</f>
        <v>1356.8</v>
      </c>
      <c r="W1054">
        <f t="shared" si="116"/>
        <v>7019.23666666667</v>
      </c>
      <c r="X1054">
        <f t="shared" si="112"/>
        <v>0.856450970174417</v>
      </c>
      <c r="AH1054" t="str">
        <f t="shared" si="119"/>
        <v>2nd Quality</v>
      </c>
      <c r="AJ1054">
        <f>((T1054-X1054)*2)/33.4</f>
        <v>10.9223682053788</v>
      </c>
      <c r="AK1054">
        <f t="shared" si="117"/>
        <v>256014.22</v>
      </c>
    </row>
    <row r="1055" spans="1:37">
      <c r="A1055" t="s">
        <v>1118</v>
      </c>
      <c r="B1055">
        <v>38</v>
      </c>
      <c r="C1055" t="s">
        <v>50</v>
      </c>
      <c r="D1055" t="s">
        <v>45</v>
      </c>
      <c r="E1055">
        <v>1331</v>
      </c>
      <c r="F1055">
        <v>13</v>
      </c>
      <c r="G1055">
        <v>14</v>
      </c>
      <c r="H1055">
        <v>3046.26</v>
      </c>
      <c r="I1055">
        <v>40326.62</v>
      </c>
      <c r="J1055">
        <v>94</v>
      </c>
      <c r="K1055">
        <v>1</v>
      </c>
      <c r="L1055">
        <v>4.7</v>
      </c>
      <c r="M1055">
        <v>44.3</v>
      </c>
      <c r="N1055" t="s">
        <v>81</v>
      </c>
      <c r="O1055" t="s">
        <v>75</v>
      </c>
      <c r="P1055" t="s">
        <v>66</v>
      </c>
      <c r="R1055">
        <f>SUMIF(A1055:A6054,"C01054",I1055:I6054)</f>
        <v>40326.62</v>
      </c>
      <c r="S1055" s="1">
        <v>611.95</v>
      </c>
      <c r="T1055">
        <f t="shared" si="118"/>
        <v>429.006595744681</v>
      </c>
      <c r="U1055">
        <f t="shared" si="115"/>
        <v>4164.2</v>
      </c>
      <c r="V1055">
        <f>U1055*1</f>
        <v>4164.2</v>
      </c>
      <c r="W1055">
        <f t="shared" si="116"/>
        <v>14457.96</v>
      </c>
      <c r="X1055">
        <f t="shared" si="112"/>
        <v>0.436929218123207</v>
      </c>
      <c r="AH1055" t="str">
        <f t="shared" si="119"/>
        <v>2nd Quality</v>
      </c>
      <c r="AJ1055">
        <f>((T1055-X1055)*2)/4.7</f>
        <v>182.370070862365</v>
      </c>
      <c r="AK1055">
        <f t="shared" si="117"/>
        <v>571007.77893617</v>
      </c>
    </row>
    <row r="1056" spans="1:37">
      <c r="A1056" t="s">
        <v>1119</v>
      </c>
      <c r="B1056">
        <v>37</v>
      </c>
      <c r="C1056" t="s">
        <v>50</v>
      </c>
      <c r="D1056" t="s">
        <v>60</v>
      </c>
      <c r="E1056">
        <v>1302</v>
      </c>
      <c r="F1056">
        <v>9</v>
      </c>
      <c r="G1056">
        <v>11</v>
      </c>
      <c r="H1056">
        <v>1342.42</v>
      </c>
      <c r="I1056">
        <v>14870.11</v>
      </c>
      <c r="J1056">
        <v>27</v>
      </c>
      <c r="K1056">
        <v>2</v>
      </c>
      <c r="L1056">
        <v>8.3</v>
      </c>
      <c r="M1056">
        <v>34.1</v>
      </c>
      <c r="N1056" t="s">
        <v>61</v>
      </c>
      <c r="O1056" t="s">
        <v>47</v>
      </c>
      <c r="P1056" t="s">
        <v>58</v>
      </c>
      <c r="R1056">
        <f>SUMIF(A1056:A6055,"C01055",I1056:I6055)</f>
        <v>14870.11</v>
      </c>
      <c r="S1056" s="1">
        <v>1893.4</v>
      </c>
      <c r="T1056">
        <f t="shared" si="118"/>
        <v>550.744814814815</v>
      </c>
      <c r="U1056">
        <f t="shared" si="115"/>
        <v>920.7</v>
      </c>
      <c r="V1056">
        <f>U1056*2</f>
        <v>1841.4</v>
      </c>
      <c r="W1056">
        <f t="shared" si="116"/>
        <v>5404.51</v>
      </c>
      <c r="X1056">
        <f t="shared" si="112"/>
        <v>0.969890198298595</v>
      </c>
      <c r="AH1056" t="str">
        <f t="shared" si="119"/>
        <v>3rd Quality</v>
      </c>
      <c r="AJ1056">
        <f>((T1056-X1056)*2)/8.3</f>
        <v>132.475885449763</v>
      </c>
      <c r="AK1056">
        <f t="shared" si="117"/>
        <v>717069.748888889</v>
      </c>
    </row>
    <row r="1057" spans="1:37">
      <c r="A1057" t="s">
        <v>1120</v>
      </c>
      <c r="B1057">
        <v>54</v>
      </c>
      <c r="C1057" t="s">
        <v>50</v>
      </c>
      <c r="D1057" t="s">
        <v>45</v>
      </c>
      <c r="E1057">
        <v>829</v>
      </c>
      <c r="F1057">
        <v>35</v>
      </c>
      <c r="G1057">
        <v>1</v>
      </c>
      <c r="H1057">
        <v>646.49</v>
      </c>
      <c r="I1057">
        <v>611.95</v>
      </c>
      <c r="J1057">
        <v>12</v>
      </c>
      <c r="K1057">
        <v>0</v>
      </c>
      <c r="L1057">
        <v>53.6</v>
      </c>
      <c r="M1057">
        <v>32.6</v>
      </c>
      <c r="N1057" t="s">
        <v>57</v>
      </c>
      <c r="O1057" t="s">
        <v>47</v>
      </c>
      <c r="P1057" t="s">
        <v>68</v>
      </c>
      <c r="R1057">
        <f>SUMIF(A1057:A6056,"C01056",I1057:I6056)</f>
        <v>611.95</v>
      </c>
      <c r="S1057" s="1">
        <v>74660.64</v>
      </c>
      <c r="T1057">
        <f t="shared" si="118"/>
        <v>50.9958333333333</v>
      </c>
      <c r="U1057">
        <f t="shared" si="115"/>
        <v>391.2</v>
      </c>
      <c r="V1057">
        <f t="shared" si="113"/>
        <v>32.6</v>
      </c>
      <c r="W1057">
        <f t="shared" si="116"/>
        <v>419.813333333333</v>
      </c>
      <c r="X1057">
        <f t="shared" si="112"/>
        <v>1.28230908444059</v>
      </c>
      <c r="AH1057" t="str">
        <f t="shared" si="119"/>
        <v>3rd Quality</v>
      </c>
      <c r="AJ1057">
        <f>((T1057-X1057)*2)/53.6</f>
        <v>1.85498224809301</v>
      </c>
      <c r="AK1057">
        <f t="shared" si="117"/>
        <v>42275.5458333333</v>
      </c>
    </row>
    <row r="1058" spans="1:37">
      <c r="A1058" t="s">
        <v>1121</v>
      </c>
      <c r="B1058">
        <v>41</v>
      </c>
      <c r="C1058" t="s">
        <v>50</v>
      </c>
      <c r="D1058" t="s">
        <v>60</v>
      </c>
      <c r="E1058">
        <v>1013</v>
      </c>
      <c r="F1058">
        <v>253</v>
      </c>
      <c r="G1058">
        <v>1</v>
      </c>
      <c r="H1058">
        <v>2058.12</v>
      </c>
      <c r="I1058">
        <v>1893.4</v>
      </c>
      <c r="J1058">
        <v>16</v>
      </c>
      <c r="K1058">
        <v>0</v>
      </c>
      <c r="L1058">
        <v>13.9</v>
      </c>
      <c r="M1058">
        <v>8.2</v>
      </c>
      <c r="N1058" t="s">
        <v>61</v>
      </c>
      <c r="O1058" t="s">
        <v>47</v>
      </c>
      <c r="P1058" t="s">
        <v>68</v>
      </c>
      <c r="R1058">
        <f>SUMIF(A1058:A6057,"C01057",I1058:I6057)</f>
        <v>1893.4</v>
      </c>
      <c r="S1058" s="1">
        <v>27152.78</v>
      </c>
      <c r="T1058">
        <f t="shared" si="118"/>
        <v>118.3375</v>
      </c>
      <c r="U1058">
        <f t="shared" si="115"/>
        <v>131.2</v>
      </c>
      <c r="V1058">
        <f t="shared" si="113"/>
        <v>10.9333333333333</v>
      </c>
      <c r="W1058">
        <f t="shared" si="116"/>
        <v>1317.50666666667</v>
      </c>
      <c r="X1058">
        <f t="shared" si="112"/>
        <v>0.492196762093561</v>
      </c>
      <c r="AH1058" t="str">
        <f t="shared" si="119"/>
        <v>3rd Quality</v>
      </c>
      <c r="AJ1058">
        <f>((T1058-X1058)*2)/13.9</f>
        <v>16.9561587392671</v>
      </c>
      <c r="AK1058">
        <f t="shared" si="117"/>
        <v>119875.8875</v>
      </c>
    </row>
    <row r="1059" spans="1:37">
      <c r="A1059" t="s">
        <v>1122</v>
      </c>
      <c r="B1059">
        <v>41</v>
      </c>
      <c r="C1059" t="s">
        <v>50</v>
      </c>
      <c r="D1059" t="s">
        <v>45</v>
      </c>
      <c r="E1059">
        <v>1432</v>
      </c>
      <c r="F1059">
        <v>13</v>
      </c>
      <c r="G1059">
        <v>25</v>
      </c>
      <c r="H1059">
        <v>3274.58</v>
      </c>
      <c r="I1059">
        <v>74660.64</v>
      </c>
      <c r="J1059">
        <v>106</v>
      </c>
      <c r="K1059">
        <v>2</v>
      </c>
      <c r="L1059">
        <v>7.1</v>
      </c>
      <c r="M1059">
        <v>35.8</v>
      </c>
      <c r="N1059" t="s">
        <v>61</v>
      </c>
      <c r="O1059" t="s">
        <v>47</v>
      </c>
      <c r="P1059" t="s">
        <v>58</v>
      </c>
      <c r="R1059">
        <f>SUMIF(A1059:A6058,"C01058",I1059:I6058)</f>
        <v>74660.64</v>
      </c>
      <c r="S1059" s="1">
        <v>2153.11</v>
      </c>
      <c r="T1059">
        <f t="shared" si="118"/>
        <v>704.345660377359</v>
      </c>
      <c r="U1059">
        <f t="shared" si="115"/>
        <v>3794.8</v>
      </c>
      <c r="V1059">
        <f>U1059*2</f>
        <v>7589.6</v>
      </c>
      <c r="W1059">
        <f t="shared" si="116"/>
        <v>25978.74</v>
      </c>
      <c r="X1059">
        <f t="shared" si="112"/>
        <v>0.437307990643075</v>
      </c>
      <c r="AH1059" t="str">
        <f t="shared" si="119"/>
        <v>2nd Quality</v>
      </c>
      <c r="AJ1059">
        <f>((T1059-X1059)*2)/7.1</f>
        <v>198.284042925835</v>
      </c>
      <c r="AK1059">
        <f t="shared" si="117"/>
        <v>1008622.98566038</v>
      </c>
    </row>
    <row r="1060" spans="1:37">
      <c r="A1060" t="s">
        <v>1123</v>
      </c>
      <c r="B1060">
        <v>42</v>
      </c>
      <c r="C1060" t="s">
        <v>50</v>
      </c>
      <c r="D1060" t="s">
        <v>45</v>
      </c>
      <c r="E1060">
        <v>414</v>
      </c>
      <c r="F1060">
        <v>7</v>
      </c>
      <c r="G1060">
        <v>3</v>
      </c>
      <c r="H1060">
        <v>8267.72</v>
      </c>
      <c r="I1060">
        <v>27152.78</v>
      </c>
      <c r="J1060">
        <v>26</v>
      </c>
      <c r="K1060">
        <v>1</v>
      </c>
      <c r="L1060">
        <v>3.2</v>
      </c>
      <c r="M1060">
        <v>43</v>
      </c>
      <c r="N1060" t="s">
        <v>63</v>
      </c>
      <c r="O1060" t="s">
        <v>47</v>
      </c>
      <c r="P1060" t="s">
        <v>66</v>
      </c>
      <c r="R1060">
        <f>SUMIF(A1060:A6059,"C01059",I1060:I6059)</f>
        <v>27152.78</v>
      </c>
      <c r="S1060" s="1">
        <v>2117.55</v>
      </c>
      <c r="T1060">
        <f t="shared" si="118"/>
        <v>1044.33769230769</v>
      </c>
      <c r="U1060">
        <f t="shared" si="115"/>
        <v>1118</v>
      </c>
      <c r="V1060">
        <f>U1060*1</f>
        <v>1118</v>
      </c>
      <c r="W1060">
        <f t="shared" si="116"/>
        <v>11807.1666666667</v>
      </c>
      <c r="X1060">
        <f t="shared" si="112"/>
        <v>0.0500742647307843</v>
      </c>
      <c r="AH1060" t="str">
        <f t="shared" si="119"/>
        <v>3rd Quality</v>
      </c>
      <c r="AJ1060">
        <f>((T1060-X1060)*2)/3.2</f>
        <v>652.67976127685</v>
      </c>
      <c r="AK1060">
        <f t="shared" si="117"/>
        <v>432355.804615385</v>
      </c>
    </row>
    <row r="1061" spans="1:37">
      <c r="A1061" t="s">
        <v>1124</v>
      </c>
      <c r="B1061">
        <v>30</v>
      </c>
      <c r="C1061" t="s">
        <v>50</v>
      </c>
      <c r="D1061" t="s">
        <v>45</v>
      </c>
      <c r="E1061">
        <v>1381</v>
      </c>
      <c r="F1061">
        <v>113</v>
      </c>
      <c r="G1061">
        <v>2</v>
      </c>
      <c r="H1061">
        <v>1181.27</v>
      </c>
      <c r="I1061">
        <v>2153.11</v>
      </c>
      <c r="J1061">
        <v>21</v>
      </c>
      <c r="K1061">
        <v>0</v>
      </c>
      <c r="L1061">
        <v>29.1</v>
      </c>
      <c r="M1061">
        <v>5.3</v>
      </c>
      <c r="N1061" t="s">
        <v>57</v>
      </c>
      <c r="O1061" t="s">
        <v>53</v>
      </c>
      <c r="P1061" t="s">
        <v>58</v>
      </c>
      <c r="R1061">
        <f>SUMIF(A1061:A6060,"C01060",I1061:I6060)</f>
        <v>2153.11</v>
      </c>
      <c r="S1061" s="1">
        <v>19936.77</v>
      </c>
      <c r="T1061">
        <f t="shared" si="118"/>
        <v>102.529047619048</v>
      </c>
      <c r="U1061">
        <f t="shared" si="115"/>
        <v>111.3</v>
      </c>
      <c r="V1061">
        <f t="shared" si="113"/>
        <v>9.275</v>
      </c>
      <c r="W1061">
        <f t="shared" si="116"/>
        <v>1111.79333333333</v>
      </c>
      <c r="X1061">
        <f t="shared" si="112"/>
        <v>1.16908073514099</v>
      </c>
      <c r="AH1061" t="str">
        <f t="shared" si="119"/>
        <v>3rd Quality</v>
      </c>
      <c r="AJ1061">
        <f>((T1061-X1061)*2)/29.1</f>
        <v>6.96632074803485</v>
      </c>
      <c r="AK1061">
        <f t="shared" si="117"/>
        <v>141592.614761905</v>
      </c>
    </row>
    <row r="1062" spans="1:37">
      <c r="A1062" t="s">
        <v>1125</v>
      </c>
      <c r="B1062">
        <v>30</v>
      </c>
      <c r="C1062" t="s">
        <v>50</v>
      </c>
      <c r="D1062" t="s">
        <v>60</v>
      </c>
      <c r="E1062">
        <v>1388</v>
      </c>
      <c r="F1062">
        <v>183</v>
      </c>
      <c r="G1062">
        <v>1</v>
      </c>
      <c r="H1062">
        <v>2172.19</v>
      </c>
      <c r="I1062">
        <v>2117.55</v>
      </c>
      <c r="J1062">
        <v>13</v>
      </c>
      <c r="K1062">
        <v>0</v>
      </c>
      <c r="L1062">
        <v>11.7</v>
      </c>
      <c r="M1062">
        <v>38.5</v>
      </c>
      <c r="N1062" t="s">
        <v>46</v>
      </c>
      <c r="O1062" t="s">
        <v>53</v>
      </c>
      <c r="P1062" t="s">
        <v>48</v>
      </c>
      <c r="R1062">
        <f>SUMIF(A1062:A6061,"C01061",I1062:I6061)</f>
        <v>2117.55</v>
      </c>
      <c r="S1062" s="1">
        <v>7068.79</v>
      </c>
      <c r="T1062">
        <f t="shared" si="118"/>
        <v>162.888461538462</v>
      </c>
      <c r="U1062">
        <f t="shared" si="115"/>
        <v>500.5</v>
      </c>
      <c r="V1062">
        <f t="shared" si="113"/>
        <v>41.7083333333333</v>
      </c>
      <c r="W1062">
        <f t="shared" si="116"/>
        <v>1430.24666666667</v>
      </c>
      <c r="X1062">
        <f t="shared" si="112"/>
        <v>0.638986460668726</v>
      </c>
      <c r="AH1062" t="str">
        <f t="shared" si="119"/>
        <v>3rd Quality</v>
      </c>
      <c r="AJ1062">
        <f>((T1062-X1062)*2)/11.7</f>
        <v>27.734953004751</v>
      </c>
      <c r="AK1062">
        <f t="shared" si="117"/>
        <v>226089.184615385</v>
      </c>
    </row>
    <row r="1063" spans="1:37">
      <c r="A1063" t="s">
        <v>1126</v>
      </c>
      <c r="B1063">
        <v>31</v>
      </c>
      <c r="C1063" t="s">
        <v>44</v>
      </c>
      <c r="D1063" t="s">
        <v>51</v>
      </c>
      <c r="E1063">
        <v>849</v>
      </c>
      <c r="F1063">
        <v>22</v>
      </c>
      <c r="G1063">
        <v>4</v>
      </c>
      <c r="H1063">
        <v>5299.76</v>
      </c>
      <c r="I1063">
        <v>19936.77</v>
      </c>
      <c r="J1063">
        <v>25</v>
      </c>
      <c r="K1063">
        <v>1</v>
      </c>
      <c r="L1063">
        <v>16.4</v>
      </c>
      <c r="M1063">
        <v>16.8</v>
      </c>
      <c r="N1063" t="s">
        <v>52</v>
      </c>
      <c r="O1063" t="s">
        <v>53</v>
      </c>
      <c r="P1063" t="s">
        <v>58</v>
      </c>
      <c r="R1063">
        <f>SUMIF(A1063:A6062,"C01062",I1063:I6062)</f>
        <v>19936.77</v>
      </c>
      <c r="S1063" s="1">
        <v>38137.61</v>
      </c>
      <c r="T1063">
        <f t="shared" si="118"/>
        <v>797.4708</v>
      </c>
      <c r="U1063">
        <f t="shared" si="115"/>
        <v>420</v>
      </c>
      <c r="V1063">
        <f>U1063*1</f>
        <v>420</v>
      </c>
      <c r="W1063">
        <f t="shared" si="116"/>
        <v>8412.51</v>
      </c>
      <c r="X1063">
        <f t="shared" si="112"/>
        <v>0.160195933400758</v>
      </c>
      <c r="AH1063" t="str">
        <f t="shared" si="119"/>
        <v>2nd Quality</v>
      </c>
      <c r="AJ1063">
        <f>((T1063-X1063)*2)/16.4</f>
        <v>97.2330004959267</v>
      </c>
      <c r="AK1063">
        <f t="shared" si="117"/>
        <v>677052.7092</v>
      </c>
    </row>
    <row r="1064" spans="1:37">
      <c r="A1064" t="s">
        <v>1127</v>
      </c>
      <c r="B1064">
        <v>18</v>
      </c>
      <c r="C1064" t="s">
        <v>50</v>
      </c>
      <c r="D1064" t="s">
        <v>60</v>
      </c>
      <c r="E1064">
        <v>411</v>
      </c>
      <c r="F1064">
        <v>92</v>
      </c>
      <c r="G1064">
        <v>5</v>
      </c>
      <c r="H1064">
        <v>1375.45</v>
      </c>
      <c r="I1064">
        <v>7068.79</v>
      </c>
      <c r="J1064">
        <v>43</v>
      </c>
      <c r="K1064">
        <v>0</v>
      </c>
      <c r="L1064">
        <v>20.6</v>
      </c>
      <c r="M1064">
        <v>14.9</v>
      </c>
      <c r="N1064" t="s">
        <v>81</v>
      </c>
      <c r="O1064" t="s">
        <v>47</v>
      </c>
      <c r="P1064" t="s">
        <v>58</v>
      </c>
      <c r="R1064">
        <f>SUMIF(A1064:A6063,"C01063",I1064:I6063)</f>
        <v>7068.79</v>
      </c>
      <c r="S1064" s="1">
        <v>8103.04</v>
      </c>
      <c r="T1064">
        <f t="shared" si="118"/>
        <v>164.390465116279</v>
      </c>
      <c r="U1064">
        <f t="shared" si="115"/>
        <v>640.7</v>
      </c>
      <c r="V1064">
        <f t="shared" si="113"/>
        <v>53.3916666666667</v>
      </c>
      <c r="W1064">
        <f t="shared" si="116"/>
        <v>2815.08</v>
      </c>
      <c r="X1064">
        <f t="shared" si="112"/>
        <v>0.298811298120615</v>
      </c>
      <c r="AH1064" t="str">
        <f t="shared" si="119"/>
        <v>3rd Quality</v>
      </c>
      <c r="AJ1064">
        <f>((T1064-X1064)*2)/20.6</f>
        <v>15.9312285260348</v>
      </c>
      <c r="AK1064">
        <f t="shared" si="117"/>
        <v>67564.4811627907</v>
      </c>
    </row>
    <row r="1065" spans="1:37">
      <c r="A1065" t="s">
        <v>1128</v>
      </c>
      <c r="B1065">
        <v>18</v>
      </c>
      <c r="C1065" t="s">
        <v>50</v>
      </c>
      <c r="D1065" t="s">
        <v>60</v>
      </c>
      <c r="E1065">
        <v>751</v>
      </c>
      <c r="F1065">
        <v>24</v>
      </c>
      <c r="G1065">
        <v>6</v>
      </c>
      <c r="H1065">
        <v>6600.61</v>
      </c>
      <c r="I1065">
        <v>38137.61</v>
      </c>
      <c r="J1065">
        <v>39</v>
      </c>
      <c r="K1065">
        <v>0</v>
      </c>
      <c r="L1065">
        <v>0</v>
      </c>
      <c r="M1065">
        <v>22.5</v>
      </c>
      <c r="N1065" t="s">
        <v>63</v>
      </c>
      <c r="O1065" t="s">
        <v>47</v>
      </c>
      <c r="P1065" t="s">
        <v>58</v>
      </c>
      <c r="R1065">
        <f>SUMIF(A1065:A6064,"C01064",I1065:I6064)</f>
        <v>38137.61</v>
      </c>
      <c r="S1065" s="1">
        <v>570.98</v>
      </c>
      <c r="T1065">
        <f t="shared" si="118"/>
        <v>977.887435897436</v>
      </c>
      <c r="U1065">
        <f t="shared" si="115"/>
        <v>877.5</v>
      </c>
      <c r="V1065">
        <f t="shared" si="113"/>
        <v>73.125</v>
      </c>
      <c r="W1065">
        <f t="shared" si="116"/>
        <v>14913.0733333333</v>
      </c>
      <c r="X1065">
        <f t="shared" si="112"/>
        <v>0.113777363001298</v>
      </c>
      <c r="AH1065" t="str">
        <f t="shared" si="119"/>
        <v>2nd Quality</v>
      </c>
      <c r="AJ1065">
        <f>((T1065-X1065)*2)</f>
        <v>1955.54731706887</v>
      </c>
      <c r="AK1065">
        <f t="shared" si="117"/>
        <v>734393.464358974</v>
      </c>
    </row>
    <row r="1066" spans="1:37">
      <c r="A1066" t="s">
        <v>1129</v>
      </c>
      <c r="B1066">
        <v>36</v>
      </c>
      <c r="C1066" t="s">
        <v>44</v>
      </c>
      <c r="D1066" t="s">
        <v>51</v>
      </c>
      <c r="E1066">
        <v>485</v>
      </c>
      <c r="F1066">
        <v>21</v>
      </c>
      <c r="G1066">
        <v>6</v>
      </c>
      <c r="H1066">
        <v>1423.51</v>
      </c>
      <c r="I1066">
        <v>8103.04</v>
      </c>
      <c r="J1066">
        <v>42</v>
      </c>
      <c r="K1066">
        <v>0</v>
      </c>
      <c r="L1066">
        <v>1.9</v>
      </c>
      <c r="M1066">
        <v>41.6</v>
      </c>
      <c r="N1066" t="s">
        <v>78</v>
      </c>
      <c r="O1066" t="s">
        <v>53</v>
      </c>
      <c r="P1066" t="s">
        <v>68</v>
      </c>
      <c r="R1066">
        <f>SUMIF(A1066:A6065,"C01065",I1066:I6065)</f>
        <v>8103.04</v>
      </c>
      <c r="S1066" s="1">
        <v>19541.83</v>
      </c>
      <c r="T1066">
        <f t="shared" si="118"/>
        <v>192.929523809524</v>
      </c>
      <c r="U1066">
        <f t="shared" si="115"/>
        <v>1747.2</v>
      </c>
      <c r="V1066">
        <f t="shared" si="113"/>
        <v>145.6</v>
      </c>
      <c r="W1066">
        <f t="shared" si="116"/>
        <v>3175.85</v>
      </c>
      <c r="X1066">
        <f t="shared" si="112"/>
        <v>0.340707125345098</v>
      </c>
      <c r="AH1066" t="str">
        <f t="shared" si="119"/>
        <v>3rd Quality</v>
      </c>
      <c r="AJ1066">
        <f>((T1066-X1066)*2)/1.9</f>
        <v>202.725070193873</v>
      </c>
      <c r="AK1066">
        <f t="shared" si="117"/>
        <v>93570.8190476191</v>
      </c>
    </row>
    <row r="1067" spans="1:37">
      <c r="A1067" t="s">
        <v>1130</v>
      </c>
      <c r="B1067">
        <v>47</v>
      </c>
      <c r="C1067" t="s">
        <v>44</v>
      </c>
      <c r="D1067" t="s">
        <v>45</v>
      </c>
      <c r="E1067">
        <v>1118</v>
      </c>
      <c r="F1067">
        <v>333</v>
      </c>
      <c r="G1067">
        <v>1</v>
      </c>
      <c r="H1067">
        <v>513.21</v>
      </c>
      <c r="I1067">
        <v>570.98</v>
      </c>
      <c r="J1067">
        <v>13</v>
      </c>
      <c r="K1067">
        <v>0</v>
      </c>
      <c r="L1067">
        <v>24.7</v>
      </c>
      <c r="M1067">
        <v>37.2</v>
      </c>
      <c r="N1067" t="s">
        <v>78</v>
      </c>
      <c r="O1067" t="s">
        <v>47</v>
      </c>
      <c r="P1067" t="s">
        <v>58</v>
      </c>
      <c r="R1067">
        <f>SUMIF(A1067:A6066,"C01066",I1067:I6066)</f>
        <v>570.98</v>
      </c>
      <c r="S1067" s="1">
        <v>4063.44</v>
      </c>
      <c r="T1067">
        <f t="shared" si="118"/>
        <v>43.9215384615385</v>
      </c>
      <c r="U1067">
        <f t="shared" si="115"/>
        <v>483.6</v>
      </c>
      <c r="V1067">
        <f t="shared" si="113"/>
        <v>40.3</v>
      </c>
      <c r="W1067">
        <f t="shared" si="116"/>
        <v>361.73</v>
      </c>
      <c r="X1067">
        <f t="shared" si="112"/>
        <v>2.17844547066503</v>
      </c>
      <c r="AH1067" t="str">
        <f t="shared" si="119"/>
        <v>3rd Quality</v>
      </c>
      <c r="AJ1067">
        <f>((T1067-X1067)*2)/24.7</f>
        <v>3.38000752962538</v>
      </c>
      <c r="AK1067">
        <f t="shared" si="117"/>
        <v>49104.28</v>
      </c>
    </row>
    <row r="1068" spans="1:37">
      <c r="A1068" t="s">
        <v>1131</v>
      </c>
      <c r="B1068">
        <v>30</v>
      </c>
      <c r="C1068" t="s">
        <v>44</v>
      </c>
      <c r="D1068" t="s">
        <v>45</v>
      </c>
      <c r="E1068">
        <v>757</v>
      </c>
      <c r="F1068">
        <v>55</v>
      </c>
      <c r="G1068">
        <v>12</v>
      </c>
      <c r="H1068">
        <v>1455.02</v>
      </c>
      <c r="I1068">
        <v>19541.83</v>
      </c>
      <c r="J1068">
        <v>41</v>
      </c>
      <c r="K1068">
        <v>1</v>
      </c>
      <c r="L1068">
        <v>18.9</v>
      </c>
      <c r="M1068">
        <v>46.3</v>
      </c>
      <c r="N1068" t="s">
        <v>78</v>
      </c>
      <c r="O1068" t="s">
        <v>47</v>
      </c>
      <c r="P1068" t="s">
        <v>68</v>
      </c>
      <c r="R1068">
        <f>SUMIF(A1068:A6067,"C01067",I1068:I6067)</f>
        <v>19541.83</v>
      </c>
      <c r="S1068" s="1">
        <v>77040.62</v>
      </c>
      <c r="T1068">
        <f t="shared" si="118"/>
        <v>476.63</v>
      </c>
      <c r="U1068">
        <f t="shared" si="115"/>
        <v>1898.3</v>
      </c>
      <c r="V1068">
        <f>U1068*1</f>
        <v>1898.3</v>
      </c>
      <c r="W1068">
        <f t="shared" si="116"/>
        <v>6999.28333333333</v>
      </c>
      <c r="X1068">
        <f t="shared" si="112"/>
        <v>0.520267762642438</v>
      </c>
      <c r="AH1068" t="str">
        <f t="shared" si="119"/>
        <v>2nd Quality</v>
      </c>
      <c r="AJ1068">
        <f>((T1068-X1068)*2)/18.9</f>
        <v>50.3819822473394</v>
      </c>
      <c r="AK1068">
        <f t="shared" si="117"/>
        <v>360808.91</v>
      </c>
    </row>
    <row r="1069" spans="1:37">
      <c r="A1069" t="s">
        <v>1132</v>
      </c>
      <c r="B1069">
        <v>18</v>
      </c>
      <c r="C1069" t="s">
        <v>44</v>
      </c>
      <c r="D1069" t="s">
        <v>45</v>
      </c>
      <c r="E1069">
        <v>771</v>
      </c>
      <c r="F1069">
        <v>207</v>
      </c>
      <c r="G1069">
        <v>4</v>
      </c>
      <c r="H1069">
        <v>1114.09</v>
      </c>
      <c r="I1069">
        <v>4063.44</v>
      </c>
      <c r="J1069">
        <v>17</v>
      </c>
      <c r="K1069">
        <v>0</v>
      </c>
      <c r="L1069">
        <v>31.6</v>
      </c>
      <c r="M1069">
        <v>45.4</v>
      </c>
      <c r="N1069" t="s">
        <v>46</v>
      </c>
      <c r="O1069" t="s">
        <v>53</v>
      </c>
      <c r="P1069" t="s">
        <v>68</v>
      </c>
      <c r="R1069">
        <f>SUMIF(A1069:A6068,"C01068",I1069:I6068)</f>
        <v>4063.44</v>
      </c>
      <c r="S1069" s="1">
        <v>7586.69</v>
      </c>
      <c r="T1069">
        <f t="shared" si="118"/>
        <v>239.025882352941</v>
      </c>
      <c r="U1069">
        <f t="shared" si="115"/>
        <v>771.8</v>
      </c>
      <c r="V1069">
        <f t="shared" si="113"/>
        <v>64.3166666666667</v>
      </c>
      <c r="W1069">
        <f t="shared" si="116"/>
        <v>1726.17666666667</v>
      </c>
      <c r="X1069">
        <f t="shared" si="112"/>
        <v>0.69204462835139</v>
      </c>
      <c r="AH1069" t="str">
        <f t="shared" si="119"/>
        <v>3rd Quality</v>
      </c>
      <c r="AJ1069">
        <f>((T1069-X1069)*2)/31.6</f>
        <v>15.0844201091512</v>
      </c>
      <c r="AK1069">
        <f t="shared" si="117"/>
        <v>184288.955294118</v>
      </c>
    </row>
    <row r="1070" spans="1:37">
      <c r="A1070" t="s">
        <v>1133</v>
      </c>
      <c r="B1070">
        <v>22</v>
      </c>
      <c r="C1070" t="s">
        <v>44</v>
      </c>
      <c r="D1070" t="s">
        <v>45</v>
      </c>
      <c r="E1070">
        <v>986</v>
      </c>
      <c r="F1070">
        <v>15</v>
      </c>
      <c r="G1070">
        <v>24</v>
      </c>
      <c r="H1070">
        <v>3068.07</v>
      </c>
      <c r="I1070">
        <v>77040.62</v>
      </c>
      <c r="J1070">
        <v>128</v>
      </c>
      <c r="K1070">
        <v>0</v>
      </c>
      <c r="L1070">
        <v>2.5</v>
      </c>
      <c r="M1070">
        <v>14.8</v>
      </c>
      <c r="N1070" t="s">
        <v>81</v>
      </c>
      <c r="O1070" t="s">
        <v>47</v>
      </c>
      <c r="P1070" t="s">
        <v>66</v>
      </c>
      <c r="R1070">
        <f>SUMIF(A1070:A6069,"C01069",I1070:I6069)</f>
        <v>77040.62</v>
      </c>
      <c r="S1070" s="1">
        <v>7958.63</v>
      </c>
      <c r="T1070">
        <f t="shared" si="118"/>
        <v>601.87984375</v>
      </c>
      <c r="U1070">
        <f t="shared" si="115"/>
        <v>1894.4</v>
      </c>
      <c r="V1070">
        <f t="shared" si="113"/>
        <v>157.866666666667</v>
      </c>
      <c r="W1070">
        <f t="shared" si="116"/>
        <v>26703.23</v>
      </c>
      <c r="X1070">
        <f t="shared" si="112"/>
        <v>0.321374675284462</v>
      </c>
      <c r="AH1070" t="str">
        <f t="shared" si="119"/>
        <v>1st Quality</v>
      </c>
      <c r="AJ1070">
        <f>((T1070-X1070)*2)/2.5</f>
        <v>481.246775259772</v>
      </c>
      <c r="AK1070">
        <f t="shared" si="117"/>
        <v>593453.5259375</v>
      </c>
    </row>
    <row r="1071" spans="1:37">
      <c r="A1071" t="s">
        <v>1134</v>
      </c>
      <c r="B1071">
        <v>18</v>
      </c>
      <c r="C1071" t="s">
        <v>50</v>
      </c>
      <c r="D1071" t="s">
        <v>60</v>
      </c>
      <c r="E1071">
        <v>1090</v>
      </c>
      <c r="F1071">
        <v>51</v>
      </c>
      <c r="G1071">
        <v>8</v>
      </c>
      <c r="H1071">
        <v>867.2</v>
      </c>
      <c r="I1071">
        <v>7586.69</v>
      </c>
      <c r="J1071">
        <v>45</v>
      </c>
      <c r="K1071">
        <v>2</v>
      </c>
      <c r="L1071">
        <v>22.7</v>
      </c>
      <c r="M1071">
        <v>18.9</v>
      </c>
      <c r="N1071" t="s">
        <v>61</v>
      </c>
      <c r="O1071" t="s">
        <v>53</v>
      </c>
      <c r="P1071" t="s">
        <v>66</v>
      </c>
      <c r="R1071">
        <f>SUMIF(A1071:A6070,"C01070",I1071:I6070)</f>
        <v>7586.69</v>
      </c>
      <c r="S1071" s="1">
        <v>56102.57</v>
      </c>
      <c r="T1071">
        <f t="shared" si="118"/>
        <v>168.593111111111</v>
      </c>
      <c r="U1071">
        <f t="shared" si="115"/>
        <v>850.5</v>
      </c>
      <c r="V1071">
        <f>U1071*2</f>
        <v>1701</v>
      </c>
      <c r="W1071">
        <f t="shared" si="116"/>
        <v>2818.29666666667</v>
      </c>
      <c r="X1071">
        <f t="shared" ref="X1071:X1134" si="120">E1071/H1071</f>
        <v>1.25691881918819</v>
      </c>
      <c r="AH1071" t="str">
        <f t="shared" si="119"/>
        <v>3rd Quality</v>
      </c>
      <c r="AJ1071">
        <f>((T1071-X1071)*2)/22.7</f>
        <v>14.7432768539139</v>
      </c>
      <c r="AK1071">
        <f t="shared" si="117"/>
        <v>183766.491111111</v>
      </c>
    </row>
    <row r="1072" spans="1:37">
      <c r="A1072" t="s">
        <v>1135</v>
      </c>
      <c r="B1072">
        <v>52</v>
      </c>
      <c r="C1072" t="s">
        <v>44</v>
      </c>
      <c r="D1072" t="s">
        <v>51</v>
      </c>
      <c r="E1072">
        <v>512</v>
      </c>
      <c r="F1072">
        <v>195</v>
      </c>
      <c r="G1072">
        <v>2</v>
      </c>
      <c r="H1072">
        <v>3575.3</v>
      </c>
      <c r="I1072">
        <v>7958.63</v>
      </c>
      <c r="J1072">
        <v>19</v>
      </c>
      <c r="K1072">
        <v>0</v>
      </c>
      <c r="L1072">
        <v>16.8</v>
      </c>
      <c r="M1072">
        <v>27.9</v>
      </c>
      <c r="N1072" t="s">
        <v>46</v>
      </c>
      <c r="O1072" t="s">
        <v>53</v>
      </c>
      <c r="P1072" t="s">
        <v>68</v>
      </c>
      <c r="R1072">
        <f>SUMIF(A1072:A6071,"C01071",I1072:I6071)</f>
        <v>7958.63</v>
      </c>
      <c r="S1072" s="1">
        <v>15322</v>
      </c>
      <c r="T1072">
        <f t="shared" si="118"/>
        <v>418.875263157895</v>
      </c>
      <c r="U1072">
        <f t="shared" si="115"/>
        <v>530.1</v>
      </c>
      <c r="V1072">
        <f t="shared" si="113"/>
        <v>44.175</v>
      </c>
      <c r="W1072">
        <f t="shared" si="116"/>
        <v>3844.97666666667</v>
      </c>
      <c r="X1072">
        <f t="shared" si="120"/>
        <v>0.14320476603362</v>
      </c>
      <c r="AH1072" t="str">
        <f t="shared" si="119"/>
        <v>3rd Quality</v>
      </c>
      <c r="AJ1072">
        <f>((T1072-X1072)*2)/16.8</f>
        <v>49.8490545704597</v>
      </c>
      <c r="AK1072">
        <f t="shared" si="117"/>
        <v>214464.134736842</v>
      </c>
    </row>
    <row r="1073" spans="1:37">
      <c r="A1073" t="s">
        <v>1136</v>
      </c>
      <c r="B1073">
        <v>32</v>
      </c>
      <c r="C1073" t="s">
        <v>50</v>
      </c>
      <c r="D1073" t="s">
        <v>51</v>
      </c>
      <c r="E1073">
        <v>829</v>
      </c>
      <c r="F1073">
        <v>108</v>
      </c>
      <c r="G1073">
        <v>4</v>
      </c>
      <c r="H1073">
        <v>14739.88</v>
      </c>
      <c r="I1073">
        <v>56102.57</v>
      </c>
      <c r="J1073">
        <v>40</v>
      </c>
      <c r="K1073">
        <v>1</v>
      </c>
      <c r="L1073">
        <v>12.4</v>
      </c>
      <c r="M1073">
        <v>11.7</v>
      </c>
      <c r="N1073" t="s">
        <v>63</v>
      </c>
      <c r="O1073" t="s">
        <v>47</v>
      </c>
      <c r="P1073" t="s">
        <v>68</v>
      </c>
      <c r="R1073">
        <f>SUMIF(A1073:A6072,"C01072",I1073:I6072)</f>
        <v>56102.57</v>
      </c>
      <c r="S1073" s="1">
        <v>1475.82</v>
      </c>
      <c r="T1073">
        <f t="shared" si="118"/>
        <v>1402.56425</v>
      </c>
      <c r="U1073">
        <f t="shared" si="115"/>
        <v>468</v>
      </c>
      <c r="V1073">
        <f>U1073*1</f>
        <v>468</v>
      </c>
      <c r="W1073">
        <f t="shared" si="116"/>
        <v>23614.4833333333</v>
      </c>
      <c r="X1073">
        <f t="shared" si="120"/>
        <v>0.0562419775466286</v>
      </c>
      <c r="AH1073" t="str">
        <f t="shared" si="119"/>
        <v>2nd Quality</v>
      </c>
      <c r="AJ1073">
        <f>((T1073-X1073)*2)/12.4</f>
        <v>226.21096903588</v>
      </c>
      <c r="AK1073">
        <f t="shared" si="117"/>
        <v>1162725.76325</v>
      </c>
    </row>
    <row r="1074" spans="1:37">
      <c r="A1074" t="s">
        <v>1137</v>
      </c>
      <c r="B1074">
        <v>38</v>
      </c>
      <c r="C1074" t="s">
        <v>44</v>
      </c>
      <c r="D1074" t="s">
        <v>60</v>
      </c>
      <c r="E1074">
        <v>472</v>
      </c>
      <c r="F1074">
        <v>14</v>
      </c>
      <c r="G1074">
        <v>13</v>
      </c>
      <c r="H1074">
        <v>1103.3</v>
      </c>
      <c r="I1074">
        <v>15322</v>
      </c>
      <c r="J1074">
        <v>112</v>
      </c>
      <c r="K1074">
        <v>0</v>
      </c>
      <c r="L1074">
        <v>23.2</v>
      </c>
      <c r="M1074">
        <v>58.3</v>
      </c>
      <c r="N1074" t="s">
        <v>63</v>
      </c>
      <c r="O1074" t="s">
        <v>47</v>
      </c>
      <c r="P1074" t="s">
        <v>58</v>
      </c>
      <c r="R1074">
        <f>SUMIF(A1074:A6073,"C01073",I1074:I6073)</f>
        <v>15322</v>
      </c>
      <c r="S1074" s="1">
        <v>1648.3</v>
      </c>
      <c r="T1074">
        <f t="shared" si="118"/>
        <v>136.803571428571</v>
      </c>
      <c r="U1074">
        <f t="shared" si="115"/>
        <v>6529.6</v>
      </c>
      <c r="V1074">
        <f t="shared" si="113"/>
        <v>544.133333333333</v>
      </c>
      <c r="W1074">
        <f t="shared" si="116"/>
        <v>5475.43333333333</v>
      </c>
      <c r="X1074">
        <f t="shared" si="120"/>
        <v>0.427807486631016</v>
      </c>
      <c r="AH1074" t="str">
        <f t="shared" si="119"/>
        <v>3rd Quality</v>
      </c>
      <c r="AJ1074">
        <f>((T1074-X1074)*2)/23.2</f>
        <v>11.7565313743052</v>
      </c>
      <c r="AK1074">
        <f t="shared" si="117"/>
        <v>64571.2857142857</v>
      </c>
    </row>
    <row r="1075" spans="1:37">
      <c r="A1075" t="s">
        <v>1138</v>
      </c>
      <c r="B1075">
        <v>45</v>
      </c>
      <c r="C1075" t="s">
        <v>50</v>
      </c>
      <c r="D1075" t="s">
        <v>51</v>
      </c>
      <c r="E1075">
        <v>917</v>
      </c>
      <c r="F1075">
        <v>274</v>
      </c>
      <c r="G1075">
        <v>1</v>
      </c>
      <c r="H1075">
        <v>1539.47</v>
      </c>
      <c r="I1075">
        <v>1475.82</v>
      </c>
      <c r="J1075">
        <v>14</v>
      </c>
      <c r="K1075">
        <v>0</v>
      </c>
      <c r="L1075">
        <v>9.1</v>
      </c>
      <c r="M1075">
        <v>32.5</v>
      </c>
      <c r="N1075" t="s">
        <v>52</v>
      </c>
      <c r="O1075" t="s">
        <v>53</v>
      </c>
      <c r="P1075" t="s">
        <v>58</v>
      </c>
      <c r="R1075">
        <f>SUMIF(A1075:A6074,"C01074",I1075:I6074)</f>
        <v>1475.82</v>
      </c>
      <c r="S1075" s="1">
        <v>8105.49</v>
      </c>
      <c r="T1075">
        <f t="shared" si="118"/>
        <v>105.415714285714</v>
      </c>
      <c r="U1075">
        <f t="shared" si="115"/>
        <v>455</v>
      </c>
      <c r="V1075">
        <f t="shared" si="113"/>
        <v>37.9166666666667</v>
      </c>
      <c r="W1075">
        <f t="shared" si="116"/>
        <v>1005.43</v>
      </c>
      <c r="X1075">
        <f t="shared" si="120"/>
        <v>0.595659545168142</v>
      </c>
      <c r="AH1075" t="str">
        <f t="shared" si="119"/>
        <v>3rd Quality</v>
      </c>
      <c r="AJ1075">
        <f>((T1075-X1075)*2)/9.1</f>
        <v>23.0373746682518</v>
      </c>
      <c r="AK1075">
        <f t="shared" si="117"/>
        <v>96666.21</v>
      </c>
    </row>
    <row r="1076" spans="1:37">
      <c r="A1076" t="s">
        <v>1139</v>
      </c>
      <c r="B1076">
        <v>28</v>
      </c>
      <c r="C1076" t="s">
        <v>50</v>
      </c>
      <c r="D1076" t="s">
        <v>60</v>
      </c>
      <c r="E1076">
        <v>731</v>
      </c>
      <c r="F1076">
        <v>33</v>
      </c>
      <c r="G1076">
        <v>4</v>
      </c>
      <c r="H1076">
        <v>400.39</v>
      </c>
      <c r="I1076">
        <v>1648.3</v>
      </c>
      <c r="J1076">
        <v>20</v>
      </c>
      <c r="K1076">
        <v>0</v>
      </c>
      <c r="L1076">
        <v>45.8</v>
      </c>
      <c r="M1076">
        <v>5.1</v>
      </c>
      <c r="N1076" t="s">
        <v>61</v>
      </c>
      <c r="O1076" t="s">
        <v>53</v>
      </c>
      <c r="P1076" t="s">
        <v>68</v>
      </c>
      <c r="R1076">
        <f>SUMIF(A1076:A6075,"C01075",I1076:I6075)</f>
        <v>1648.3</v>
      </c>
      <c r="S1076" s="1">
        <v>17782.08</v>
      </c>
      <c r="T1076">
        <f t="shared" si="118"/>
        <v>82.415</v>
      </c>
      <c r="U1076">
        <f t="shared" si="115"/>
        <v>102</v>
      </c>
      <c r="V1076">
        <f t="shared" si="113"/>
        <v>8.5</v>
      </c>
      <c r="W1076">
        <f t="shared" si="116"/>
        <v>683.23</v>
      </c>
      <c r="X1076">
        <f t="shared" si="120"/>
        <v>1.825719923075</v>
      </c>
      <c r="AH1076" t="str">
        <f t="shared" si="119"/>
        <v>3rd Quality</v>
      </c>
      <c r="AJ1076">
        <f>((T1076-X1076)*2)/45.8</f>
        <v>3.51918253611026</v>
      </c>
      <c r="AK1076">
        <f t="shared" si="117"/>
        <v>60245.365</v>
      </c>
    </row>
    <row r="1077" spans="1:37">
      <c r="A1077" t="s">
        <v>1140</v>
      </c>
      <c r="B1077">
        <v>32</v>
      </c>
      <c r="C1077" t="s">
        <v>44</v>
      </c>
      <c r="D1077" t="s">
        <v>60</v>
      </c>
      <c r="E1077">
        <v>783</v>
      </c>
      <c r="F1077">
        <v>33</v>
      </c>
      <c r="G1077">
        <v>5</v>
      </c>
      <c r="H1077">
        <v>1616.07</v>
      </c>
      <c r="I1077">
        <v>8105.49</v>
      </c>
      <c r="J1077">
        <v>36</v>
      </c>
      <c r="K1077">
        <v>0</v>
      </c>
      <c r="L1077">
        <v>25</v>
      </c>
      <c r="M1077">
        <v>30.7</v>
      </c>
      <c r="N1077" t="s">
        <v>63</v>
      </c>
      <c r="O1077" t="s">
        <v>53</v>
      </c>
      <c r="P1077" t="s">
        <v>58</v>
      </c>
      <c r="R1077">
        <f>SUMIF(A1077:A6076,"C01076",I1077:I6076)</f>
        <v>8105.49</v>
      </c>
      <c r="S1077" s="1">
        <v>21023.94</v>
      </c>
      <c r="T1077">
        <f t="shared" si="118"/>
        <v>225.1525</v>
      </c>
      <c r="U1077">
        <f t="shared" si="115"/>
        <v>1105.2</v>
      </c>
      <c r="V1077">
        <f t="shared" si="113"/>
        <v>92.1</v>
      </c>
      <c r="W1077">
        <f t="shared" si="116"/>
        <v>3240.85333333333</v>
      </c>
      <c r="X1077">
        <f t="shared" si="120"/>
        <v>0.484508715587815</v>
      </c>
      <c r="AH1077" t="str">
        <f t="shared" si="119"/>
        <v>3rd Quality</v>
      </c>
      <c r="AJ1077">
        <f>((T1077-X1077)*2)/25</f>
        <v>17.973439302753</v>
      </c>
      <c r="AK1077">
        <f t="shared" si="117"/>
        <v>176294.4075</v>
      </c>
    </row>
    <row r="1078" spans="1:37">
      <c r="A1078" t="s">
        <v>1141</v>
      </c>
      <c r="B1078">
        <v>33</v>
      </c>
      <c r="C1078" t="s">
        <v>44</v>
      </c>
      <c r="D1078" t="s">
        <v>51</v>
      </c>
      <c r="E1078">
        <v>567</v>
      </c>
      <c r="F1078">
        <v>27</v>
      </c>
      <c r="G1078">
        <v>3</v>
      </c>
      <c r="H1078">
        <v>5646.19</v>
      </c>
      <c r="I1078">
        <v>17782.08</v>
      </c>
      <c r="J1078">
        <v>28</v>
      </c>
      <c r="K1078">
        <v>0</v>
      </c>
      <c r="L1078">
        <v>0</v>
      </c>
      <c r="M1078">
        <v>74.4</v>
      </c>
      <c r="N1078" t="s">
        <v>57</v>
      </c>
      <c r="O1078" t="s">
        <v>47</v>
      </c>
      <c r="P1078" t="s">
        <v>66</v>
      </c>
      <c r="R1078">
        <f>SUMIF(A1078:A6077,"C01077",I1078:I6077)</f>
        <v>17782.08</v>
      </c>
      <c r="S1078" s="1">
        <v>38176.57</v>
      </c>
      <c r="T1078">
        <f t="shared" si="118"/>
        <v>635.074285714286</v>
      </c>
      <c r="U1078">
        <f t="shared" si="115"/>
        <v>2083.2</v>
      </c>
      <c r="V1078">
        <f t="shared" si="113"/>
        <v>173.6</v>
      </c>
      <c r="W1078">
        <f t="shared" si="116"/>
        <v>7809.75666666667</v>
      </c>
      <c r="X1078">
        <f t="shared" si="120"/>
        <v>0.100421700297014</v>
      </c>
      <c r="AH1078" t="str">
        <f t="shared" si="119"/>
        <v>2nd Quality</v>
      </c>
      <c r="AJ1078">
        <f>((T1078-X1078)*2)</f>
        <v>1269.94772802798</v>
      </c>
      <c r="AK1078">
        <f t="shared" si="117"/>
        <v>360087.12</v>
      </c>
    </row>
    <row r="1079" spans="1:37">
      <c r="A1079" t="s">
        <v>1142</v>
      </c>
      <c r="B1079">
        <v>44</v>
      </c>
      <c r="C1079" t="s">
        <v>50</v>
      </c>
      <c r="D1079" t="s">
        <v>45</v>
      </c>
      <c r="E1079">
        <v>1239</v>
      </c>
      <c r="F1079">
        <v>33</v>
      </c>
      <c r="G1079">
        <v>11</v>
      </c>
      <c r="H1079">
        <v>1739.02</v>
      </c>
      <c r="I1079">
        <v>21023.94</v>
      </c>
      <c r="J1079">
        <v>69</v>
      </c>
      <c r="K1079">
        <v>1</v>
      </c>
      <c r="L1079">
        <v>23.3</v>
      </c>
      <c r="M1079">
        <v>6.1</v>
      </c>
      <c r="N1079" t="s">
        <v>78</v>
      </c>
      <c r="O1079" t="s">
        <v>75</v>
      </c>
      <c r="P1079" t="s">
        <v>68</v>
      </c>
      <c r="R1079">
        <f>SUMIF(A1079:A6078,"C01078",I1079:I6078)</f>
        <v>21023.94</v>
      </c>
      <c r="S1079" s="1">
        <v>14723.95</v>
      </c>
      <c r="T1079">
        <f t="shared" si="118"/>
        <v>304.694782608696</v>
      </c>
      <c r="U1079">
        <f t="shared" si="115"/>
        <v>420.9</v>
      </c>
      <c r="V1079">
        <f>U1079*1</f>
        <v>420.9</v>
      </c>
      <c r="W1079">
        <f t="shared" si="116"/>
        <v>7587.98666666667</v>
      </c>
      <c r="X1079">
        <f t="shared" si="120"/>
        <v>0.712470241860358</v>
      </c>
      <c r="AH1079" t="str">
        <f t="shared" si="119"/>
        <v>3rd Quality</v>
      </c>
      <c r="AJ1079">
        <f>((T1079-X1079)*2)/23.3</f>
        <v>26.0929023490846</v>
      </c>
      <c r="AK1079">
        <f t="shared" si="117"/>
        <v>377516.835652174</v>
      </c>
    </row>
    <row r="1080" spans="1:37">
      <c r="A1080" t="s">
        <v>1143</v>
      </c>
      <c r="B1080">
        <v>35</v>
      </c>
      <c r="C1080" t="s">
        <v>44</v>
      </c>
      <c r="D1080" t="s">
        <v>45</v>
      </c>
      <c r="E1080">
        <v>676</v>
      </c>
      <c r="F1080">
        <v>4</v>
      </c>
      <c r="G1080">
        <v>3</v>
      </c>
      <c r="H1080">
        <v>14029.32</v>
      </c>
      <c r="I1080">
        <v>38176.57</v>
      </c>
      <c r="J1080">
        <v>24</v>
      </c>
      <c r="K1080">
        <v>0</v>
      </c>
      <c r="L1080">
        <v>8.7</v>
      </c>
      <c r="M1080">
        <v>1.9</v>
      </c>
      <c r="N1080" t="s">
        <v>81</v>
      </c>
      <c r="O1080" t="s">
        <v>47</v>
      </c>
      <c r="P1080" t="s">
        <v>58</v>
      </c>
      <c r="R1080">
        <f>SUMIF(A1080:A6079,"C01079",I1080:I6079)</f>
        <v>38176.57</v>
      </c>
      <c r="S1080" s="1">
        <v>9194.2</v>
      </c>
      <c r="T1080">
        <f t="shared" si="118"/>
        <v>1590.69041666667</v>
      </c>
      <c r="U1080">
        <f t="shared" si="115"/>
        <v>45.6</v>
      </c>
      <c r="V1080">
        <f t="shared" si="113"/>
        <v>3.8</v>
      </c>
      <c r="W1080">
        <f t="shared" si="116"/>
        <v>17402.2966666667</v>
      </c>
      <c r="X1080">
        <f t="shared" si="120"/>
        <v>0.0481848015441946</v>
      </c>
      <c r="AH1080" t="str">
        <f t="shared" si="119"/>
        <v>2nd Quality</v>
      </c>
      <c r="AJ1080">
        <f>((T1080-X1080)*2)/8.7</f>
        <v>365.664880888535</v>
      </c>
      <c r="AK1080">
        <f t="shared" si="117"/>
        <v>1075306.72166667</v>
      </c>
    </row>
    <row r="1081" spans="1:37">
      <c r="A1081" t="s">
        <v>1144</v>
      </c>
      <c r="B1081">
        <v>37</v>
      </c>
      <c r="C1081" t="s">
        <v>44</v>
      </c>
      <c r="D1081" t="s">
        <v>60</v>
      </c>
      <c r="E1081">
        <v>1026</v>
      </c>
      <c r="F1081">
        <v>23</v>
      </c>
      <c r="G1081">
        <v>12</v>
      </c>
      <c r="H1081">
        <v>1314.43</v>
      </c>
      <c r="I1081">
        <v>14723.95</v>
      </c>
      <c r="J1081">
        <v>69</v>
      </c>
      <c r="K1081">
        <v>0</v>
      </c>
      <c r="L1081">
        <v>25.4</v>
      </c>
      <c r="M1081">
        <v>79.1</v>
      </c>
      <c r="N1081" t="s">
        <v>57</v>
      </c>
      <c r="O1081" t="s">
        <v>53</v>
      </c>
      <c r="P1081" t="s">
        <v>58</v>
      </c>
      <c r="R1081">
        <f>SUMIF(A1081:A6080,"C01080",I1081:I6080)</f>
        <v>14723.95</v>
      </c>
      <c r="S1081" s="1">
        <v>2638.96</v>
      </c>
      <c r="T1081">
        <f t="shared" si="118"/>
        <v>213.390579710145</v>
      </c>
      <c r="U1081">
        <f t="shared" si="115"/>
        <v>5457.9</v>
      </c>
      <c r="V1081">
        <f t="shared" si="113"/>
        <v>454.825</v>
      </c>
      <c r="W1081">
        <f t="shared" si="116"/>
        <v>5346.46</v>
      </c>
      <c r="X1081">
        <f t="shared" si="120"/>
        <v>0.780566481288467</v>
      </c>
      <c r="AH1081" t="str">
        <f t="shared" si="119"/>
        <v>3rd Quality</v>
      </c>
      <c r="AJ1081">
        <f>((T1081-X1081)*2)/25.4</f>
        <v>16.740945923532</v>
      </c>
      <c r="AK1081">
        <f t="shared" si="117"/>
        <v>218938.734782609</v>
      </c>
    </row>
    <row r="1082" spans="1:37">
      <c r="A1082" t="s">
        <v>1145</v>
      </c>
      <c r="B1082">
        <v>26</v>
      </c>
      <c r="C1082" t="s">
        <v>50</v>
      </c>
      <c r="D1082" t="s">
        <v>45</v>
      </c>
      <c r="E1082">
        <v>1073</v>
      </c>
      <c r="F1082">
        <v>146</v>
      </c>
      <c r="G1082">
        <v>10</v>
      </c>
      <c r="H1082">
        <v>900.88</v>
      </c>
      <c r="I1082">
        <v>9194.2</v>
      </c>
      <c r="J1082">
        <v>86</v>
      </c>
      <c r="K1082">
        <v>2</v>
      </c>
      <c r="L1082">
        <v>24.5</v>
      </c>
      <c r="M1082">
        <v>10.8</v>
      </c>
      <c r="N1082" t="s">
        <v>61</v>
      </c>
      <c r="O1082" t="s">
        <v>53</v>
      </c>
      <c r="P1082" t="s">
        <v>48</v>
      </c>
      <c r="R1082">
        <f>SUMIF(A1082:A6081,"C01081",I1082:I6081)</f>
        <v>9194.2</v>
      </c>
      <c r="S1082" s="1">
        <v>3450.05</v>
      </c>
      <c r="T1082">
        <f t="shared" si="118"/>
        <v>106.909302325581</v>
      </c>
      <c r="U1082">
        <f t="shared" si="115"/>
        <v>928.8</v>
      </c>
      <c r="V1082">
        <f>U1082*2</f>
        <v>1857.6</v>
      </c>
      <c r="W1082">
        <f t="shared" si="116"/>
        <v>3365.36</v>
      </c>
      <c r="X1082">
        <f t="shared" si="120"/>
        <v>1.19105763253707</v>
      </c>
      <c r="AH1082" t="str">
        <f t="shared" si="119"/>
        <v>3rd Quality</v>
      </c>
      <c r="AJ1082">
        <f>((T1082-X1082)*2)/24.5</f>
        <v>8.63006079126889</v>
      </c>
      <c r="AK1082">
        <f t="shared" si="117"/>
        <v>114713.681395349</v>
      </c>
    </row>
    <row r="1083" spans="1:37">
      <c r="A1083" t="s">
        <v>1146</v>
      </c>
      <c r="B1083">
        <v>24</v>
      </c>
      <c r="C1083" t="s">
        <v>50</v>
      </c>
      <c r="D1083" t="s">
        <v>60</v>
      </c>
      <c r="E1083">
        <v>1115</v>
      </c>
      <c r="F1083">
        <v>211</v>
      </c>
      <c r="G1083">
        <v>1</v>
      </c>
      <c r="H1083">
        <v>2732.6</v>
      </c>
      <c r="I1083">
        <v>2638.96</v>
      </c>
      <c r="J1083">
        <v>11</v>
      </c>
      <c r="K1083">
        <v>0</v>
      </c>
      <c r="L1083">
        <v>18.7</v>
      </c>
      <c r="M1083">
        <v>24.8</v>
      </c>
      <c r="N1083" t="s">
        <v>78</v>
      </c>
      <c r="O1083" t="s">
        <v>47</v>
      </c>
      <c r="P1083" t="s">
        <v>66</v>
      </c>
      <c r="R1083">
        <f>SUMIF(A1083:A6082,"C01082",I1083:I6082)</f>
        <v>2638.96</v>
      </c>
      <c r="S1083" s="1">
        <v>3761.67</v>
      </c>
      <c r="T1083">
        <f t="shared" si="118"/>
        <v>239.905454545455</v>
      </c>
      <c r="U1083">
        <f t="shared" si="115"/>
        <v>272.8</v>
      </c>
      <c r="V1083">
        <f t="shared" si="113"/>
        <v>22.7333333333333</v>
      </c>
      <c r="W1083">
        <f t="shared" si="116"/>
        <v>1790.85333333333</v>
      </c>
      <c r="X1083">
        <f t="shared" si="120"/>
        <v>0.408036302422601</v>
      </c>
      <c r="AH1083" t="str">
        <f t="shared" si="119"/>
        <v>3rd Quality</v>
      </c>
      <c r="AJ1083">
        <f>((T1083-X1083)*2)/18.7</f>
        <v>25.6146971382922</v>
      </c>
      <c r="AK1083">
        <f t="shared" si="117"/>
        <v>267494.581818182</v>
      </c>
    </row>
    <row r="1084" spans="1:37">
      <c r="A1084" t="s">
        <v>1147</v>
      </c>
      <c r="B1084">
        <v>40</v>
      </c>
      <c r="C1084" t="s">
        <v>50</v>
      </c>
      <c r="D1084" t="s">
        <v>51</v>
      </c>
      <c r="E1084">
        <v>377</v>
      </c>
      <c r="F1084">
        <v>365</v>
      </c>
      <c r="G1084">
        <v>2</v>
      </c>
      <c r="H1084">
        <v>1701.4</v>
      </c>
      <c r="I1084">
        <v>3450.05</v>
      </c>
      <c r="J1084">
        <v>24</v>
      </c>
      <c r="K1084">
        <v>0</v>
      </c>
      <c r="L1084">
        <v>23.4</v>
      </c>
      <c r="M1084">
        <v>19.2</v>
      </c>
      <c r="N1084" t="s">
        <v>61</v>
      </c>
      <c r="O1084" t="s">
        <v>75</v>
      </c>
      <c r="P1084" t="s">
        <v>66</v>
      </c>
      <c r="R1084">
        <f>SUMIF(A1084:A6083,"C01083",I1084:I6083)</f>
        <v>3450.05</v>
      </c>
      <c r="S1084" s="1">
        <v>1250.34</v>
      </c>
      <c r="T1084">
        <f t="shared" si="118"/>
        <v>143.752083333333</v>
      </c>
      <c r="U1084">
        <f t="shared" si="115"/>
        <v>460.8</v>
      </c>
      <c r="V1084">
        <f t="shared" si="113"/>
        <v>38.4</v>
      </c>
      <c r="W1084">
        <f t="shared" si="116"/>
        <v>1717.48333333333</v>
      </c>
      <c r="X1084">
        <f t="shared" si="120"/>
        <v>0.221582226401787</v>
      </c>
      <c r="AH1084" t="str">
        <f t="shared" si="119"/>
        <v>3rd Quality</v>
      </c>
      <c r="AJ1084">
        <f>((T1084-X1084)*2)/23.4</f>
        <v>12.2675641971736</v>
      </c>
      <c r="AK1084">
        <f t="shared" si="117"/>
        <v>54194.5354166667</v>
      </c>
    </row>
    <row r="1085" spans="1:37">
      <c r="A1085" t="s">
        <v>1148</v>
      </c>
      <c r="B1085">
        <v>37</v>
      </c>
      <c r="C1085" t="s">
        <v>50</v>
      </c>
      <c r="D1085" t="s">
        <v>60</v>
      </c>
      <c r="E1085">
        <v>1265</v>
      </c>
      <c r="F1085">
        <v>113</v>
      </c>
      <c r="G1085">
        <v>4</v>
      </c>
      <c r="H1085">
        <v>880.65</v>
      </c>
      <c r="I1085">
        <v>3761.67</v>
      </c>
      <c r="J1085">
        <v>17</v>
      </c>
      <c r="K1085">
        <v>0</v>
      </c>
      <c r="L1085">
        <v>34.1</v>
      </c>
      <c r="M1085">
        <v>44.4</v>
      </c>
      <c r="N1085" t="s">
        <v>61</v>
      </c>
      <c r="O1085" t="s">
        <v>75</v>
      </c>
      <c r="P1085" t="s">
        <v>68</v>
      </c>
      <c r="R1085">
        <f>SUMIF(A1085:A6084,"C01084",I1085:I6084)</f>
        <v>3761.67</v>
      </c>
      <c r="S1085" s="1">
        <v>4866.12</v>
      </c>
      <c r="T1085">
        <f t="shared" si="118"/>
        <v>221.274705882353</v>
      </c>
      <c r="U1085">
        <f t="shared" si="115"/>
        <v>754.8</v>
      </c>
      <c r="V1085">
        <f t="shared" si="113"/>
        <v>62.9</v>
      </c>
      <c r="W1085">
        <f t="shared" si="116"/>
        <v>1547.77333333333</v>
      </c>
      <c r="X1085">
        <f t="shared" si="120"/>
        <v>1.43643899392494</v>
      </c>
      <c r="AH1085" t="str">
        <f t="shared" si="119"/>
        <v>3rd Quality</v>
      </c>
      <c r="AJ1085">
        <f>((T1085-X1085)*2)/34.1</f>
        <v>12.8937399934562</v>
      </c>
      <c r="AK1085">
        <f t="shared" si="117"/>
        <v>279912.502941176</v>
      </c>
    </row>
    <row r="1086" spans="1:37">
      <c r="A1086" t="s">
        <v>1149</v>
      </c>
      <c r="B1086">
        <v>28</v>
      </c>
      <c r="C1086" t="s">
        <v>50</v>
      </c>
      <c r="D1086" t="s">
        <v>45</v>
      </c>
      <c r="E1086">
        <v>1081</v>
      </c>
      <c r="F1086">
        <v>365</v>
      </c>
      <c r="G1086">
        <v>1</v>
      </c>
      <c r="H1086">
        <v>1193.21</v>
      </c>
      <c r="I1086">
        <v>1250.34</v>
      </c>
      <c r="J1086">
        <v>12</v>
      </c>
      <c r="K1086">
        <v>0</v>
      </c>
      <c r="L1086">
        <v>22.2</v>
      </c>
      <c r="M1086">
        <v>4.6</v>
      </c>
      <c r="N1086" t="s">
        <v>46</v>
      </c>
      <c r="O1086" t="s">
        <v>47</v>
      </c>
      <c r="P1086" t="s">
        <v>48</v>
      </c>
      <c r="R1086">
        <f>SUMIF(A1086:A6085,"C01085",I1086:I6085)</f>
        <v>1250.34</v>
      </c>
      <c r="S1086" s="1">
        <v>3614.66</v>
      </c>
      <c r="T1086">
        <f t="shared" si="118"/>
        <v>104.195</v>
      </c>
      <c r="U1086">
        <f t="shared" si="115"/>
        <v>55.2</v>
      </c>
      <c r="V1086">
        <f t="shared" si="113"/>
        <v>4.6</v>
      </c>
      <c r="W1086">
        <f t="shared" si="116"/>
        <v>814.85</v>
      </c>
      <c r="X1086">
        <f t="shared" si="120"/>
        <v>0.905959554479094</v>
      </c>
      <c r="AH1086" t="str">
        <f t="shared" si="119"/>
        <v>3rd Quality</v>
      </c>
      <c r="AJ1086">
        <f>((T1086-X1086)*2)/22.2</f>
        <v>9.30531895905594</v>
      </c>
      <c r="AK1086">
        <f t="shared" si="117"/>
        <v>112634.795</v>
      </c>
    </row>
    <row r="1087" spans="1:37">
      <c r="A1087" t="s">
        <v>1150</v>
      </c>
      <c r="B1087">
        <v>29</v>
      </c>
      <c r="C1087" t="s">
        <v>44</v>
      </c>
      <c r="D1087" t="s">
        <v>60</v>
      </c>
      <c r="E1087">
        <v>1238</v>
      </c>
      <c r="F1087">
        <v>114</v>
      </c>
      <c r="G1087">
        <v>5</v>
      </c>
      <c r="H1087">
        <v>914.7</v>
      </c>
      <c r="I1087">
        <v>4866.12</v>
      </c>
      <c r="J1087">
        <v>21</v>
      </c>
      <c r="K1087">
        <v>0</v>
      </c>
      <c r="L1087">
        <v>16.6</v>
      </c>
      <c r="M1087">
        <v>12.3</v>
      </c>
      <c r="N1087" t="s">
        <v>81</v>
      </c>
      <c r="O1087" t="s">
        <v>47</v>
      </c>
      <c r="P1087" t="s">
        <v>66</v>
      </c>
      <c r="R1087">
        <f>SUMIF(A1087:A6086,"C01086",I1087:I6086)</f>
        <v>4866.12</v>
      </c>
      <c r="S1087" s="1">
        <v>910.48</v>
      </c>
      <c r="T1087">
        <f t="shared" si="118"/>
        <v>231.72</v>
      </c>
      <c r="U1087">
        <f t="shared" si="115"/>
        <v>258.3</v>
      </c>
      <c r="V1087">
        <f t="shared" ref="V1087:V1150" si="121">U1087/12</f>
        <v>21.525</v>
      </c>
      <c r="W1087">
        <f t="shared" si="116"/>
        <v>1927.27333333333</v>
      </c>
      <c r="X1087">
        <f t="shared" si="120"/>
        <v>1.35344921832295</v>
      </c>
      <c r="AH1087" t="str">
        <f t="shared" si="119"/>
        <v>3rd Quality</v>
      </c>
      <c r="AJ1087">
        <f>((T1087-X1087)*2)/16.6</f>
        <v>27.7550061182743</v>
      </c>
      <c r="AK1087">
        <f t="shared" si="117"/>
        <v>286869.36</v>
      </c>
    </row>
    <row r="1088" spans="1:37">
      <c r="A1088" t="s">
        <v>1151</v>
      </c>
      <c r="B1088">
        <v>36</v>
      </c>
      <c r="C1088" t="s">
        <v>44</v>
      </c>
      <c r="D1088" t="s">
        <v>45</v>
      </c>
      <c r="E1088">
        <v>1176</v>
      </c>
      <c r="F1088">
        <v>95</v>
      </c>
      <c r="G1088">
        <v>5</v>
      </c>
      <c r="H1088">
        <v>786.92</v>
      </c>
      <c r="I1088">
        <v>3614.66</v>
      </c>
      <c r="J1088">
        <v>35</v>
      </c>
      <c r="K1088">
        <v>0</v>
      </c>
      <c r="L1088">
        <v>16.9</v>
      </c>
      <c r="M1088">
        <v>21.1</v>
      </c>
      <c r="N1088" t="s">
        <v>57</v>
      </c>
      <c r="O1088" t="s">
        <v>47</v>
      </c>
      <c r="P1088" t="s">
        <v>66</v>
      </c>
      <c r="R1088">
        <f>SUMIF(A1088:A6087,"C01087",I1088:I6087)</f>
        <v>3614.66</v>
      </c>
      <c r="S1088" s="1">
        <v>24467.46</v>
      </c>
      <c r="T1088">
        <f t="shared" si="118"/>
        <v>103.276</v>
      </c>
      <c r="U1088">
        <f t="shared" si="115"/>
        <v>738.5</v>
      </c>
      <c r="V1088">
        <f t="shared" si="121"/>
        <v>61.5416666666667</v>
      </c>
      <c r="W1088">
        <f t="shared" si="116"/>
        <v>1467.52666666667</v>
      </c>
      <c r="X1088">
        <f t="shared" si="120"/>
        <v>1.49443399583185</v>
      </c>
      <c r="AH1088" t="str">
        <f t="shared" si="119"/>
        <v>3rd Quality</v>
      </c>
      <c r="AJ1088">
        <f>((T1088-X1088)*2)/16.9</f>
        <v>12.0451557401382</v>
      </c>
      <c r="AK1088">
        <f t="shared" si="117"/>
        <v>121452.576</v>
      </c>
    </row>
    <row r="1089" spans="1:37">
      <c r="A1089" t="s">
        <v>1152</v>
      </c>
      <c r="B1089">
        <v>26</v>
      </c>
      <c r="C1089" t="s">
        <v>50</v>
      </c>
      <c r="D1089" t="s">
        <v>45</v>
      </c>
      <c r="E1089">
        <v>925</v>
      </c>
      <c r="F1089">
        <v>26</v>
      </c>
      <c r="G1089">
        <v>2</v>
      </c>
      <c r="H1089">
        <v>513.07</v>
      </c>
      <c r="I1089">
        <v>910.48</v>
      </c>
      <c r="J1089">
        <v>15</v>
      </c>
      <c r="K1089">
        <v>0</v>
      </c>
      <c r="L1089">
        <v>23.4</v>
      </c>
      <c r="M1089">
        <v>26.6</v>
      </c>
      <c r="N1089" t="s">
        <v>46</v>
      </c>
      <c r="O1089" t="s">
        <v>47</v>
      </c>
      <c r="P1089" t="s">
        <v>68</v>
      </c>
      <c r="R1089">
        <f>SUMIF(A1089:A6088,"C01088",I1089:I6088)</f>
        <v>910.48</v>
      </c>
      <c r="S1089" s="1">
        <v>31242.38</v>
      </c>
      <c r="T1089">
        <f t="shared" si="118"/>
        <v>60.6986666666667</v>
      </c>
      <c r="U1089">
        <f t="shared" si="115"/>
        <v>399</v>
      </c>
      <c r="V1089">
        <f t="shared" si="121"/>
        <v>33.25</v>
      </c>
      <c r="W1089">
        <f t="shared" si="116"/>
        <v>474.85</v>
      </c>
      <c r="X1089">
        <f t="shared" si="120"/>
        <v>1.80287290233301</v>
      </c>
      <c r="AH1089" t="str">
        <f t="shared" si="119"/>
        <v>3rd Quality</v>
      </c>
      <c r="AJ1089">
        <f>((T1089-X1089)*2)/23.4</f>
        <v>5.03382852686613</v>
      </c>
      <c r="AK1089">
        <f t="shared" si="117"/>
        <v>56146.2666666667</v>
      </c>
    </row>
    <row r="1090" spans="1:37">
      <c r="A1090" t="s">
        <v>1153</v>
      </c>
      <c r="B1090">
        <v>23</v>
      </c>
      <c r="C1090" t="s">
        <v>50</v>
      </c>
      <c r="D1090" t="s">
        <v>60</v>
      </c>
      <c r="E1090">
        <v>1180</v>
      </c>
      <c r="F1090">
        <v>10</v>
      </c>
      <c r="G1090">
        <v>10</v>
      </c>
      <c r="H1090">
        <v>2246.34</v>
      </c>
      <c r="I1090">
        <v>24467.46</v>
      </c>
      <c r="J1090">
        <v>75</v>
      </c>
      <c r="K1090">
        <v>0</v>
      </c>
      <c r="L1090">
        <v>20.3</v>
      </c>
      <c r="M1090">
        <v>18</v>
      </c>
      <c r="N1090" t="s">
        <v>52</v>
      </c>
      <c r="O1090" t="s">
        <v>47</v>
      </c>
      <c r="P1090" t="s">
        <v>48</v>
      </c>
      <c r="R1090">
        <f>SUMIF(A1090:A6089,"C01089",I1090:I6089)</f>
        <v>24467.46</v>
      </c>
      <c r="S1090" s="1">
        <v>20525.16</v>
      </c>
      <c r="T1090">
        <f t="shared" si="118"/>
        <v>326.2328</v>
      </c>
      <c r="U1090">
        <f t="shared" si="115"/>
        <v>1350</v>
      </c>
      <c r="V1090">
        <f t="shared" si="121"/>
        <v>112.5</v>
      </c>
      <c r="W1090">
        <f t="shared" si="116"/>
        <v>8904.93333333333</v>
      </c>
      <c r="X1090">
        <f t="shared" si="120"/>
        <v>0.525298930705058</v>
      </c>
      <c r="AH1090" t="str">
        <f t="shared" si="119"/>
        <v>2nd Quality</v>
      </c>
      <c r="AJ1090">
        <f>((T1090-X1090)*2)/20.3</f>
        <v>32.0894089723443</v>
      </c>
      <c r="AK1090">
        <f t="shared" si="117"/>
        <v>384954.704</v>
      </c>
    </row>
    <row r="1091" spans="1:37">
      <c r="A1091" t="s">
        <v>1154</v>
      </c>
      <c r="B1091">
        <v>18</v>
      </c>
      <c r="C1091" t="s">
        <v>44</v>
      </c>
      <c r="D1091" t="s">
        <v>45</v>
      </c>
      <c r="E1091">
        <v>647</v>
      </c>
      <c r="F1091">
        <v>20</v>
      </c>
      <c r="G1091">
        <v>12</v>
      </c>
      <c r="H1091">
        <v>2634.18</v>
      </c>
      <c r="I1091">
        <v>31242.38</v>
      </c>
      <c r="J1091">
        <v>108</v>
      </c>
      <c r="K1091">
        <v>1</v>
      </c>
      <c r="L1091">
        <v>16.7</v>
      </c>
      <c r="M1091">
        <v>9.5</v>
      </c>
      <c r="N1091" t="s">
        <v>52</v>
      </c>
      <c r="O1091" t="s">
        <v>53</v>
      </c>
      <c r="P1091" t="s">
        <v>66</v>
      </c>
      <c r="R1091">
        <f>SUMIF(A1091:A6090,"C01090",I1091:I6090)</f>
        <v>31242.38</v>
      </c>
      <c r="S1091" s="1">
        <v>106755.16</v>
      </c>
      <c r="T1091">
        <f t="shared" si="118"/>
        <v>289.281296296296</v>
      </c>
      <c r="U1091">
        <f t="shared" ref="U1091:U1154" si="122">J1091*M1091</f>
        <v>1026</v>
      </c>
      <c r="V1091">
        <f>U1091*1</f>
        <v>1026</v>
      </c>
      <c r="W1091">
        <f t="shared" ref="W1091:W1154" si="123">(H1091+I1091+1)/3</f>
        <v>11292.52</v>
      </c>
      <c r="X1091">
        <f t="shared" si="120"/>
        <v>0.245617231927962</v>
      </c>
      <c r="AH1091" t="str">
        <f t="shared" si="119"/>
        <v>2nd Quality</v>
      </c>
      <c r="AJ1091">
        <f>((T1091-X1091)*2)/16.7</f>
        <v>34.6150513849543</v>
      </c>
      <c r="AK1091">
        <f t="shared" ref="AK1091:AK1154" si="124">I1091/J1091*E1091</f>
        <v>187164.998703704</v>
      </c>
    </row>
    <row r="1092" spans="1:37">
      <c r="A1092" t="s">
        <v>1155</v>
      </c>
      <c r="B1092">
        <v>41</v>
      </c>
      <c r="C1092" t="s">
        <v>50</v>
      </c>
      <c r="D1092" t="s">
        <v>51</v>
      </c>
      <c r="E1092">
        <v>741</v>
      </c>
      <c r="F1092">
        <v>28</v>
      </c>
      <c r="G1092">
        <v>10</v>
      </c>
      <c r="H1092">
        <v>1987.79</v>
      </c>
      <c r="I1092">
        <v>20525.16</v>
      </c>
      <c r="J1092">
        <v>76</v>
      </c>
      <c r="K1092">
        <v>1</v>
      </c>
      <c r="L1092">
        <v>14.9</v>
      </c>
      <c r="M1092">
        <v>50.5</v>
      </c>
      <c r="N1092" t="s">
        <v>57</v>
      </c>
      <c r="O1092" t="s">
        <v>47</v>
      </c>
      <c r="P1092" t="s">
        <v>68</v>
      </c>
      <c r="R1092">
        <f>SUMIF(A1092:A6091,"C01091",I1092:I6091)</f>
        <v>20525.16</v>
      </c>
      <c r="S1092" s="1">
        <v>22174.33</v>
      </c>
      <c r="T1092">
        <f t="shared" si="118"/>
        <v>270.067894736842</v>
      </c>
      <c r="U1092">
        <f t="shared" si="122"/>
        <v>3838</v>
      </c>
      <c r="V1092">
        <f>U1092*1</f>
        <v>3838</v>
      </c>
      <c r="W1092">
        <f t="shared" si="123"/>
        <v>7504.65</v>
      </c>
      <c r="X1092">
        <f t="shared" si="120"/>
        <v>0.372775796236021</v>
      </c>
      <c r="AH1092" t="str">
        <f t="shared" si="119"/>
        <v>2nd Quality</v>
      </c>
      <c r="AJ1092">
        <f>((T1092-X1092)*2)/14.9</f>
        <v>36.2006871061216</v>
      </c>
      <c r="AK1092">
        <f t="shared" si="124"/>
        <v>200120.31</v>
      </c>
    </row>
    <row r="1093" spans="1:37">
      <c r="A1093" t="s">
        <v>1156</v>
      </c>
      <c r="B1093">
        <v>30</v>
      </c>
      <c r="C1093" t="s">
        <v>44</v>
      </c>
      <c r="D1093" t="s">
        <v>60</v>
      </c>
      <c r="E1093">
        <v>766</v>
      </c>
      <c r="F1093">
        <v>9</v>
      </c>
      <c r="G1093">
        <v>9</v>
      </c>
      <c r="H1093">
        <v>13216.27</v>
      </c>
      <c r="I1093">
        <v>106755.16</v>
      </c>
      <c r="J1093">
        <v>23</v>
      </c>
      <c r="K1093">
        <v>0</v>
      </c>
      <c r="L1093">
        <v>7.7</v>
      </c>
      <c r="M1093">
        <v>16.9</v>
      </c>
      <c r="N1093" t="s">
        <v>63</v>
      </c>
      <c r="O1093" t="s">
        <v>47</v>
      </c>
      <c r="P1093" t="s">
        <v>58</v>
      </c>
      <c r="R1093">
        <f>SUMIF(A1093:A6092,"C01092",I1093:I6092)</f>
        <v>106755.16</v>
      </c>
      <c r="S1093" s="1">
        <v>12300.26</v>
      </c>
      <c r="T1093">
        <f t="shared" si="118"/>
        <v>4641.52869565217</v>
      </c>
      <c r="U1093">
        <f t="shared" si="122"/>
        <v>388.7</v>
      </c>
      <c r="V1093">
        <f t="shared" si="121"/>
        <v>32.3916666666667</v>
      </c>
      <c r="W1093">
        <f t="shared" si="123"/>
        <v>39990.81</v>
      </c>
      <c r="X1093">
        <f t="shared" si="120"/>
        <v>0.0579588643391819</v>
      </c>
      <c r="AH1093" t="str">
        <f t="shared" si="119"/>
        <v>2nd Quality</v>
      </c>
      <c r="AJ1093">
        <f>((T1093-X1093)*2)/7.7</f>
        <v>1205.57681475009</v>
      </c>
      <c r="AK1093">
        <f t="shared" si="124"/>
        <v>3555410.98086957</v>
      </c>
    </row>
    <row r="1094" spans="1:37">
      <c r="A1094" t="s">
        <v>1157</v>
      </c>
      <c r="B1094">
        <v>28</v>
      </c>
      <c r="C1094" t="s">
        <v>44</v>
      </c>
      <c r="D1094" t="s">
        <v>60</v>
      </c>
      <c r="E1094">
        <v>794</v>
      </c>
      <c r="F1094">
        <v>36</v>
      </c>
      <c r="G1094">
        <v>8</v>
      </c>
      <c r="H1094">
        <v>2640.17</v>
      </c>
      <c r="I1094">
        <v>22174.33</v>
      </c>
      <c r="J1094">
        <v>45</v>
      </c>
      <c r="K1094">
        <v>1</v>
      </c>
      <c r="L1094">
        <v>15.9</v>
      </c>
      <c r="M1094">
        <v>56.8</v>
      </c>
      <c r="N1094" t="s">
        <v>46</v>
      </c>
      <c r="O1094" t="s">
        <v>47</v>
      </c>
      <c r="P1094" t="s">
        <v>58</v>
      </c>
      <c r="R1094">
        <f>SUMIF(A1094:A6093,"C01093",I1094:I6093)</f>
        <v>22174.33</v>
      </c>
      <c r="S1094" s="1">
        <v>20368.31</v>
      </c>
      <c r="T1094">
        <f t="shared" si="118"/>
        <v>492.762888888889</v>
      </c>
      <c r="U1094">
        <f t="shared" si="122"/>
        <v>2556</v>
      </c>
      <c r="V1094">
        <f>U1094*1</f>
        <v>2556</v>
      </c>
      <c r="W1094">
        <f t="shared" si="123"/>
        <v>8271.83333333333</v>
      </c>
      <c r="X1094">
        <f t="shared" si="120"/>
        <v>0.300738210039505</v>
      </c>
      <c r="AH1094" t="str">
        <f t="shared" si="119"/>
        <v>2nd Quality</v>
      </c>
      <c r="AJ1094">
        <f>((T1094-X1094)*2)/15.9</f>
        <v>61.9449246136918</v>
      </c>
      <c r="AK1094">
        <f t="shared" si="124"/>
        <v>391253.733777778</v>
      </c>
    </row>
    <row r="1095" spans="1:37">
      <c r="A1095" t="s">
        <v>1158</v>
      </c>
      <c r="B1095">
        <v>36</v>
      </c>
      <c r="C1095" t="s">
        <v>50</v>
      </c>
      <c r="D1095" t="s">
        <v>45</v>
      </c>
      <c r="E1095">
        <v>972</v>
      </c>
      <c r="F1095">
        <v>35</v>
      </c>
      <c r="G1095">
        <v>15</v>
      </c>
      <c r="H1095">
        <v>906.7</v>
      </c>
      <c r="I1095">
        <v>12300.26</v>
      </c>
      <c r="J1095">
        <v>111</v>
      </c>
      <c r="K1095">
        <v>0</v>
      </c>
      <c r="L1095">
        <v>5.2</v>
      </c>
      <c r="M1095">
        <v>54.4</v>
      </c>
      <c r="N1095" t="s">
        <v>78</v>
      </c>
      <c r="O1095" t="s">
        <v>47</v>
      </c>
      <c r="P1095" t="s">
        <v>58</v>
      </c>
      <c r="R1095">
        <f>SUMIF(A1095:A6094,"C01094",I1095:I6094)</f>
        <v>12300.26</v>
      </c>
      <c r="S1095" s="1">
        <v>11348.91</v>
      </c>
      <c r="T1095">
        <f t="shared" si="118"/>
        <v>110.813153153153</v>
      </c>
      <c r="U1095">
        <f t="shared" si="122"/>
        <v>6038.4</v>
      </c>
      <c r="V1095">
        <f t="shared" si="121"/>
        <v>503.2</v>
      </c>
      <c r="W1095">
        <f t="shared" si="123"/>
        <v>4402.65333333333</v>
      </c>
      <c r="X1095">
        <f t="shared" si="120"/>
        <v>1.07201941105106</v>
      </c>
      <c r="AH1095" t="str">
        <f t="shared" si="119"/>
        <v>3rd Quality</v>
      </c>
      <c r="AJ1095">
        <f>((T1095-X1095)*2)/5.2</f>
        <v>42.2081283623469</v>
      </c>
      <c r="AK1095">
        <f t="shared" si="124"/>
        <v>107710.384864865</v>
      </c>
    </row>
    <row r="1096" spans="1:37">
      <c r="A1096" t="s">
        <v>1159</v>
      </c>
      <c r="B1096">
        <v>34</v>
      </c>
      <c r="C1096" t="s">
        <v>50</v>
      </c>
      <c r="D1096" t="s">
        <v>51</v>
      </c>
      <c r="E1096">
        <v>1172</v>
      </c>
      <c r="F1096">
        <v>84</v>
      </c>
      <c r="G1096">
        <v>3</v>
      </c>
      <c r="H1096">
        <v>6351.43</v>
      </c>
      <c r="I1096">
        <v>20368.31</v>
      </c>
      <c r="J1096">
        <v>24</v>
      </c>
      <c r="K1096">
        <v>0</v>
      </c>
      <c r="L1096">
        <v>0</v>
      </c>
      <c r="M1096">
        <v>8.9</v>
      </c>
      <c r="N1096" t="s">
        <v>61</v>
      </c>
      <c r="O1096" t="s">
        <v>47</v>
      </c>
      <c r="P1096" t="s">
        <v>58</v>
      </c>
      <c r="R1096">
        <f>SUMIF(A1096:A6095,"C01095",I1096:I6095)</f>
        <v>20368.31</v>
      </c>
      <c r="S1096" s="1">
        <v>64500.36</v>
      </c>
      <c r="T1096">
        <f t="shared" si="118"/>
        <v>848.679583333333</v>
      </c>
      <c r="U1096">
        <f t="shared" si="122"/>
        <v>213.6</v>
      </c>
      <c r="V1096">
        <f t="shared" si="121"/>
        <v>17.8</v>
      </c>
      <c r="W1096">
        <f t="shared" si="123"/>
        <v>8906.91333333333</v>
      </c>
      <c r="X1096">
        <f t="shared" si="120"/>
        <v>0.18452537460068</v>
      </c>
      <c r="AH1096" t="str">
        <f t="shared" si="119"/>
        <v>2nd Quality</v>
      </c>
      <c r="AJ1096">
        <f>((T1096-X1096)*2)</f>
        <v>1696.99011591746</v>
      </c>
      <c r="AK1096">
        <f t="shared" si="124"/>
        <v>994652.471666667</v>
      </c>
    </row>
    <row r="1097" spans="1:37">
      <c r="A1097" t="s">
        <v>1160</v>
      </c>
      <c r="B1097">
        <v>23</v>
      </c>
      <c r="C1097" t="s">
        <v>50</v>
      </c>
      <c r="D1097" t="s">
        <v>60</v>
      </c>
      <c r="E1097">
        <v>630</v>
      </c>
      <c r="F1097">
        <v>110</v>
      </c>
      <c r="G1097">
        <v>11</v>
      </c>
      <c r="H1097">
        <v>1153.31</v>
      </c>
      <c r="I1097">
        <v>11348.91</v>
      </c>
      <c r="J1097">
        <v>28</v>
      </c>
      <c r="K1097">
        <v>2</v>
      </c>
      <c r="L1097">
        <v>17.7</v>
      </c>
      <c r="M1097">
        <v>63.3</v>
      </c>
      <c r="N1097" t="s">
        <v>81</v>
      </c>
      <c r="O1097" t="s">
        <v>47</v>
      </c>
      <c r="P1097" t="s">
        <v>58</v>
      </c>
      <c r="R1097">
        <f>SUMIF(A1097:A6096,"C01096",I1097:I6096)</f>
        <v>11348.91</v>
      </c>
      <c r="S1097" s="1">
        <v>1463.89</v>
      </c>
      <c r="T1097">
        <f t="shared" si="118"/>
        <v>405.318214285714</v>
      </c>
      <c r="U1097">
        <f t="shared" si="122"/>
        <v>1772.4</v>
      </c>
      <c r="V1097">
        <f>U1097*2</f>
        <v>3544.8</v>
      </c>
      <c r="W1097">
        <f t="shared" si="123"/>
        <v>4167.74</v>
      </c>
      <c r="X1097">
        <f t="shared" si="120"/>
        <v>0.546253825944456</v>
      </c>
      <c r="AH1097" t="str">
        <f t="shared" si="119"/>
        <v>3rd Quality</v>
      </c>
      <c r="AJ1097">
        <f>((T1097-X1097)*2)/17.7</f>
        <v>45.7369446847197</v>
      </c>
      <c r="AK1097">
        <f t="shared" si="124"/>
        <v>255350.475</v>
      </c>
    </row>
    <row r="1098" spans="1:37">
      <c r="A1098" t="s">
        <v>1161</v>
      </c>
      <c r="B1098">
        <v>30</v>
      </c>
      <c r="C1098" t="s">
        <v>50</v>
      </c>
      <c r="D1098" t="s">
        <v>45</v>
      </c>
      <c r="E1098">
        <v>727</v>
      </c>
      <c r="F1098">
        <v>16</v>
      </c>
      <c r="G1098">
        <v>20</v>
      </c>
      <c r="H1098">
        <v>3583.48</v>
      </c>
      <c r="I1098">
        <v>64500.36</v>
      </c>
      <c r="J1098">
        <v>150</v>
      </c>
      <c r="K1098">
        <v>5</v>
      </c>
      <c r="L1098">
        <v>7.2</v>
      </c>
      <c r="M1098">
        <v>37.1</v>
      </c>
      <c r="N1098" t="s">
        <v>57</v>
      </c>
      <c r="O1098" t="s">
        <v>47</v>
      </c>
      <c r="P1098" t="s">
        <v>48</v>
      </c>
      <c r="R1098">
        <f>SUMIF(A1098:A6097,"C01097",I1098:I6097)</f>
        <v>64500.36</v>
      </c>
      <c r="S1098" s="1">
        <v>3222.08</v>
      </c>
      <c r="T1098">
        <f t="shared" si="118"/>
        <v>430.0024</v>
      </c>
      <c r="U1098">
        <f t="shared" si="122"/>
        <v>5565</v>
      </c>
      <c r="V1098">
        <f>U1098*5</f>
        <v>27825</v>
      </c>
      <c r="W1098">
        <f t="shared" si="123"/>
        <v>22694.9466666667</v>
      </c>
      <c r="X1098">
        <f t="shared" si="120"/>
        <v>0.202875417192227</v>
      </c>
      <c r="AH1098" t="str">
        <f t="shared" si="119"/>
        <v>2nd Quality</v>
      </c>
      <c r="AJ1098">
        <f>((T1098-X1098)*2)/7.2</f>
        <v>119.388756828558</v>
      </c>
      <c r="AK1098">
        <f t="shared" si="124"/>
        <v>312611.7448</v>
      </c>
    </row>
    <row r="1099" spans="1:37">
      <c r="A1099" t="s">
        <v>1162</v>
      </c>
      <c r="B1099">
        <v>39</v>
      </c>
      <c r="C1099" t="s">
        <v>50</v>
      </c>
      <c r="D1099" t="s">
        <v>60</v>
      </c>
      <c r="E1099">
        <v>1221</v>
      </c>
      <c r="F1099">
        <v>152</v>
      </c>
      <c r="G1099">
        <v>2</v>
      </c>
      <c r="H1099">
        <v>760.55</v>
      </c>
      <c r="I1099">
        <v>1463.89</v>
      </c>
      <c r="J1099">
        <v>20</v>
      </c>
      <c r="K1099">
        <v>0</v>
      </c>
      <c r="L1099">
        <v>35.3</v>
      </c>
      <c r="M1099">
        <v>28.7</v>
      </c>
      <c r="N1099" t="s">
        <v>57</v>
      </c>
      <c r="O1099" t="s">
        <v>47</v>
      </c>
      <c r="P1099" t="s">
        <v>66</v>
      </c>
      <c r="R1099">
        <f>SUMIF(A1099:A6098,"C01098",I1099:I6098)</f>
        <v>1463.89</v>
      </c>
      <c r="S1099" s="1">
        <v>103812.67</v>
      </c>
      <c r="T1099">
        <f t="shared" si="118"/>
        <v>73.1945</v>
      </c>
      <c r="U1099">
        <f t="shared" si="122"/>
        <v>574</v>
      </c>
      <c r="V1099">
        <f t="shared" si="121"/>
        <v>47.8333333333333</v>
      </c>
      <c r="W1099">
        <f t="shared" si="123"/>
        <v>741.813333333333</v>
      </c>
      <c r="X1099">
        <f t="shared" si="120"/>
        <v>1.60541713233844</v>
      </c>
      <c r="AH1099" t="str">
        <f t="shared" si="119"/>
        <v>3rd Quality</v>
      </c>
      <c r="AJ1099">
        <f>((T1099-X1099)*2)/35.3</f>
        <v>4.05603868938592</v>
      </c>
      <c r="AK1099">
        <f t="shared" si="124"/>
        <v>89370.4845</v>
      </c>
    </row>
    <row r="1100" spans="1:37">
      <c r="A1100" t="s">
        <v>1163</v>
      </c>
      <c r="B1100">
        <v>34</v>
      </c>
      <c r="C1100" t="s">
        <v>44</v>
      </c>
      <c r="D1100" t="s">
        <v>60</v>
      </c>
      <c r="E1100">
        <v>1222</v>
      </c>
      <c r="F1100">
        <v>365</v>
      </c>
      <c r="G1100">
        <v>3</v>
      </c>
      <c r="H1100">
        <v>1153.77</v>
      </c>
      <c r="I1100">
        <v>3222.08</v>
      </c>
      <c r="J1100">
        <v>38</v>
      </c>
      <c r="K1100">
        <v>0</v>
      </c>
      <c r="L1100">
        <v>20</v>
      </c>
      <c r="M1100">
        <v>22.7</v>
      </c>
      <c r="N1100" t="s">
        <v>46</v>
      </c>
      <c r="O1100" t="s">
        <v>53</v>
      </c>
      <c r="P1100" t="s">
        <v>68</v>
      </c>
      <c r="R1100">
        <f>SUMIF(A1100:A6099,"C01099",I1100:I6099)</f>
        <v>3222.08</v>
      </c>
      <c r="S1100" s="1">
        <v>73228.83</v>
      </c>
      <c r="T1100">
        <f t="shared" si="118"/>
        <v>84.7915789473684</v>
      </c>
      <c r="U1100">
        <f t="shared" si="122"/>
        <v>862.6</v>
      </c>
      <c r="V1100">
        <f t="shared" si="121"/>
        <v>71.8833333333333</v>
      </c>
      <c r="W1100">
        <f t="shared" si="123"/>
        <v>1458.95</v>
      </c>
      <c r="X1100">
        <f t="shared" si="120"/>
        <v>1.05913656968027</v>
      </c>
      <c r="AH1100" t="str">
        <f t="shared" si="119"/>
        <v>3rd Quality</v>
      </c>
      <c r="AJ1100">
        <f>((T1100-X1100)*2)/20</f>
        <v>8.37324423776881</v>
      </c>
      <c r="AK1100">
        <f t="shared" si="124"/>
        <v>103615.309473684</v>
      </c>
    </row>
    <row r="1101" spans="1:37">
      <c r="A1101" t="s">
        <v>1164</v>
      </c>
      <c r="B1101">
        <v>44</v>
      </c>
      <c r="C1101" t="s">
        <v>44</v>
      </c>
      <c r="D1101" t="s">
        <v>51</v>
      </c>
      <c r="E1101">
        <v>620</v>
      </c>
      <c r="F1101">
        <v>12</v>
      </c>
      <c r="G1101">
        <v>29</v>
      </c>
      <c r="H1101">
        <v>3206.89</v>
      </c>
      <c r="I1101">
        <v>103812.67</v>
      </c>
      <c r="J1101">
        <v>154</v>
      </c>
      <c r="K1101">
        <v>5</v>
      </c>
      <c r="L1101">
        <v>0</v>
      </c>
      <c r="M1101">
        <v>40.1</v>
      </c>
      <c r="N1101" t="s">
        <v>63</v>
      </c>
      <c r="O1101" t="s">
        <v>47</v>
      </c>
      <c r="P1101" t="s">
        <v>58</v>
      </c>
      <c r="R1101">
        <f>SUMIF(A1101:A6100,"C01100",I1101:I6100)</f>
        <v>103812.67</v>
      </c>
      <c r="S1101" s="1">
        <v>25825.4</v>
      </c>
      <c r="T1101">
        <f t="shared" si="118"/>
        <v>674.108246753247</v>
      </c>
      <c r="U1101">
        <f t="shared" si="122"/>
        <v>6175.4</v>
      </c>
      <c r="V1101">
        <f>U1101*5</f>
        <v>30877</v>
      </c>
      <c r="W1101">
        <f t="shared" si="123"/>
        <v>35673.52</v>
      </c>
      <c r="X1101">
        <f t="shared" si="120"/>
        <v>0.193333728316219</v>
      </c>
      <c r="AH1101" t="str">
        <f t="shared" si="119"/>
        <v>3rd Quality</v>
      </c>
      <c r="AJ1101">
        <f>((T1101-X1101)*2)</f>
        <v>1347.82982604986</v>
      </c>
      <c r="AK1101">
        <f t="shared" si="124"/>
        <v>417947.112987013</v>
      </c>
    </row>
    <row r="1102" spans="1:37">
      <c r="A1102" t="s">
        <v>1165</v>
      </c>
      <c r="B1102">
        <v>40</v>
      </c>
      <c r="C1102" t="s">
        <v>44</v>
      </c>
      <c r="D1102" t="s">
        <v>60</v>
      </c>
      <c r="E1102">
        <v>482</v>
      </c>
      <c r="F1102">
        <v>21</v>
      </c>
      <c r="G1102">
        <v>24</v>
      </c>
      <c r="H1102">
        <v>3087.27</v>
      </c>
      <c r="I1102">
        <v>73228.83</v>
      </c>
      <c r="J1102">
        <v>103</v>
      </c>
      <c r="K1102">
        <v>5</v>
      </c>
      <c r="L1102">
        <v>19.2</v>
      </c>
      <c r="M1102">
        <v>38</v>
      </c>
      <c r="N1102" t="s">
        <v>81</v>
      </c>
      <c r="O1102" t="s">
        <v>47</v>
      </c>
      <c r="P1102" t="s">
        <v>58</v>
      </c>
      <c r="R1102">
        <f>SUMIF(A1102:A6101,"C01101",I1102:I6101)</f>
        <v>73228.83</v>
      </c>
      <c r="S1102" s="1">
        <v>4622.47</v>
      </c>
      <c r="T1102">
        <f t="shared" ref="T1102:T1165" si="125">I1102/J1102</f>
        <v>710.959514563107</v>
      </c>
      <c r="U1102">
        <f t="shared" si="122"/>
        <v>3914</v>
      </c>
      <c r="V1102">
        <f>U1102*5</f>
        <v>19570</v>
      </c>
      <c r="W1102">
        <f t="shared" si="123"/>
        <v>25439.0333333333</v>
      </c>
      <c r="X1102">
        <f t="shared" si="120"/>
        <v>0.156124990687565</v>
      </c>
      <c r="AH1102" t="str">
        <f t="shared" ref="AH1102:AH1165" si="126">IF(AND(W1102&gt;=12550,B1102&lt;=33,E1102&gt;=915),"1st Quality",IF(AND(W1102&gt;=6275,B1102&lt;=43,E1102&gt;=457),"2nd Quality","3rd Quality"))</f>
        <v>2nd Quality</v>
      </c>
      <c r="AJ1102">
        <f>((T1102-X1102)*2)/19.2</f>
        <v>74.042019747127</v>
      </c>
      <c r="AK1102">
        <f t="shared" si="124"/>
        <v>342682.486019417</v>
      </c>
    </row>
    <row r="1103" spans="1:37">
      <c r="A1103" t="s">
        <v>1166</v>
      </c>
      <c r="B1103">
        <v>38</v>
      </c>
      <c r="C1103" t="s">
        <v>44</v>
      </c>
      <c r="D1103" t="s">
        <v>51</v>
      </c>
      <c r="E1103">
        <v>735</v>
      </c>
      <c r="F1103">
        <v>9</v>
      </c>
      <c r="G1103">
        <v>14</v>
      </c>
      <c r="H1103">
        <v>1858.57</v>
      </c>
      <c r="I1103">
        <v>25825.4</v>
      </c>
      <c r="J1103">
        <v>103</v>
      </c>
      <c r="K1103">
        <v>1</v>
      </c>
      <c r="L1103">
        <v>20.6</v>
      </c>
      <c r="M1103">
        <v>68.3</v>
      </c>
      <c r="N1103" t="s">
        <v>52</v>
      </c>
      <c r="O1103" t="s">
        <v>47</v>
      </c>
      <c r="P1103" t="s">
        <v>48</v>
      </c>
      <c r="R1103">
        <f>SUMIF(A1103:A6102,"C01102",I1103:I6102)</f>
        <v>25825.4</v>
      </c>
      <c r="S1103" s="1">
        <v>1645.39</v>
      </c>
      <c r="T1103">
        <f t="shared" si="125"/>
        <v>250.732038834951</v>
      </c>
      <c r="U1103">
        <f t="shared" si="122"/>
        <v>7034.9</v>
      </c>
      <c r="V1103">
        <f>U1103*1</f>
        <v>7034.9</v>
      </c>
      <c r="W1103">
        <f t="shared" si="123"/>
        <v>9228.32333333333</v>
      </c>
      <c r="X1103">
        <f t="shared" si="120"/>
        <v>0.39546533087266</v>
      </c>
      <c r="AH1103" t="str">
        <f t="shared" si="126"/>
        <v>2nd Quality</v>
      </c>
      <c r="AJ1103">
        <f>((T1103-X1103)*2)/20.6</f>
        <v>24.3045216994251</v>
      </c>
      <c r="AK1103">
        <f t="shared" si="124"/>
        <v>184288.048543689</v>
      </c>
    </row>
    <row r="1104" spans="1:37">
      <c r="A1104" t="s">
        <v>1167</v>
      </c>
      <c r="B1104">
        <v>18</v>
      </c>
      <c r="C1104" t="s">
        <v>50</v>
      </c>
      <c r="D1104" t="s">
        <v>60</v>
      </c>
      <c r="E1104">
        <v>499</v>
      </c>
      <c r="F1104">
        <v>164</v>
      </c>
      <c r="G1104">
        <v>6</v>
      </c>
      <c r="H1104">
        <v>864.51</v>
      </c>
      <c r="I1104">
        <v>4622.47</v>
      </c>
      <c r="J1104">
        <v>50</v>
      </c>
      <c r="K1104">
        <v>0</v>
      </c>
      <c r="L1104">
        <v>29.5</v>
      </c>
      <c r="M1104">
        <v>27.6</v>
      </c>
      <c r="N1104" t="s">
        <v>61</v>
      </c>
      <c r="O1104" t="s">
        <v>47</v>
      </c>
      <c r="P1104" t="s">
        <v>58</v>
      </c>
      <c r="R1104">
        <f>SUMIF(A1104:A6103,"C01103",I1104:I6103)</f>
        <v>4622.47</v>
      </c>
      <c r="S1104" s="1">
        <v>89561.34</v>
      </c>
      <c r="T1104">
        <f t="shared" si="125"/>
        <v>92.4494</v>
      </c>
      <c r="U1104">
        <f t="shared" si="122"/>
        <v>1380</v>
      </c>
      <c r="V1104">
        <f t="shared" si="121"/>
        <v>115</v>
      </c>
      <c r="W1104">
        <f t="shared" si="123"/>
        <v>1829.32666666667</v>
      </c>
      <c r="X1104">
        <f t="shared" si="120"/>
        <v>0.577205584666458</v>
      </c>
      <c r="AH1104" t="str">
        <f t="shared" si="126"/>
        <v>3rd Quality</v>
      </c>
      <c r="AJ1104">
        <f>((T1104-X1104)*2)/29.5</f>
        <v>6.2286233501921</v>
      </c>
      <c r="AK1104">
        <f t="shared" si="124"/>
        <v>46132.2506</v>
      </c>
    </row>
    <row r="1105" spans="1:37">
      <c r="A1105" t="s">
        <v>1168</v>
      </c>
      <c r="B1105">
        <v>51</v>
      </c>
      <c r="C1105" t="s">
        <v>50</v>
      </c>
      <c r="D1105" t="s">
        <v>60</v>
      </c>
      <c r="E1105">
        <v>1060</v>
      </c>
      <c r="F1105">
        <v>32</v>
      </c>
      <c r="G1105">
        <v>4</v>
      </c>
      <c r="H1105">
        <v>412.2</v>
      </c>
      <c r="I1105">
        <v>1645.39</v>
      </c>
      <c r="J1105">
        <v>22</v>
      </c>
      <c r="K1105">
        <v>1</v>
      </c>
      <c r="L1105">
        <v>29.8</v>
      </c>
      <c r="M1105">
        <v>39.5</v>
      </c>
      <c r="N1105" t="s">
        <v>78</v>
      </c>
      <c r="O1105" t="s">
        <v>47</v>
      </c>
      <c r="P1105" t="s">
        <v>48</v>
      </c>
      <c r="R1105">
        <f>SUMIF(A1105:A6104,"C01104",I1105:I6104)</f>
        <v>1645.39</v>
      </c>
      <c r="S1105" s="1">
        <v>4794.43</v>
      </c>
      <c r="T1105">
        <f t="shared" si="125"/>
        <v>74.7904545454546</v>
      </c>
      <c r="U1105">
        <f t="shared" si="122"/>
        <v>869</v>
      </c>
      <c r="V1105">
        <f>U1105*1</f>
        <v>869</v>
      </c>
      <c r="W1105">
        <f t="shared" si="123"/>
        <v>686.196666666667</v>
      </c>
      <c r="X1105">
        <f t="shared" si="120"/>
        <v>2.57156720038816</v>
      </c>
      <c r="AH1105" t="str">
        <f t="shared" si="126"/>
        <v>3rd Quality</v>
      </c>
      <c r="AJ1105">
        <f>((T1105-X1105)*2)/29.8</f>
        <v>4.84690519094406</v>
      </c>
      <c r="AK1105">
        <f t="shared" si="124"/>
        <v>79277.8818181818</v>
      </c>
    </row>
    <row r="1106" spans="1:37">
      <c r="A1106" t="s">
        <v>1169</v>
      </c>
      <c r="B1106">
        <v>35</v>
      </c>
      <c r="C1106" t="s">
        <v>44</v>
      </c>
      <c r="D1106" t="s">
        <v>60</v>
      </c>
      <c r="E1106">
        <v>1155</v>
      </c>
      <c r="F1106">
        <v>4</v>
      </c>
      <c r="G1106">
        <v>27</v>
      </c>
      <c r="H1106">
        <v>3704.8</v>
      </c>
      <c r="I1106">
        <v>89561.34</v>
      </c>
      <c r="J1106">
        <v>87</v>
      </c>
      <c r="K1106">
        <v>0</v>
      </c>
      <c r="L1106">
        <v>3</v>
      </c>
      <c r="M1106">
        <v>23.3</v>
      </c>
      <c r="N1106" t="s">
        <v>61</v>
      </c>
      <c r="O1106" t="s">
        <v>53</v>
      </c>
      <c r="P1106" t="s">
        <v>68</v>
      </c>
      <c r="R1106">
        <f>SUMIF(A1106:A6105,"C01105",I1106:I6105)</f>
        <v>89561.34</v>
      </c>
      <c r="S1106" s="1">
        <v>97450.96</v>
      </c>
      <c r="T1106">
        <f t="shared" si="125"/>
        <v>1029.44068965517</v>
      </c>
      <c r="U1106">
        <f t="shared" si="122"/>
        <v>2027.1</v>
      </c>
      <c r="V1106">
        <f t="shared" si="121"/>
        <v>168.925</v>
      </c>
      <c r="W1106">
        <f t="shared" si="123"/>
        <v>31089.0466666667</v>
      </c>
      <c r="X1106">
        <f t="shared" si="120"/>
        <v>0.311757719714964</v>
      </c>
      <c r="AH1106" t="str">
        <f t="shared" si="126"/>
        <v>2nd Quality</v>
      </c>
      <c r="AJ1106">
        <f>((T1106-X1106)*2)/3</f>
        <v>686.085954623637</v>
      </c>
      <c r="AK1106">
        <f t="shared" si="124"/>
        <v>1189003.99655172</v>
      </c>
    </row>
    <row r="1107" spans="1:37">
      <c r="A1107" t="s">
        <v>1170</v>
      </c>
      <c r="B1107">
        <v>41</v>
      </c>
      <c r="C1107" t="s">
        <v>101</v>
      </c>
      <c r="D1107" t="s">
        <v>51</v>
      </c>
      <c r="E1107">
        <v>1131</v>
      </c>
      <c r="F1107">
        <v>190</v>
      </c>
      <c r="G1107">
        <v>3</v>
      </c>
      <c r="H1107">
        <v>1550.47</v>
      </c>
      <c r="I1107">
        <v>4794.43</v>
      </c>
      <c r="J1107">
        <v>24</v>
      </c>
      <c r="K1107">
        <v>0</v>
      </c>
      <c r="L1107">
        <v>32.9</v>
      </c>
      <c r="M1107">
        <v>16.3</v>
      </c>
      <c r="N1107" t="s">
        <v>57</v>
      </c>
      <c r="O1107" t="s">
        <v>53</v>
      </c>
      <c r="P1107" t="s">
        <v>58</v>
      </c>
      <c r="R1107">
        <f>SUMIF(A1107:A6106,"C01106",I1107:I6106)</f>
        <v>4794.43</v>
      </c>
      <c r="S1107" s="1">
        <v>11303.92</v>
      </c>
      <c r="T1107">
        <f t="shared" si="125"/>
        <v>199.767916666667</v>
      </c>
      <c r="U1107">
        <f t="shared" si="122"/>
        <v>391.2</v>
      </c>
      <c r="V1107">
        <f t="shared" si="121"/>
        <v>32.6</v>
      </c>
      <c r="W1107">
        <f t="shared" si="123"/>
        <v>2115.3</v>
      </c>
      <c r="X1107">
        <f t="shared" si="120"/>
        <v>0.729456229401407</v>
      </c>
      <c r="AH1107" t="str">
        <f t="shared" si="126"/>
        <v>3rd Quality</v>
      </c>
      <c r="AJ1107">
        <f>((T1107-X1107)*2)/32.9</f>
        <v>12.0996024581924</v>
      </c>
      <c r="AK1107">
        <f t="shared" si="124"/>
        <v>225937.51375</v>
      </c>
    </row>
    <row r="1108" spans="1:37">
      <c r="A1108" t="s">
        <v>1171</v>
      </c>
      <c r="B1108">
        <v>51</v>
      </c>
      <c r="C1108" t="s">
        <v>50</v>
      </c>
      <c r="D1108" t="s">
        <v>45</v>
      </c>
      <c r="E1108">
        <v>740</v>
      </c>
      <c r="F1108">
        <v>5</v>
      </c>
      <c r="G1108">
        <v>27</v>
      </c>
      <c r="H1108">
        <v>3235.37</v>
      </c>
      <c r="I1108">
        <v>97450.96</v>
      </c>
      <c r="J1108">
        <v>224</v>
      </c>
      <c r="K1108">
        <v>2</v>
      </c>
      <c r="L1108">
        <v>0</v>
      </c>
      <c r="M1108">
        <v>42.8</v>
      </c>
      <c r="N1108" t="s">
        <v>81</v>
      </c>
      <c r="O1108" t="s">
        <v>47</v>
      </c>
      <c r="P1108" t="s">
        <v>58</v>
      </c>
      <c r="R1108">
        <f>SUMIF(A1108:A6107,"C01107",I1108:I6107)</f>
        <v>97450.96</v>
      </c>
      <c r="S1108" s="1">
        <v>1506.83</v>
      </c>
      <c r="T1108">
        <f t="shared" si="125"/>
        <v>435.048928571429</v>
      </c>
      <c r="U1108">
        <f t="shared" si="122"/>
        <v>9587.2</v>
      </c>
      <c r="V1108">
        <f>U1108*2</f>
        <v>19174.4</v>
      </c>
      <c r="W1108">
        <f t="shared" si="123"/>
        <v>33562.4433333333</v>
      </c>
      <c r="X1108">
        <f t="shared" si="120"/>
        <v>0.228721908158881</v>
      </c>
      <c r="AH1108" t="str">
        <f t="shared" si="126"/>
        <v>3rd Quality</v>
      </c>
      <c r="AJ1108">
        <f>((T1108-X1108)*2)</f>
        <v>869.64041332654</v>
      </c>
      <c r="AK1108">
        <f t="shared" si="124"/>
        <v>321936.207142857</v>
      </c>
    </row>
    <row r="1109" spans="1:37">
      <c r="A1109" t="s">
        <v>1172</v>
      </c>
      <c r="B1109">
        <v>37</v>
      </c>
      <c r="C1109" t="s">
        <v>44</v>
      </c>
      <c r="D1109" t="s">
        <v>45</v>
      </c>
      <c r="E1109">
        <v>800</v>
      </c>
      <c r="F1109">
        <v>14</v>
      </c>
      <c r="G1109">
        <v>6</v>
      </c>
      <c r="H1109">
        <v>1964.33</v>
      </c>
      <c r="I1109">
        <v>11303.92</v>
      </c>
      <c r="J1109">
        <v>52</v>
      </c>
      <c r="K1109">
        <v>0</v>
      </c>
      <c r="L1109">
        <v>31.4</v>
      </c>
      <c r="M1109">
        <v>12.3</v>
      </c>
      <c r="N1109" t="s">
        <v>78</v>
      </c>
      <c r="O1109" t="s">
        <v>53</v>
      </c>
      <c r="P1109" t="s">
        <v>58</v>
      </c>
      <c r="R1109">
        <f>SUMIF(A1109:A6108,"C01108",I1109:I6108)</f>
        <v>11303.92</v>
      </c>
      <c r="S1109" s="1">
        <v>123501.02</v>
      </c>
      <c r="T1109">
        <f t="shared" si="125"/>
        <v>217.383076923077</v>
      </c>
      <c r="U1109">
        <f t="shared" si="122"/>
        <v>639.6</v>
      </c>
      <c r="V1109">
        <f t="shared" si="121"/>
        <v>53.3</v>
      </c>
      <c r="W1109">
        <f t="shared" si="123"/>
        <v>4423.08333333333</v>
      </c>
      <c r="X1109">
        <f t="shared" si="120"/>
        <v>0.407263545330978</v>
      </c>
      <c r="AH1109" t="str">
        <f t="shared" si="126"/>
        <v>3rd Quality</v>
      </c>
      <c r="AJ1109">
        <f>((T1109-X1109)*2)/31.4</f>
        <v>13.8201155017673</v>
      </c>
      <c r="AK1109">
        <f t="shared" si="124"/>
        <v>173906.461538462</v>
      </c>
    </row>
    <row r="1110" spans="1:37">
      <c r="A1110" t="s">
        <v>1173</v>
      </c>
      <c r="B1110">
        <v>18</v>
      </c>
      <c r="C1110" t="s">
        <v>44</v>
      </c>
      <c r="D1110" t="s">
        <v>60</v>
      </c>
      <c r="E1110">
        <v>899</v>
      </c>
      <c r="F1110">
        <v>268</v>
      </c>
      <c r="G1110">
        <v>1</v>
      </c>
      <c r="H1110">
        <v>1403.1</v>
      </c>
      <c r="I1110">
        <v>1506.83</v>
      </c>
      <c r="J1110">
        <v>15</v>
      </c>
      <c r="K1110">
        <v>0</v>
      </c>
      <c r="L1110">
        <v>18.3</v>
      </c>
      <c r="M1110">
        <v>10.8</v>
      </c>
      <c r="N1110" t="s">
        <v>52</v>
      </c>
      <c r="O1110" t="s">
        <v>53</v>
      </c>
      <c r="P1110" t="s">
        <v>68</v>
      </c>
      <c r="R1110">
        <f>SUMIF(A1110:A6109,"C01109",I1110:I6109)</f>
        <v>1506.83</v>
      </c>
      <c r="S1110" s="1">
        <v>67055.72</v>
      </c>
      <c r="T1110">
        <f t="shared" si="125"/>
        <v>100.455333333333</v>
      </c>
      <c r="U1110">
        <f t="shared" si="122"/>
        <v>162</v>
      </c>
      <c r="V1110">
        <f t="shared" si="121"/>
        <v>13.5</v>
      </c>
      <c r="W1110">
        <f t="shared" si="123"/>
        <v>970.31</v>
      </c>
      <c r="X1110">
        <f t="shared" si="120"/>
        <v>0.640724110897299</v>
      </c>
      <c r="AH1110" t="str">
        <f t="shared" si="126"/>
        <v>3rd Quality</v>
      </c>
      <c r="AJ1110">
        <f>((T1110-X1110)*2)/18.3</f>
        <v>10.9087004614684</v>
      </c>
      <c r="AK1110">
        <f t="shared" si="124"/>
        <v>90309.3446666667</v>
      </c>
    </row>
    <row r="1111" spans="1:37">
      <c r="A1111" t="s">
        <v>1174</v>
      </c>
      <c r="B1111">
        <v>18</v>
      </c>
      <c r="C1111" t="s">
        <v>50</v>
      </c>
      <c r="D1111" t="s">
        <v>60</v>
      </c>
      <c r="E1111">
        <v>1194</v>
      </c>
      <c r="F1111">
        <v>4</v>
      </c>
      <c r="G1111">
        <v>28</v>
      </c>
      <c r="H1111">
        <v>3967.5</v>
      </c>
      <c r="I1111">
        <v>123501.02</v>
      </c>
      <c r="J1111">
        <v>227</v>
      </c>
      <c r="K1111">
        <v>0</v>
      </c>
      <c r="L1111">
        <v>11.5</v>
      </c>
      <c r="M1111">
        <v>35.3</v>
      </c>
      <c r="N1111" t="s">
        <v>81</v>
      </c>
      <c r="O1111" t="s">
        <v>47</v>
      </c>
      <c r="P1111" t="s">
        <v>58</v>
      </c>
      <c r="R1111">
        <f>SUMIF(A1111:A6110,"C01110",I1111:I6110)</f>
        <v>123501.02</v>
      </c>
      <c r="S1111" s="1">
        <v>13018.45</v>
      </c>
      <c r="T1111">
        <f t="shared" si="125"/>
        <v>544.057356828194</v>
      </c>
      <c r="U1111">
        <f t="shared" si="122"/>
        <v>8013.1</v>
      </c>
      <c r="V1111">
        <f t="shared" si="121"/>
        <v>667.758333333333</v>
      </c>
      <c r="W1111">
        <f t="shared" si="123"/>
        <v>42489.84</v>
      </c>
      <c r="X1111">
        <f t="shared" si="120"/>
        <v>0.300945179584121</v>
      </c>
      <c r="AH1111" t="str">
        <f t="shared" si="126"/>
        <v>1st Quality</v>
      </c>
      <c r="AJ1111">
        <f>((T1111-X1111)*2)/11.5</f>
        <v>94.5663324606278</v>
      </c>
      <c r="AK1111">
        <f t="shared" si="124"/>
        <v>649604.484052863</v>
      </c>
    </row>
    <row r="1112" spans="1:37">
      <c r="A1112" t="s">
        <v>1175</v>
      </c>
      <c r="B1112">
        <v>18</v>
      </c>
      <c r="C1112" t="s">
        <v>44</v>
      </c>
      <c r="D1112" t="s">
        <v>60</v>
      </c>
      <c r="E1112">
        <v>1407</v>
      </c>
      <c r="F1112">
        <v>4</v>
      </c>
      <c r="G1112">
        <v>25</v>
      </c>
      <c r="H1112">
        <v>2411.4</v>
      </c>
      <c r="I1112">
        <v>67055.72</v>
      </c>
      <c r="J1112">
        <v>138</v>
      </c>
      <c r="K1112">
        <v>1</v>
      </c>
      <c r="L1112">
        <v>12.7</v>
      </c>
      <c r="M1112">
        <v>49</v>
      </c>
      <c r="N1112" t="s">
        <v>81</v>
      </c>
      <c r="O1112" t="s">
        <v>47</v>
      </c>
      <c r="P1112" t="s">
        <v>68</v>
      </c>
      <c r="R1112">
        <f>SUMIF(A1112:A6111,"C01111",I1112:I6111)</f>
        <v>67055.72</v>
      </c>
      <c r="S1112" s="1">
        <v>56681.35</v>
      </c>
      <c r="T1112">
        <f t="shared" si="125"/>
        <v>485.911014492754</v>
      </c>
      <c r="U1112">
        <f t="shared" si="122"/>
        <v>6762</v>
      </c>
      <c r="V1112">
        <f>U1112*1</f>
        <v>6762</v>
      </c>
      <c r="W1112">
        <f t="shared" si="123"/>
        <v>23156.04</v>
      </c>
      <c r="X1112">
        <f t="shared" si="120"/>
        <v>0.583478477233143</v>
      </c>
      <c r="AH1112" t="str">
        <f t="shared" si="126"/>
        <v>1st Quality</v>
      </c>
      <c r="AJ1112">
        <f>((T1112-X1112)*2)/12.7</f>
        <v>76.4295332307907</v>
      </c>
      <c r="AK1112">
        <f t="shared" si="124"/>
        <v>683676.797391304</v>
      </c>
    </row>
    <row r="1113" spans="1:37">
      <c r="A1113" t="s">
        <v>1176</v>
      </c>
      <c r="B1113">
        <v>20</v>
      </c>
      <c r="C1113" t="s">
        <v>44</v>
      </c>
      <c r="D1113" t="s">
        <v>60</v>
      </c>
      <c r="E1113">
        <v>1354</v>
      </c>
      <c r="F1113">
        <v>8</v>
      </c>
      <c r="G1113">
        <v>10</v>
      </c>
      <c r="H1113">
        <v>1229.29</v>
      </c>
      <c r="I1113">
        <v>13018.45</v>
      </c>
      <c r="J1113">
        <v>91</v>
      </c>
      <c r="K1113">
        <v>0</v>
      </c>
      <c r="L1113">
        <v>18.9</v>
      </c>
      <c r="M1113">
        <v>16.7</v>
      </c>
      <c r="N1113" t="s">
        <v>61</v>
      </c>
      <c r="O1113" t="s">
        <v>53</v>
      </c>
      <c r="P1113" t="s">
        <v>54</v>
      </c>
      <c r="R1113">
        <f>SUMIF(A1113:A6112,"C01112",I1113:I6112)</f>
        <v>13018.45</v>
      </c>
      <c r="S1113" s="1">
        <v>1964.96</v>
      </c>
      <c r="T1113">
        <f t="shared" si="125"/>
        <v>143.05989010989</v>
      </c>
      <c r="U1113">
        <f t="shared" si="122"/>
        <v>1519.7</v>
      </c>
      <c r="V1113">
        <f t="shared" si="121"/>
        <v>126.641666666667</v>
      </c>
      <c r="W1113">
        <f t="shared" si="123"/>
        <v>4749.58</v>
      </c>
      <c r="X1113">
        <f t="shared" si="120"/>
        <v>1.10144880378104</v>
      </c>
      <c r="AH1113" t="str">
        <f t="shared" si="126"/>
        <v>3rd Quality</v>
      </c>
      <c r="AJ1113">
        <f>((T1113-X1113)*2)/18.9</f>
        <v>15.0220572810697</v>
      </c>
      <c r="AK1113">
        <f t="shared" si="124"/>
        <v>193703.091208791</v>
      </c>
    </row>
    <row r="1114" spans="1:37">
      <c r="A1114" t="s">
        <v>1177</v>
      </c>
      <c r="B1114">
        <v>46</v>
      </c>
      <c r="C1114" t="s">
        <v>101</v>
      </c>
      <c r="D1114" t="s">
        <v>60</v>
      </c>
      <c r="E1114">
        <v>739</v>
      </c>
      <c r="F1114">
        <v>18</v>
      </c>
      <c r="G1114">
        <v>6</v>
      </c>
      <c r="H1114">
        <v>8676.46</v>
      </c>
      <c r="I1114">
        <v>56681.35</v>
      </c>
      <c r="J1114">
        <v>24</v>
      </c>
      <c r="K1114">
        <v>0</v>
      </c>
      <c r="L1114">
        <v>14.9</v>
      </c>
      <c r="M1114">
        <v>33.4</v>
      </c>
      <c r="N1114" t="s">
        <v>63</v>
      </c>
      <c r="O1114" t="s">
        <v>53</v>
      </c>
      <c r="P1114" t="s">
        <v>68</v>
      </c>
      <c r="R1114">
        <f>SUMIF(A1114:A6113,"C01113",I1114:I6113)</f>
        <v>56681.35</v>
      </c>
      <c r="S1114" s="1">
        <v>1267.91</v>
      </c>
      <c r="T1114">
        <f t="shared" si="125"/>
        <v>2361.72291666667</v>
      </c>
      <c r="U1114">
        <f t="shared" si="122"/>
        <v>801.6</v>
      </c>
      <c r="V1114">
        <f t="shared" si="121"/>
        <v>66.8</v>
      </c>
      <c r="W1114">
        <f t="shared" si="123"/>
        <v>21786.27</v>
      </c>
      <c r="X1114">
        <f t="shared" si="120"/>
        <v>0.0851729852958465</v>
      </c>
      <c r="AH1114" t="str">
        <f t="shared" si="126"/>
        <v>3rd Quality</v>
      </c>
      <c r="AJ1114">
        <f>((T1114-X1114)*2)/14.9</f>
        <v>316.99835485656</v>
      </c>
      <c r="AK1114">
        <f t="shared" si="124"/>
        <v>1745313.23541667</v>
      </c>
    </row>
    <row r="1115" spans="1:37">
      <c r="A1115" t="s">
        <v>1178</v>
      </c>
      <c r="B1115">
        <v>41</v>
      </c>
      <c r="C1115" t="s">
        <v>44</v>
      </c>
      <c r="D1115" t="s">
        <v>45</v>
      </c>
      <c r="E1115">
        <v>549</v>
      </c>
      <c r="F1115">
        <v>331</v>
      </c>
      <c r="G1115">
        <v>1</v>
      </c>
      <c r="H1115">
        <v>2037.6</v>
      </c>
      <c r="I1115">
        <v>1964.96</v>
      </c>
      <c r="J1115">
        <v>17</v>
      </c>
      <c r="K1115">
        <v>0</v>
      </c>
      <c r="L1115">
        <v>11.9</v>
      </c>
      <c r="M1115">
        <v>39.4</v>
      </c>
      <c r="N1115" t="s">
        <v>78</v>
      </c>
      <c r="O1115" t="s">
        <v>75</v>
      </c>
      <c r="P1115" t="s">
        <v>58</v>
      </c>
      <c r="R1115">
        <f>SUMIF(A1115:A6114,"C01114",I1115:I6114)</f>
        <v>1964.96</v>
      </c>
      <c r="S1115" s="1">
        <v>53359.2</v>
      </c>
      <c r="T1115">
        <f t="shared" si="125"/>
        <v>115.585882352941</v>
      </c>
      <c r="U1115">
        <f t="shared" si="122"/>
        <v>669.8</v>
      </c>
      <c r="V1115">
        <f t="shared" si="121"/>
        <v>55.8166666666667</v>
      </c>
      <c r="W1115">
        <f t="shared" si="123"/>
        <v>1334.52</v>
      </c>
      <c r="X1115">
        <f t="shared" si="120"/>
        <v>0.269434628975265</v>
      </c>
      <c r="AH1115" t="str">
        <f t="shared" si="126"/>
        <v>3rd Quality</v>
      </c>
      <c r="AJ1115">
        <f>((T1115-X1115)*2)/11.9</f>
        <v>19.3809155838598</v>
      </c>
      <c r="AK1115">
        <f t="shared" si="124"/>
        <v>63456.6494117647</v>
      </c>
    </row>
    <row r="1116" spans="1:37">
      <c r="A1116" t="s">
        <v>1179</v>
      </c>
      <c r="B1116">
        <v>37</v>
      </c>
      <c r="C1116" t="s">
        <v>44</v>
      </c>
      <c r="D1116" t="s">
        <v>51</v>
      </c>
      <c r="E1116">
        <v>426</v>
      </c>
      <c r="F1116">
        <v>365</v>
      </c>
      <c r="G1116">
        <v>1</v>
      </c>
      <c r="H1116">
        <v>1242.9</v>
      </c>
      <c r="I1116">
        <v>1267.91</v>
      </c>
      <c r="J1116">
        <v>16</v>
      </c>
      <c r="K1116">
        <v>0</v>
      </c>
      <c r="L1116">
        <v>10</v>
      </c>
      <c r="M1116">
        <v>21.5</v>
      </c>
      <c r="N1116" t="s">
        <v>81</v>
      </c>
      <c r="O1116" t="s">
        <v>47</v>
      </c>
      <c r="P1116" t="s">
        <v>48</v>
      </c>
      <c r="R1116">
        <f>SUMIF(A1116:A6115,"C01115",I1116:I6115)</f>
        <v>1267.91</v>
      </c>
      <c r="S1116" s="1">
        <v>96292.48</v>
      </c>
      <c r="T1116">
        <f t="shared" si="125"/>
        <v>79.244375</v>
      </c>
      <c r="U1116">
        <f t="shared" si="122"/>
        <v>344</v>
      </c>
      <c r="V1116">
        <f t="shared" si="121"/>
        <v>28.6666666666667</v>
      </c>
      <c r="W1116">
        <f t="shared" si="123"/>
        <v>837.27</v>
      </c>
      <c r="X1116">
        <f t="shared" si="120"/>
        <v>0.342746801834419</v>
      </c>
      <c r="AH1116" t="str">
        <f t="shared" si="126"/>
        <v>3rd Quality</v>
      </c>
      <c r="AJ1116">
        <f>((T1116-X1116)*2)/10</f>
        <v>15.7803256396331</v>
      </c>
      <c r="AK1116">
        <f t="shared" si="124"/>
        <v>33758.10375</v>
      </c>
    </row>
    <row r="1117" spans="1:37">
      <c r="A1117" t="s">
        <v>1180</v>
      </c>
      <c r="B1117">
        <v>31</v>
      </c>
      <c r="C1117" t="s">
        <v>44</v>
      </c>
      <c r="D1117" t="s">
        <v>60</v>
      </c>
      <c r="E1117">
        <v>1369</v>
      </c>
      <c r="F1117">
        <v>7</v>
      </c>
      <c r="G1117">
        <v>28</v>
      </c>
      <c r="H1117">
        <v>1833.99</v>
      </c>
      <c r="I1117">
        <v>53359.2</v>
      </c>
      <c r="J1117">
        <v>118</v>
      </c>
      <c r="K1117">
        <v>1</v>
      </c>
      <c r="L1117">
        <v>10</v>
      </c>
      <c r="M1117">
        <v>28.9</v>
      </c>
      <c r="N1117" t="s">
        <v>63</v>
      </c>
      <c r="O1117" t="s">
        <v>47</v>
      </c>
      <c r="P1117" t="s">
        <v>58</v>
      </c>
      <c r="R1117">
        <f>SUMIF(A1117:A6116,"C01116",I1117:I6116)</f>
        <v>53359.2</v>
      </c>
      <c r="S1117" s="1">
        <v>4784.88</v>
      </c>
      <c r="T1117">
        <f t="shared" si="125"/>
        <v>452.196610169492</v>
      </c>
      <c r="U1117">
        <f t="shared" si="122"/>
        <v>3410.2</v>
      </c>
      <c r="V1117">
        <f>U1117*1</f>
        <v>3410.2</v>
      </c>
      <c r="W1117">
        <f t="shared" si="123"/>
        <v>18398.0633333333</v>
      </c>
      <c r="X1117">
        <f t="shared" si="120"/>
        <v>0.746459904361529</v>
      </c>
      <c r="AH1117" t="str">
        <f t="shared" si="126"/>
        <v>1st Quality</v>
      </c>
      <c r="AJ1117">
        <f>((T1117-X1117)*2)/10</f>
        <v>90.2900300530261</v>
      </c>
      <c r="AK1117">
        <f t="shared" si="124"/>
        <v>619057.159322034</v>
      </c>
    </row>
    <row r="1118" spans="1:37">
      <c r="A1118" t="s">
        <v>1181</v>
      </c>
      <c r="B1118">
        <v>51</v>
      </c>
      <c r="C1118" t="s">
        <v>44</v>
      </c>
      <c r="D1118" t="s">
        <v>60</v>
      </c>
      <c r="E1118">
        <v>1398</v>
      </c>
      <c r="F1118">
        <v>28</v>
      </c>
      <c r="G1118">
        <v>27</v>
      </c>
      <c r="H1118">
        <v>3825.9</v>
      </c>
      <c r="I1118">
        <v>96292.48</v>
      </c>
      <c r="J1118">
        <v>114</v>
      </c>
      <c r="K1118">
        <v>2</v>
      </c>
      <c r="L1118">
        <v>0</v>
      </c>
      <c r="M1118">
        <v>22.7</v>
      </c>
      <c r="N1118" t="s">
        <v>78</v>
      </c>
      <c r="O1118" t="s">
        <v>47</v>
      </c>
      <c r="P1118" t="s">
        <v>48</v>
      </c>
      <c r="R1118">
        <f>SUMIF(A1118:A6117,"C01117",I1118:I6117)</f>
        <v>96292.48</v>
      </c>
      <c r="S1118" s="1">
        <v>10896.82</v>
      </c>
      <c r="T1118">
        <f t="shared" si="125"/>
        <v>844.670877192982</v>
      </c>
      <c r="U1118">
        <f t="shared" si="122"/>
        <v>2587.8</v>
      </c>
      <c r="V1118">
        <f>U1118*2</f>
        <v>5175.6</v>
      </c>
      <c r="W1118">
        <f t="shared" si="123"/>
        <v>33373.1266666667</v>
      </c>
      <c r="X1118">
        <f t="shared" si="120"/>
        <v>0.365404218615228</v>
      </c>
      <c r="AH1118" t="str">
        <f t="shared" si="126"/>
        <v>3rd Quality</v>
      </c>
      <c r="AJ1118">
        <f>((T1118-X1118)*2)</f>
        <v>1688.61094594873</v>
      </c>
      <c r="AK1118">
        <f t="shared" si="124"/>
        <v>1180849.88631579</v>
      </c>
    </row>
    <row r="1119" spans="1:37">
      <c r="A1119" t="s">
        <v>1182</v>
      </c>
      <c r="B1119">
        <v>32</v>
      </c>
      <c r="C1119" t="s">
        <v>44</v>
      </c>
      <c r="D1119" t="s">
        <v>45</v>
      </c>
      <c r="E1119">
        <v>957</v>
      </c>
      <c r="F1119">
        <v>125</v>
      </c>
      <c r="G1119">
        <v>5</v>
      </c>
      <c r="H1119">
        <v>1001.84</v>
      </c>
      <c r="I1119">
        <v>4784.88</v>
      </c>
      <c r="J1119">
        <v>22</v>
      </c>
      <c r="K1119">
        <v>1</v>
      </c>
      <c r="L1119">
        <v>25</v>
      </c>
      <c r="M1119">
        <v>30.2</v>
      </c>
      <c r="N1119" t="s">
        <v>78</v>
      </c>
      <c r="O1119" t="s">
        <v>47</v>
      </c>
      <c r="P1119" t="s">
        <v>58</v>
      </c>
      <c r="R1119">
        <f>SUMIF(A1119:A6118,"C01118",I1119:I6118)</f>
        <v>4784.88</v>
      </c>
      <c r="S1119" s="1">
        <v>2170.71</v>
      </c>
      <c r="T1119">
        <f t="shared" si="125"/>
        <v>217.494545454545</v>
      </c>
      <c r="U1119">
        <f t="shared" si="122"/>
        <v>664.4</v>
      </c>
      <c r="V1119">
        <f>U1119*1</f>
        <v>664.4</v>
      </c>
      <c r="W1119">
        <f t="shared" si="123"/>
        <v>1929.24</v>
      </c>
      <c r="X1119">
        <f t="shared" si="120"/>
        <v>0.955242354068514</v>
      </c>
      <c r="AH1119" t="str">
        <f t="shared" si="126"/>
        <v>3rd Quality</v>
      </c>
      <c r="AJ1119">
        <f>((T1119-X1119)*2)/25</f>
        <v>17.3231442480381</v>
      </c>
      <c r="AK1119">
        <f t="shared" si="124"/>
        <v>208142.28</v>
      </c>
    </row>
    <row r="1120" spans="1:37">
      <c r="A1120" t="s">
        <v>1183</v>
      </c>
      <c r="B1120">
        <v>18</v>
      </c>
      <c r="C1120" t="s">
        <v>50</v>
      </c>
      <c r="D1120" t="s">
        <v>45</v>
      </c>
      <c r="E1120">
        <v>444</v>
      </c>
      <c r="F1120">
        <v>73</v>
      </c>
      <c r="G1120">
        <v>8</v>
      </c>
      <c r="H1120">
        <v>1408.96</v>
      </c>
      <c r="I1120">
        <v>10896.82</v>
      </c>
      <c r="J1120">
        <v>69</v>
      </c>
      <c r="K1120">
        <v>1</v>
      </c>
      <c r="L1120">
        <v>23.8</v>
      </c>
      <c r="M1120">
        <v>62.1</v>
      </c>
      <c r="N1120" t="s">
        <v>46</v>
      </c>
      <c r="O1120" t="s">
        <v>47</v>
      </c>
      <c r="P1120" t="s">
        <v>58</v>
      </c>
      <c r="R1120">
        <f>SUMIF(A1120:A6119,"C01119",I1120:I6119)</f>
        <v>10896.82</v>
      </c>
      <c r="S1120" s="1">
        <v>1557.59</v>
      </c>
      <c r="T1120">
        <f t="shared" si="125"/>
        <v>157.924927536232</v>
      </c>
      <c r="U1120">
        <f t="shared" si="122"/>
        <v>4284.9</v>
      </c>
      <c r="V1120">
        <f>U1120*1</f>
        <v>4284.9</v>
      </c>
      <c r="W1120">
        <f t="shared" si="123"/>
        <v>4102.26</v>
      </c>
      <c r="X1120">
        <f t="shared" si="120"/>
        <v>0.315126050420168</v>
      </c>
      <c r="AH1120" t="str">
        <f t="shared" si="126"/>
        <v>3rd Quality</v>
      </c>
      <c r="AJ1120">
        <f>((T1120-X1120)*2)/23.8</f>
        <v>13.2445211332615</v>
      </c>
      <c r="AK1120">
        <f t="shared" si="124"/>
        <v>70118.667826087</v>
      </c>
    </row>
    <row r="1121" spans="1:37">
      <c r="A1121" t="s">
        <v>1184</v>
      </c>
      <c r="B1121">
        <v>29</v>
      </c>
      <c r="C1121" t="s">
        <v>44</v>
      </c>
      <c r="D1121" t="s">
        <v>60</v>
      </c>
      <c r="E1121">
        <v>859</v>
      </c>
      <c r="F1121">
        <v>119</v>
      </c>
      <c r="G1121">
        <v>1</v>
      </c>
      <c r="H1121">
        <v>2423.29</v>
      </c>
      <c r="I1121">
        <v>2170.71</v>
      </c>
      <c r="J1121">
        <v>14</v>
      </c>
      <c r="K1121">
        <v>0</v>
      </c>
      <c r="L1121">
        <v>22.1</v>
      </c>
      <c r="M1121">
        <v>25.6</v>
      </c>
      <c r="N1121" t="s">
        <v>81</v>
      </c>
      <c r="O1121" t="s">
        <v>53</v>
      </c>
      <c r="P1121" t="s">
        <v>58</v>
      </c>
      <c r="R1121">
        <f>SUMIF(A1121:A6120,"C01120",I1121:I6120)</f>
        <v>2170.71</v>
      </c>
      <c r="S1121" s="1">
        <v>83671.42</v>
      </c>
      <c r="T1121">
        <f t="shared" si="125"/>
        <v>155.050714285714</v>
      </c>
      <c r="U1121">
        <f t="shared" si="122"/>
        <v>358.4</v>
      </c>
      <c r="V1121">
        <f t="shared" si="121"/>
        <v>29.8666666666667</v>
      </c>
      <c r="W1121">
        <f t="shared" si="123"/>
        <v>1531.66666666667</v>
      </c>
      <c r="X1121">
        <f t="shared" si="120"/>
        <v>0.354476765059073</v>
      </c>
      <c r="AH1121" t="str">
        <f t="shared" si="126"/>
        <v>3rd Quality</v>
      </c>
      <c r="AJ1121">
        <f>((T1121-X1121)*2)/22.1</f>
        <v>13.9996595041317</v>
      </c>
      <c r="AK1121">
        <f t="shared" si="124"/>
        <v>133188.563571429</v>
      </c>
    </row>
    <row r="1122" spans="1:37">
      <c r="A1122" t="s">
        <v>1185</v>
      </c>
      <c r="B1122">
        <v>41</v>
      </c>
      <c r="C1122" t="s">
        <v>101</v>
      </c>
      <c r="D1122" t="s">
        <v>45</v>
      </c>
      <c r="E1122">
        <v>1158</v>
      </c>
      <c r="F1122">
        <v>66</v>
      </c>
      <c r="G1122">
        <v>2</v>
      </c>
      <c r="H1122">
        <v>787</v>
      </c>
      <c r="I1122">
        <v>1557.59</v>
      </c>
      <c r="J1122">
        <v>19</v>
      </c>
      <c r="K1122">
        <v>0</v>
      </c>
      <c r="L1122">
        <v>28.7</v>
      </c>
      <c r="M1122">
        <v>7.1</v>
      </c>
      <c r="N1122" t="s">
        <v>81</v>
      </c>
      <c r="O1122" t="s">
        <v>75</v>
      </c>
      <c r="P1122" t="s">
        <v>58</v>
      </c>
      <c r="R1122">
        <f>SUMIF(A1122:A6121,"C01121",I1122:I6121)</f>
        <v>1557.59</v>
      </c>
      <c r="S1122" s="1">
        <v>3083.68</v>
      </c>
      <c r="T1122">
        <f t="shared" si="125"/>
        <v>81.9784210526316</v>
      </c>
      <c r="U1122">
        <f t="shared" si="122"/>
        <v>134.9</v>
      </c>
      <c r="V1122">
        <f t="shared" si="121"/>
        <v>11.2416666666667</v>
      </c>
      <c r="W1122">
        <f t="shared" si="123"/>
        <v>781.863333333333</v>
      </c>
      <c r="X1122">
        <f t="shared" si="120"/>
        <v>1.47141041931385</v>
      </c>
      <c r="AH1122" t="str">
        <f t="shared" si="126"/>
        <v>3rd Quality</v>
      </c>
      <c r="AJ1122">
        <f>((T1122-X1122)*2)/28.7</f>
        <v>5.61024464343678</v>
      </c>
      <c r="AK1122">
        <f t="shared" si="124"/>
        <v>94931.0115789474</v>
      </c>
    </row>
    <row r="1123" spans="1:37">
      <c r="A1123" t="s">
        <v>1186</v>
      </c>
      <c r="B1123">
        <v>39</v>
      </c>
      <c r="C1123" t="s">
        <v>50</v>
      </c>
      <c r="D1123" t="s">
        <v>60</v>
      </c>
      <c r="E1123">
        <v>1238</v>
      </c>
      <c r="F1123">
        <v>8</v>
      </c>
      <c r="G1123">
        <v>22</v>
      </c>
      <c r="H1123">
        <v>3561.08</v>
      </c>
      <c r="I1123">
        <v>83671.42</v>
      </c>
      <c r="J1123">
        <v>74</v>
      </c>
      <c r="K1123">
        <v>4</v>
      </c>
      <c r="L1123">
        <v>2.7</v>
      </c>
      <c r="M1123">
        <v>52.3</v>
      </c>
      <c r="N1123" t="s">
        <v>46</v>
      </c>
      <c r="O1123" t="s">
        <v>47</v>
      </c>
      <c r="P1123" t="s">
        <v>58</v>
      </c>
      <c r="R1123">
        <f>SUMIF(A1123:A6122,"C01122",I1123:I6122)</f>
        <v>83671.42</v>
      </c>
      <c r="S1123" s="1">
        <v>62739.57</v>
      </c>
      <c r="T1123">
        <f t="shared" si="125"/>
        <v>1130.69486486486</v>
      </c>
      <c r="U1123">
        <f t="shared" si="122"/>
        <v>3870.2</v>
      </c>
      <c r="V1123">
        <f>U1123*4</f>
        <v>15480.8</v>
      </c>
      <c r="W1123">
        <f t="shared" si="123"/>
        <v>29077.8333333333</v>
      </c>
      <c r="X1123">
        <f t="shared" si="120"/>
        <v>0.347647342940906</v>
      </c>
      <c r="AH1123" t="str">
        <f t="shared" si="126"/>
        <v>2nd Quality</v>
      </c>
      <c r="AJ1123">
        <f>((T1123-X1123)*2)/2.7</f>
        <v>837.294235201421</v>
      </c>
      <c r="AK1123">
        <f t="shared" si="124"/>
        <v>1399800.2427027</v>
      </c>
    </row>
    <row r="1124" spans="1:37">
      <c r="A1124" t="s">
        <v>1187</v>
      </c>
      <c r="B1124">
        <v>18</v>
      </c>
      <c r="C1124" t="s">
        <v>50</v>
      </c>
      <c r="D1124" t="s">
        <v>60</v>
      </c>
      <c r="E1124">
        <v>1222</v>
      </c>
      <c r="F1124">
        <v>66</v>
      </c>
      <c r="G1124">
        <v>4</v>
      </c>
      <c r="H1124">
        <v>744.17</v>
      </c>
      <c r="I1124">
        <v>3083.68</v>
      </c>
      <c r="J1124">
        <v>20</v>
      </c>
      <c r="K1124">
        <v>0</v>
      </c>
      <c r="L1124">
        <v>26.6</v>
      </c>
      <c r="M1124">
        <v>43.3</v>
      </c>
      <c r="N1124" t="s">
        <v>57</v>
      </c>
      <c r="O1124" t="s">
        <v>47</v>
      </c>
      <c r="P1124" t="s">
        <v>48</v>
      </c>
      <c r="R1124">
        <f>SUMIF(A1124:A6123,"C01123",I1124:I6123)</f>
        <v>3083.68</v>
      </c>
      <c r="S1124" s="1">
        <v>15753.74</v>
      </c>
      <c r="T1124">
        <f t="shared" si="125"/>
        <v>154.184</v>
      </c>
      <c r="U1124">
        <f t="shared" si="122"/>
        <v>866</v>
      </c>
      <c r="V1124">
        <f t="shared" si="121"/>
        <v>72.1666666666667</v>
      </c>
      <c r="W1124">
        <f t="shared" si="123"/>
        <v>1276.28333333333</v>
      </c>
      <c r="X1124">
        <f t="shared" si="120"/>
        <v>1.64209790773614</v>
      </c>
      <c r="AH1124" t="str">
        <f t="shared" si="126"/>
        <v>3rd Quality</v>
      </c>
      <c r="AJ1124">
        <f>((T1124-X1124)*2)/26.6</f>
        <v>11.4693159467868</v>
      </c>
      <c r="AK1124">
        <f t="shared" si="124"/>
        <v>188412.848</v>
      </c>
    </row>
    <row r="1125" spans="1:37">
      <c r="A1125" t="s">
        <v>1188</v>
      </c>
      <c r="B1125">
        <v>31</v>
      </c>
      <c r="C1125" t="s">
        <v>101</v>
      </c>
      <c r="D1125" t="s">
        <v>45</v>
      </c>
      <c r="E1125">
        <v>1225</v>
      </c>
      <c r="F1125">
        <v>1</v>
      </c>
      <c r="G1125">
        <v>21</v>
      </c>
      <c r="H1125">
        <v>2900.49</v>
      </c>
      <c r="I1125">
        <v>62739.57</v>
      </c>
      <c r="J1125">
        <v>177</v>
      </c>
      <c r="K1125">
        <v>3</v>
      </c>
      <c r="L1125">
        <v>4.3</v>
      </c>
      <c r="M1125">
        <v>56</v>
      </c>
      <c r="N1125" t="s">
        <v>81</v>
      </c>
      <c r="O1125" t="s">
        <v>53</v>
      </c>
      <c r="P1125" t="s">
        <v>58</v>
      </c>
      <c r="R1125">
        <f>SUMIF(A1125:A6124,"C01124",I1125:I6124)</f>
        <v>62739.57</v>
      </c>
      <c r="S1125" s="1">
        <v>99517.48</v>
      </c>
      <c r="T1125">
        <f t="shared" si="125"/>
        <v>354.460847457627</v>
      </c>
      <c r="U1125">
        <f t="shared" si="122"/>
        <v>9912</v>
      </c>
      <c r="V1125">
        <f>U1125*3</f>
        <v>29736</v>
      </c>
      <c r="W1125">
        <f t="shared" si="123"/>
        <v>21880.3533333333</v>
      </c>
      <c r="X1125">
        <f t="shared" si="120"/>
        <v>0.422342431796007</v>
      </c>
      <c r="AH1125" t="str">
        <f t="shared" si="126"/>
        <v>1st Quality</v>
      </c>
      <c r="AJ1125">
        <f>((T1125-X1125)*2)/4.3</f>
        <v>164.669072105038</v>
      </c>
      <c r="AK1125">
        <f t="shared" si="124"/>
        <v>434214.538135593</v>
      </c>
    </row>
    <row r="1126" spans="1:37">
      <c r="A1126" t="s">
        <v>1189</v>
      </c>
      <c r="B1126">
        <v>51</v>
      </c>
      <c r="C1126" t="s">
        <v>44</v>
      </c>
      <c r="D1126" t="s">
        <v>60</v>
      </c>
      <c r="E1126">
        <v>474</v>
      </c>
      <c r="F1126">
        <v>34</v>
      </c>
      <c r="G1126">
        <v>10</v>
      </c>
      <c r="H1126">
        <v>1536.32</v>
      </c>
      <c r="I1126">
        <v>15753.74</v>
      </c>
      <c r="J1126">
        <v>28</v>
      </c>
      <c r="K1126">
        <v>1</v>
      </c>
      <c r="L1126">
        <v>21.3</v>
      </c>
      <c r="M1126">
        <v>18.6</v>
      </c>
      <c r="N1126" t="s">
        <v>57</v>
      </c>
      <c r="O1126" t="s">
        <v>47</v>
      </c>
      <c r="P1126" t="s">
        <v>66</v>
      </c>
      <c r="R1126">
        <f>SUMIF(A1126:A6125,"C01125",I1126:I6125)</f>
        <v>15753.74</v>
      </c>
      <c r="S1126" s="1">
        <v>22188.57</v>
      </c>
      <c r="T1126">
        <f t="shared" si="125"/>
        <v>562.633571428571</v>
      </c>
      <c r="U1126">
        <f t="shared" si="122"/>
        <v>520.8</v>
      </c>
      <c r="V1126">
        <f>U1126*1</f>
        <v>520.8</v>
      </c>
      <c r="W1126">
        <f t="shared" si="123"/>
        <v>5763.68666666667</v>
      </c>
      <c r="X1126">
        <f t="shared" si="120"/>
        <v>0.308529473026453</v>
      </c>
      <c r="AH1126" t="str">
        <f t="shared" si="126"/>
        <v>3rd Quality</v>
      </c>
      <c r="AJ1126">
        <f>((T1126-X1126)*2)/21.3</f>
        <v>52.8004734230558</v>
      </c>
      <c r="AK1126">
        <f t="shared" si="124"/>
        <v>266688.312857143</v>
      </c>
    </row>
    <row r="1127" spans="1:37">
      <c r="A1127" t="s">
        <v>1190</v>
      </c>
      <c r="B1127">
        <v>25</v>
      </c>
      <c r="C1127" t="s">
        <v>44</v>
      </c>
      <c r="D1127" t="s">
        <v>45</v>
      </c>
      <c r="E1127">
        <v>1114</v>
      </c>
      <c r="F1127">
        <v>36</v>
      </c>
      <c r="G1127">
        <v>5</v>
      </c>
      <c r="H1127">
        <v>22479.49</v>
      </c>
      <c r="I1127">
        <v>99517.48</v>
      </c>
      <c r="J1127">
        <v>27</v>
      </c>
      <c r="K1127">
        <v>0</v>
      </c>
      <c r="L1127">
        <v>1.7</v>
      </c>
      <c r="M1127">
        <v>2.8</v>
      </c>
      <c r="N1127" t="s">
        <v>61</v>
      </c>
      <c r="O1127" t="s">
        <v>47</v>
      </c>
      <c r="P1127" t="s">
        <v>58</v>
      </c>
      <c r="R1127">
        <f>SUMIF(A1127:A6126,"C01126",I1127:I6126)</f>
        <v>99517.48</v>
      </c>
      <c r="S1127" s="1">
        <v>2891.62</v>
      </c>
      <c r="T1127">
        <f t="shared" si="125"/>
        <v>3685.83259259259</v>
      </c>
      <c r="U1127">
        <f t="shared" si="122"/>
        <v>75.6</v>
      </c>
      <c r="V1127">
        <f t="shared" si="121"/>
        <v>6.3</v>
      </c>
      <c r="W1127">
        <f t="shared" si="123"/>
        <v>40665.99</v>
      </c>
      <c r="X1127">
        <f t="shared" si="120"/>
        <v>0.0495562844174846</v>
      </c>
      <c r="AH1127" t="str">
        <f t="shared" si="126"/>
        <v>1st Quality</v>
      </c>
      <c r="AJ1127">
        <f>((T1127-X1127)*2)/1.7</f>
        <v>4336.21533683314</v>
      </c>
      <c r="AK1127">
        <f t="shared" si="124"/>
        <v>4106017.50814815</v>
      </c>
    </row>
    <row r="1128" spans="1:37">
      <c r="A1128" t="s">
        <v>1191</v>
      </c>
      <c r="B1128">
        <v>24</v>
      </c>
      <c r="C1128" t="s">
        <v>50</v>
      </c>
      <c r="D1128" t="s">
        <v>60</v>
      </c>
      <c r="E1128">
        <v>1452</v>
      </c>
      <c r="F1128">
        <v>34</v>
      </c>
      <c r="G1128">
        <v>2</v>
      </c>
      <c r="H1128">
        <v>12595.82</v>
      </c>
      <c r="I1128">
        <v>22188.57</v>
      </c>
      <c r="J1128">
        <v>18</v>
      </c>
      <c r="K1128">
        <v>1</v>
      </c>
      <c r="L1128">
        <v>0</v>
      </c>
      <c r="M1128">
        <v>24</v>
      </c>
      <c r="N1128" t="s">
        <v>78</v>
      </c>
      <c r="O1128" t="s">
        <v>75</v>
      </c>
      <c r="P1128" t="s">
        <v>58</v>
      </c>
      <c r="R1128">
        <f>SUMIF(A1128:A6127,"C01127",I1128:I6127)</f>
        <v>22188.57</v>
      </c>
      <c r="S1128" s="1">
        <v>56040.12</v>
      </c>
      <c r="T1128">
        <f t="shared" si="125"/>
        <v>1232.69833333333</v>
      </c>
      <c r="U1128">
        <f t="shared" si="122"/>
        <v>432</v>
      </c>
      <c r="V1128">
        <f>U1128*1</f>
        <v>432</v>
      </c>
      <c r="W1128">
        <f t="shared" si="123"/>
        <v>11595.13</v>
      </c>
      <c r="X1128">
        <f t="shared" si="120"/>
        <v>0.115276337705683</v>
      </c>
      <c r="AH1128" t="str">
        <f t="shared" si="126"/>
        <v>2nd Quality</v>
      </c>
      <c r="AJ1128">
        <f>((T1128-X1128)*2)</f>
        <v>2465.16611399125</v>
      </c>
      <c r="AK1128">
        <f t="shared" si="124"/>
        <v>1789877.98</v>
      </c>
    </row>
    <row r="1129" spans="1:37">
      <c r="A1129" t="s">
        <v>1192</v>
      </c>
      <c r="B1129">
        <v>34</v>
      </c>
      <c r="C1129" t="s">
        <v>50</v>
      </c>
      <c r="D1129" t="s">
        <v>45</v>
      </c>
      <c r="E1129">
        <v>815</v>
      </c>
      <c r="F1129">
        <v>280</v>
      </c>
      <c r="G1129">
        <v>3</v>
      </c>
      <c r="H1129">
        <v>1047.02</v>
      </c>
      <c r="I1129">
        <v>2891.62</v>
      </c>
      <c r="J1129">
        <v>19</v>
      </c>
      <c r="K1129">
        <v>0</v>
      </c>
      <c r="L1129">
        <v>21.3</v>
      </c>
      <c r="M1129">
        <v>35.6</v>
      </c>
      <c r="N1129" t="s">
        <v>81</v>
      </c>
      <c r="O1129" t="s">
        <v>53</v>
      </c>
      <c r="P1129" t="s">
        <v>68</v>
      </c>
      <c r="R1129">
        <f>SUMIF(A1129:A6128,"C01128",I1129:I6128)</f>
        <v>2891.62</v>
      </c>
      <c r="S1129" s="1">
        <v>756.32</v>
      </c>
      <c r="T1129">
        <f t="shared" si="125"/>
        <v>152.190526315789</v>
      </c>
      <c r="U1129">
        <f t="shared" si="122"/>
        <v>676.4</v>
      </c>
      <c r="V1129">
        <f t="shared" si="121"/>
        <v>56.3666666666667</v>
      </c>
      <c r="W1129">
        <f t="shared" si="123"/>
        <v>1313.21333333333</v>
      </c>
      <c r="X1129">
        <f t="shared" si="120"/>
        <v>0.778399648526294</v>
      </c>
      <c r="AH1129" t="str">
        <f t="shared" si="126"/>
        <v>3rd Quality</v>
      </c>
      <c r="AJ1129">
        <f>((T1129-X1129)*2)/21.3</f>
        <v>14.2171010955176</v>
      </c>
      <c r="AK1129">
        <f t="shared" si="124"/>
        <v>124035.278947368</v>
      </c>
    </row>
    <row r="1130" spans="1:37">
      <c r="A1130" t="s">
        <v>1193</v>
      </c>
      <c r="B1130">
        <v>49</v>
      </c>
      <c r="C1130" t="s">
        <v>44</v>
      </c>
      <c r="D1130" t="s">
        <v>45</v>
      </c>
      <c r="E1130">
        <v>929</v>
      </c>
      <c r="F1130">
        <v>93</v>
      </c>
      <c r="G1130">
        <v>4</v>
      </c>
      <c r="H1130">
        <v>12745.76</v>
      </c>
      <c r="I1130">
        <v>56040.12</v>
      </c>
      <c r="J1130">
        <v>29</v>
      </c>
      <c r="K1130">
        <v>1</v>
      </c>
      <c r="L1130">
        <v>0</v>
      </c>
      <c r="M1130">
        <v>25.4</v>
      </c>
      <c r="N1130" t="s">
        <v>57</v>
      </c>
      <c r="O1130" t="s">
        <v>47</v>
      </c>
      <c r="P1130" t="s">
        <v>54</v>
      </c>
      <c r="R1130">
        <f>SUMIF(A1130:A6129,"C01129",I1130:I6129)</f>
        <v>56040.12</v>
      </c>
      <c r="S1130" s="1">
        <v>1954.58</v>
      </c>
      <c r="T1130">
        <f t="shared" si="125"/>
        <v>1932.41793103448</v>
      </c>
      <c r="U1130">
        <f t="shared" si="122"/>
        <v>736.6</v>
      </c>
      <c r="V1130">
        <f>U1130*1</f>
        <v>736.6</v>
      </c>
      <c r="W1130">
        <f t="shared" si="123"/>
        <v>22928.96</v>
      </c>
      <c r="X1130">
        <f t="shared" si="120"/>
        <v>0.0728869835929752</v>
      </c>
      <c r="AH1130" t="str">
        <f t="shared" si="126"/>
        <v>3rd Quality</v>
      </c>
      <c r="AJ1130">
        <f>((T1130-X1130)*2)</f>
        <v>3864.69008810177</v>
      </c>
      <c r="AK1130">
        <f t="shared" si="124"/>
        <v>1795216.25793103</v>
      </c>
    </row>
    <row r="1131" spans="1:37">
      <c r="A1131" t="s">
        <v>1194</v>
      </c>
      <c r="B1131">
        <v>19</v>
      </c>
      <c r="C1131" t="s">
        <v>50</v>
      </c>
      <c r="D1131" t="s">
        <v>51</v>
      </c>
      <c r="E1131">
        <v>661</v>
      </c>
      <c r="F1131">
        <v>33</v>
      </c>
      <c r="G1131">
        <v>1</v>
      </c>
      <c r="H1131">
        <v>696.61</v>
      </c>
      <c r="I1131">
        <v>756.32</v>
      </c>
      <c r="J1131">
        <v>16</v>
      </c>
      <c r="K1131">
        <v>0</v>
      </c>
      <c r="L1131">
        <v>24.6</v>
      </c>
      <c r="M1131">
        <v>31.6</v>
      </c>
      <c r="N1131" t="s">
        <v>52</v>
      </c>
      <c r="O1131" t="s">
        <v>47</v>
      </c>
      <c r="P1131" t="s">
        <v>68</v>
      </c>
      <c r="R1131">
        <f>SUMIF(A1131:A6130,"C01130",I1131:I6130)</f>
        <v>756.32</v>
      </c>
      <c r="S1131" s="1">
        <v>65288.88</v>
      </c>
      <c r="T1131">
        <f t="shared" si="125"/>
        <v>47.27</v>
      </c>
      <c r="U1131">
        <f t="shared" si="122"/>
        <v>505.6</v>
      </c>
      <c r="V1131">
        <f t="shared" si="121"/>
        <v>42.1333333333333</v>
      </c>
      <c r="W1131">
        <f t="shared" si="123"/>
        <v>484.643333333333</v>
      </c>
      <c r="X1131">
        <f t="shared" si="120"/>
        <v>0.9488810094601</v>
      </c>
      <c r="AH1131" t="str">
        <f t="shared" si="126"/>
        <v>3rd Quality</v>
      </c>
      <c r="AJ1131">
        <f>((T1131-X1131)*2)/24.6</f>
        <v>3.76594463337723</v>
      </c>
      <c r="AK1131">
        <f t="shared" si="124"/>
        <v>31245.47</v>
      </c>
    </row>
    <row r="1132" spans="1:37">
      <c r="A1132" t="s">
        <v>1195</v>
      </c>
      <c r="B1132">
        <v>37</v>
      </c>
      <c r="C1132" t="s">
        <v>44</v>
      </c>
      <c r="D1132" t="s">
        <v>51</v>
      </c>
      <c r="E1132">
        <v>1244</v>
      </c>
      <c r="F1132">
        <v>365</v>
      </c>
      <c r="G1132">
        <v>1</v>
      </c>
      <c r="H1132">
        <v>1919.21</v>
      </c>
      <c r="I1132">
        <v>1954.58</v>
      </c>
      <c r="J1132">
        <v>16</v>
      </c>
      <c r="K1132">
        <v>1</v>
      </c>
      <c r="L1132">
        <v>22</v>
      </c>
      <c r="M1132">
        <v>23.6</v>
      </c>
      <c r="N1132" t="s">
        <v>52</v>
      </c>
      <c r="O1132" t="s">
        <v>47</v>
      </c>
      <c r="P1132" t="s">
        <v>48</v>
      </c>
      <c r="R1132">
        <f>SUMIF(A1132:A6131,"C01131",I1132:I6131)</f>
        <v>1954.58</v>
      </c>
      <c r="S1132" s="1">
        <v>73439.94</v>
      </c>
      <c r="T1132">
        <f t="shared" si="125"/>
        <v>122.16125</v>
      </c>
      <c r="U1132">
        <f t="shared" si="122"/>
        <v>377.6</v>
      </c>
      <c r="V1132">
        <f>U1132*1</f>
        <v>377.6</v>
      </c>
      <c r="W1132">
        <f t="shared" si="123"/>
        <v>1291.59666666667</v>
      </c>
      <c r="X1132">
        <f t="shared" si="120"/>
        <v>0.648183367114594</v>
      </c>
      <c r="AH1132" t="str">
        <f t="shared" si="126"/>
        <v>3rd Quality</v>
      </c>
      <c r="AJ1132">
        <f>((T1132-X1132)*2)/22</f>
        <v>11.0466424211714</v>
      </c>
      <c r="AK1132">
        <f t="shared" si="124"/>
        <v>151968.595</v>
      </c>
    </row>
    <row r="1133" spans="1:37">
      <c r="A1133" t="s">
        <v>1196</v>
      </c>
      <c r="B1133">
        <v>29</v>
      </c>
      <c r="C1133" t="s">
        <v>50</v>
      </c>
      <c r="D1133" t="s">
        <v>51</v>
      </c>
      <c r="E1133">
        <v>763</v>
      </c>
      <c r="F1133">
        <v>85</v>
      </c>
      <c r="G1133">
        <v>5</v>
      </c>
      <c r="H1133">
        <v>13427.06</v>
      </c>
      <c r="I1133">
        <v>65288.88</v>
      </c>
      <c r="J1133">
        <v>24</v>
      </c>
      <c r="K1133">
        <v>0</v>
      </c>
      <c r="L1133">
        <v>0</v>
      </c>
      <c r="M1133">
        <v>39.7</v>
      </c>
      <c r="N1133" t="s">
        <v>81</v>
      </c>
      <c r="O1133" t="s">
        <v>47</v>
      </c>
      <c r="P1133" t="s">
        <v>68</v>
      </c>
      <c r="R1133">
        <f>SUMIF(A1133:A6132,"C01132",I1133:I6132)</f>
        <v>65288.88</v>
      </c>
      <c r="S1133" s="1">
        <v>2996.29</v>
      </c>
      <c r="T1133">
        <f t="shared" si="125"/>
        <v>2720.37</v>
      </c>
      <c r="U1133">
        <f t="shared" si="122"/>
        <v>952.8</v>
      </c>
      <c r="V1133">
        <f t="shared" si="121"/>
        <v>79.4</v>
      </c>
      <c r="W1133">
        <f t="shared" si="123"/>
        <v>26238.98</v>
      </c>
      <c r="X1133">
        <f t="shared" si="120"/>
        <v>0.0568255448325992</v>
      </c>
      <c r="AH1133" t="str">
        <f t="shared" si="126"/>
        <v>2nd Quality</v>
      </c>
      <c r="AJ1133">
        <f>((T1133-X1133)*2)</f>
        <v>5440.62634891033</v>
      </c>
      <c r="AK1133">
        <f t="shared" si="124"/>
        <v>2075642.31</v>
      </c>
    </row>
    <row r="1134" spans="1:37">
      <c r="A1134" t="s">
        <v>1197</v>
      </c>
      <c r="B1134">
        <v>18</v>
      </c>
      <c r="C1134" t="s">
        <v>44</v>
      </c>
      <c r="D1134" t="s">
        <v>45</v>
      </c>
      <c r="E1134">
        <v>1447</v>
      </c>
      <c r="F1134">
        <v>1</v>
      </c>
      <c r="G1134">
        <v>20</v>
      </c>
      <c r="H1134">
        <v>3304.33</v>
      </c>
      <c r="I1134">
        <v>73439.94</v>
      </c>
      <c r="J1134">
        <v>69</v>
      </c>
      <c r="K1134">
        <v>0</v>
      </c>
      <c r="L1134">
        <v>13.6</v>
      </c>
      <c r="M1134">
        <v>45</v>
      </c>
      <c r="N1134" t="s">
        <v>78</v>
      </c>
      <c r="O1134" t="s">
        <v>47</v>
      </c>
      <c r="P1134" t="s">
        <v>58</v>
      </c>
      <c r="R1134">
        <f>SUMIF(A1134:A6133,"C01133",I1134:I6133)</f>
        <v>73439.94</v>
      </c>
      <c r="S1134" s="1">
        <v>1074.4</v>
      </c>
      <c r="T1134">
        <f t="shared" si="125"/>
        <v>1064.34695652174</v>
      </c>
      <c r="U1134">
        <f t="shared" si="122"/>
        <v>3105</v>
      </c>
      <c r="V1134">
        <f t="shared" si="121"/>
        <v>258.75</v>
      </c>
      <c r="W1134">
        <f t="shared" si="123"/>
        <v>25581.7566666667</v>
      </c>
      <c r="X1134">
        <f t="shared" si="120"/>
        <v>0.43791025714744</v>
      </c>
      <c r="AH1134" t="str">
        <f t="shared" si="126"/>
        <v>1st Quality</v>
      </c>
      <c r="AJ1134">
        <f>((T1134-X1134)*2)/13.6</f>
        <v>156.457212685969</v>
      </c>
      <c r="AK1134">
        <f t="shared" si="124"/>
        <v>1540110.04608696</v>
      </c>
    </row>
    <row r="1135" spans="1:37">
      <c r="A1135" t="s">
        <v>1198</v>
      </c>
      <c r="B1135">
        <v>32</v>
      </c>
      <c r="C1135" t="s">
        <v>50</v>
      </c>
      <c r="D1135" t="s">
        <v>45</v>
      </c>
      <c r="E1135">
        <v>995</v>
      </c>
      <c r="F1135">
        <v>144</v>
      </c>
      <c r="G1135">
        <v>4</v>
      </c>
      <c r="H1135">
        <v>836.17</v>
      </c>
      <c r="I1135">
        <v>2996.29</v>
      </c>
      <c r="J1135">
        <v>34</v>
      </c>
      <c r="K1135">
        <v>0</v>
      </c>
      <c r="L1135">
        <v>29.3</v>
      </c>
      <c r="M1135">
        <v>14.4</v>
      </c>
      <c r="N1135" t="s">
        <v>52</v>
      </c>
      <c r="O1135" t="s">
        <v>47</v>
      </c>
      <c r="P1135" t="s">
        <v>66</v>
      </c>
      <c r="R1135">
        <f>SUMIF(A1135:A6134,"C01134",I1135:I6134)</f>
        <v>2996.29</v>
      </c>
      <c r="S1135" s="1">
        <v>5891.27</v>
      </c>
      <c r="T1135">
        <f t="shared" si="125"/>
        <v>88.1261764705882</v>
      </c>
      <c r="U1135">
        <f t="shared" si="122"/>
        <v>489.6</v>
      </c>
      <c r="V1135">
        <f t="shared" si="121"/>
        <v>40.8</v>
      </c>
      <c r="W1135">
        <f t="shared" si="123"/>
        <v>1277.82</v>
      </c>
      <c r="X1135">
        <f t="shared" ref="X1135:X1198" si="127">E1135/H1135</f>
        <v>1.18994941220087</v>
      </c>
      <c r="AH1135" t="str">
        <f t="shared" si="126"/>
        <v>3rd Quality</v>
      </c>
      <c r="AJ1135">
        <f>((T1135-X1135)*2)/29.3</f>
        <v>5.93421345108446</v>
      </c>
      <c r="AK1135">
        <f t="shared" si="124"/>
        <v>87685.5455882353</v>
      </c>
    </row>
    <row r="1136" spans="1:37">
      <c r="A1136" t="s">
        <v>1199</v>
      </c>
      <c r="B1136">
        <v>29</v>
      </c>
      <c r="C1136" t="s">
        <v>50</v>
      </c>
      <c r="D1136" t="s">
        <v>45</v>
      </c>
      <c r="E1136">
        <v>742</v>
      </c>
      <c r="F1136">
        <v>206</v>
      </c>
      <c r="G1136">
        <v>1</v>
      </c>
      <c r="H1136">
        <v>1189.4</v>
      </c>
      <c r="I1136">
        <v>1074.4</v>
      </c>
      <c r="J1136">
        <v>17</v>
      </c>
      <c r="K1136">
        <v>0</v>
      </c>
      <c r="L1136">
        <v>8</v>
      </c>
      <c r="M1136">
        <v>60.5</v>
      </c>
      <c r="N1136" t="s">
        <v>78</v>
      </c>
      <c r="O1136" t="s">
        <v>47</v>
      </c>
      <c r="P1136" t="s">
        <v>58</v>
      </c>
      <c r="R1136">
        <f>SUMIF(A1136:A6135,"C01135",I1136:I6135)</f>
        <v>1074.4</v>
      </c>
      <c r="S1136" s="1">
        <v>9947.26</v>
      </c>
      <c r="T1136">
        <f t="shared" si="125"/>
        <v>63.2</v>
      </c>
      <c r="U1136">
        <f t="shared" si="122"/>
        <v>1028.5</v>
      </c>
      <c r="V1136">
        <f t="shared" si="121"/>
        <v>85.7083333333333</v>
      </c>
      <c r="W1136">
        <f t="shared" si="123"/>
        <v>754.933333333333</v>
      </c>
      <c r="X1136">
        <f t="shared" si="127"/>
        <v>0.623843954935261</v>
      </c>
      <c r="AH1136" t="str">
        <f t="shared" si="126"/>
        <v>3rd Quality</v>
      </c>
      <c r="AJ1136">
        <f>((T1136-X1136)*2)/8</f>
        <v>15.6440390112662</v>
      </c>
      <c r="AK1136">
        <f t="shared" si="124"/>
        <v>46894.4</v>
      </c>
    </row>
    <row r="1137" spans="1:37">
      <c r="A1137" t="s">
        <v>1200</v>
      </c>
      <c r="B1137">
        <v>34</v>
      </c>
      <c r="C1137" t="s">
        <v>44</v>
      </c>
      <c r="D1137" t="s">
        <v>45</v>
      </c>
      <c r="E1137">
        <v>985</v>
      </c>
      <c r="F1137">
        <v>99</v>
      </c>
      <c r="G1137">
        <v>5</v>
      </c>
      <c r="H1137">
        <v>1145</v>
      </c>
      <c r="I1137">
        <v>5891.27</v>
      </c>
      <c r="J1137">
        <v>33</v>
      </c>
      <c r="K1137">
        <v>1</v>
      </c>
      <c r="L1137">
        <v>14.6</v>
      </c>
      <c r="M1137">
        <v>53.2</v>
      </c>
      <c r="N1137" t="s">
        <v>61</v>
      </c>
      <c r="O1137" t="s">
        <v>53</v>
      </c>
      <c r="P1137" t="s">
        <v>48</v>
      </c>
      <c r="R1137">
        <f>SUMIF(A1137:A6136,"C01136",I1137:I6136)</f>
        <v>5891.27</v>
      </c>
      <c r="S1137" s="1">
        <v>30823.76</v>
      </c>
      <c r="T1137">
        <f t="shared" si="125"/>
        <v>178.523333333333</v>
      </c>
      <c r="U1137">
        <f t="shared" si="122"/>
        <v>1755.6</v>
      </c>
      <c r="V1137">
        <f>U1137*1</f>
        <v>1755.6</v>
      </c>
      <c r="W1137">
        <f t="shared" si="123"/>
        <v>2345.75666666667</v>
      </c>
      <c r="X1137">
        <f t="shared" si="127"/>
        <v>0.860262008733624</v>
      </c>
      <c r="AH1137" t="str">
        <f t="shared" si="126"/>
        <v>3rd Quality</v>
      </c>
      <c r="AJ1137">
        <f>((T1137-X1137)*2)/14.6</f>
        <v>24.337407030767</v>
      </c>
      <c r="AK1137">
        <f t="shared" si="124"/>
        <v>175845.483333333</v>
      </c>
    </row>
    <row r="1138" spans="1:37">
      <c r="A1138" t="s">
        <v>1201</v>
      </c>
      <c r="B1138">
        <v>26</v>
      </c>
      <c r="C1138" t="s">
        <v>50</v>
      </c>
      <c r="D1138" t="s">
        <v>45</v>
      </c>
      <c r="E1138">
        <v>413</v>
      </c>
      <c r="F1138">
        <v>95</v>
      </c>
      <c r="G1138">
        <v>10</v>
      </c>
      <c r="H1138">
        <v>983.51</v>
      </c>
      <c r="I1138">
        <v>9947.26</v>
      </c>
      <c r="J1138">
        <v>68</v>
      </c>
      <c r="K1138">
        <v>0</v>
      </c>
      <c r="L1138">
        <v>21</v>
      </c>
      <c r="M1138">
        <v>45.9</v>
      </c>
      <c r="N1138" t="s">
        <v>57</v>
      </c>
      <c r="O1138" t="s">
        <v>47</v>
      </c>
      <c r="P1138" t="s">
        <v>48</v>
      </c>
      <c r="R1138">
        <f>SUMIF(A1138:A6137,"C01137",I1138:I6137)</f>
        <v>9947.26</v>
      </c>
      <c r="S1138" s="1">
        <v>121463.2</v>
      </c>
      <c r="T1138">
        <f t="shared" si="125"/>
        <v>146.283235294118</v>
      </c>
      <c r="U1138">
        <f t="shared" si="122"/>
        <v>3121.2</v>
      </c>
      <c r="V1138">
        <f>U1138/12</f>
        <v>260.1</v>
      </c>
      <c r="W1138">
        <f t="shared" si="123"/>
        <v>3643.92333333333</v>
      </c>
      <c r="X1138">
        <f t="shared" si="127"/>
        <v>0.41992455592724</v>
      </c>
      <c r="AH1138" t="str">
        <f t="shared" si="126"/>
        <v>3rd Quality</v>
      </c>
      <c r="AJ1138">
        <f>((T1138-X1138)*2)/21</f>
        <v>13.8917438798277</v>
      </c>
      <c r="AK1138">
        <f t="shared" si="124"/>
        <v>60414.9761764706</v>
      </c>
    </row>
    <row r="1139" spans="1:37">
      <c r="A1139" t="s">
        <v>1202</v>
      </c>
      <c r="B1139">
        <v>32</v>
      </c>
      <c r="C1139" t="s">
        <v>50</v>
      </c>
      <c r="D1139" t="s">
        <v>60</v>
      </c>
      <c r="E1139">
        <v>1378</v>
      </c>
      <c r="F1139">
        <v>184</v>
      </c>
      <c r="G1139">
        <v>14</v>
      </c>
      <c r="H1139">
        <v>1973.71</v>
      </c>
      <c r="I1139">
        <v>30823.76</v>
      </c>
      <c r="J1139">
        <v>110</v>
      </c>
      <c r="K1139">
        <v>1</v>
      </c>
      <c r="L1139">
        <v>27.2</v>
      </c>
      <c r="M1139">
        <v>25.8</v>
      </c>
      <c r="N1139" t="s">
        <v>61</v>
      </c>
      <c r="O1139" t="s">
        <v>47</v>
      </c>
      <c r="P1139" t="s">
        <v>68</v>
      </c>
      <c r="R1139">
        <f>SUMIF(A1139:A6138,"C01138",I1139:I6138)</f>
        <v>30823.76</v>
      </c>
      <c r="S1139" s="1">
        <v>1959.74</v>
      </c>
      <c r="T1139">
        <f t="shared" si="125"/>
        <v>280.216</v>
      </c>
      <c r="U1139">
        <f t="shared" si="122"/>
        <v>2838</v>
      </c>
      <c r="V1139">
        <f>U1139*1</f>
        <v>2838</v>
      </c>
      <c r="W1139">
        <f t="shared" si="123"/>
        <v>10932.8233333333</v>
      </c>
      <c r="X1139">
        <f t="shared" si="127"/>
        <v>0.698177543813427</v>
      </c>
      <c r="AH1139" t="str">
        <f t="shared" si="126"/>
        <v>2nd Quality</v>
      </c>
      <c r="AJ1139">
        <f>((T1139-X1139)*2)/27.2</f>
        <v>20.5527810629549</v>
      </c>
      <c r="AK1139">
        <f t="shared" si="124"/>
        <v>386137.648</v>
      </c>
    </row>
    <row r="1140" spans="1:37">
      <c r="A1140" t="s">
        <v>1203</v>
      </c>
      <c r="B1140">
        <v>25</v>
      </c>
      <c r="C1140" t="s">
        <v>44</v>
      </c>
      <c r="D1140" t="s">
        <v>51</v>
      </c>
      <c r="E1140">
        <v>869</v>
      </c>
      <c r="F1140">
        <v>16</v>
      </c>
      <c r="G1140">
        <v>20</v>
      </c>
      <c r="H1140">
        <v>5662.04</v>
      </c>
      <c r="I1140">
        <v>121463.2</v>
      </c>
      <c r="J1140">
        <v>47</v>
      </c>
      <c r="K1140">
        <v>0</v>
      </c>
      <c r="L1140">
        <v>13.2</v>
      </c>
      <c r="M1140">
        <v>5.6</v>
      </c>
      <c r="N1140" t="s">
        <v>57</v>
      </c>
      <c r="O1140" t="s">
        <v>75</v>
      </c>
      <c r="P1140" t="s">
        <v>58</v>
      </c>
      <c r="R1140">
        <f>SUMIF(A1140:A6139,"C01139",I1140:I6139)</f>
        <v>121463.2</v>
      </c>
      <c r="S1140" s="1">
        <v>9264.36</v>
      </c>
      <c r="T1140">
        <f t="shared" si="125"/>
        <v>2584.32340425532</v>
      </c>
      <c r="U1140">
        <f t="shared" si="122"/>
        <v>263.2</v>
      </c>
      <c r="V1140">
        <f t="shared" si="121"/>
        <v>21.9333333333333</v>
      </c>
      <c r="W1140">
        <f t="shared" si="123"/>
        <v>42375.4133333333</v>
      </c>
      <c r="X1140">
        <f t="shared" si="127"/>
        <v>0.153478251654881</v>
      </c>
      <c r="AH1140" t="str">
        <f t="shared" si="126"/>
        <v>2nd Quality</v>
      </c>
      <c r="AJ1140">
        <f>((T1140-X1140)*2)/13.2</f>
        <v>391.540897879343</v>
      </c>
      <c r="AK1140">
        <f t="shared" si="124"/>
        <v>2245777.03829787</v>
      </c>
    </row>
    <row r="1141" spans="1:37">
      <c r="A1141" t="s">
        <v>1204</v>
      </c>
      <c r="B1141">
        <v>48</v>
      </c>
      <c r="C1141" t="s">
        <v>50</v>
      </c>
      <c r="D1141" t="s">
        <v>60</v>
      </c>
      <c r="E1141">
        <v>868</v>
      </c>
      <c r="F1141">
        <v>129</v>
      </c>
      <c r="G1141">
        <v>1</v>
      </c>
      <c r="H1141">
        <v>1773.24</v>
      </c>
      <c r="I1141">
        <v>1959.74</v>
      </c>
      <c r="J1141">
        <v>13</v>
      </c>
      <c r="K1141">
        <v>0</v>
      </c>
      <c r="L1141">
        <v>25.2</v>
      </c>
      <c r="M1141">
        <v>35.2</v>
      </c>
      <c r="N1141" t="s">
        <v>61</v>
      </c>
      <c r="O1141" t="s">
        <v>47</v>
      </c>
      <c r="P1141" t="s">
        <v>58</v>
      </c>
      <c r="R1141">
        <f>SUMIF(A1141:A6140,"C01140",I1141:I6140)</f>
        <v>1959.74</v>
      </c>
      <c r="S1141" s="1">
        <v>2180.66</v>
      </c>
      <c r="T1141">
        <f t="shared" si="125"/>
        <v>150.749230769231</v>
      </c>
      <c r="U1141">
        <f t="shared" si="122"/>
        <v>457.6</v>
      </c>
      <c r="V1141">
        <f t="shared" si="121"/>
        <v>38.1333333333333</v>
      </c>
      <c r="W1141">
        <f t="shared" si="123"/>
        <v>1244.66</v>
      </c>
      <c r="X1141">
        <f t="shared" si="127"/>
        <v>0.489499447339334</v>
      </c>
      <c r="AH1141" t="str">
        <f t="shared" si="126"/>
        <v>3rd Quality</v>
      </c>
      <c r="AJ1141">
        <f>((T1141-X1141)*2)/25.2</f>
        <v>11.9253755017374</v>
      </c>
      <c r="AK1141">
        <f t="shared" si="124"/>
        <v>130850.332307692</v>
      </c>
    </row>
    <row r="1142" spans="1:37">
      <c r="A1142" t="s">
        <v>1205</v>
      </c>
      <c r="B1142">
        <v>20</v>
      </c>
      <c r="C1142" t="s">
        <v>50</v>
      </c>
      <c r="D1142" t="s">
        <v>60</v>
      </c>
      <c r="E1142">
        <v>816</v>
      </c>
      <c r="F1142">
        <v>16</v>
      </c>
      <c r="G1142">
        <v>9</v>
      </c>
      <c r="H1142">
        <v>977.37</v>
      </c>
      <c r="I1142">
        <v>9264.36</v>
      </c>
      <c r="J1142">
        <v>79</v>
      </c>
      <c r="K1142">
        <v>1</v>
      </c>
      <c r="L1142">
        <v>25.2</v>
      </c>
      <c r="M1142">
        <v>53</v>
      </c>
      <c r="N1142" t="s">
        <v>81</v>
      </c>
      <c r="O1142" t="s">
        <v>47</v>
      </c>
      <c r="P1142" t="s">
        <v>58</v>
      </c>
      <c r="R1142">
        <f>SUMIF(A1142:A6141,"C01141",I1142:I6141)</f>
        <v>9264.36</v>
      </c>
      <c r="S1142" s="1">
        <v>4675.66</v>
      </c>
      <c r="T1142">
        <f t="shared" si="125"/>
        <v>117.270379746835</v>
      </c>
      <c r="U1142">
        <f t="shared" si="122"/>
        <v>4187</v>
      </c>
      <c r="V1142">
        <f>U1142*1</f>
        <v>4187</v>
      </c>
      <c r="W1142">
        <f t="shared" si="123"/>
        <v>3414.24333333333</v>
      </c>
      <c r="X1142">
        <f t="shared" si="127"/>
        <v>0.834893643144357</v>
      </c>
      <c r="AH1142" t="str">
        <f t="shared" si="126"/>
        <v>3rd Quality</v>
      </c>
      <c r="AJ1142">
        <f>((T1142-X1142)*2)/25.2</f>
        <v>9.240911595531</v>
      </c>
      <c r="AK1142">
        <f t="shared" si="124"/>
        <v>95692.6298734177</v>
      </c>
    </row>
    <row r="1143" spans="1:37">
      <c r="A1143" t="s">
        <v>1206</v>
      </c>
      <c r="B1143">
        <v>33</v>
      </c>
      <c r="C1143" t="s">
        <v>44</v>
      </c>
      <c r="D1143" t="s">
        <v>60</v>
      </c>
      <c r="E1143">
        <v>1097</v>
      </c>
      <c r="F1143">
        <v>58</v>
      </c>
      <c r="G1143">
        <v>3</v>
      </c>
      <c r="H1143">
        <v>659.34</v>
      </c>
      <c r="I1143">
        <v>2180.66</v>
      </c>
      <c r="J1143">
        <v>21</v>
      </c>
      <c r="K1143">
        <v>0</v>
      </c>
      <c r="L1143">
        <v>27.9</v>
      </c>
      <c r="M1143">
        <v>5.1</v>
      </c>
      <c r="N1143" t="s">
        <v>63</v>
      </c>
      <c r="O1143" t="s">
        <v>75</v>
      </c>
      <c r="P1143" t="s">
        <v>58</v>
      </c>
      <c r="R1143">
        <f>SUMIF(A1143:A6142,"C01142",I1143:I6142)</f>
        <v>2180.66</v>
      </c>
      <c r="S1143" s="1">
        <v>580.76</v>
      </c>
      <c r="T1143">
        <f t="shared" si="125"/>
        <v>103.840952380952</v>
      </c>
      <c r="U1143">
        <f t="shared" si="122"/>
        <v>107.1</v>
      </c>
      <c r="V1143">
        <f t="shared" si="121"/>
        <v>8.925</v>
      </c>
      <c r="W1143">
        <f t="shared" si="123"/>
        <v>947</v>
      </c>
      <c r="X1143">
        <f t="shared" si="127"/>
        <v>1.66378499711833</v>
      </c>
      <c r="AH1143" t="str">
        <f t="shared" si="126"/>
        <v>3rd Quality</v>
      </c>
      <c r="AJ1143">
        <f>((T1143-X1143)*2)/27.9</f>
        <v>7.32452812787338</v>
      </c>
      <c r="AK1143">
        <f t="shared" si="124"/>
        <v>113913.524761905</v>
      </c>
    </row>
    <row r="1144" spans="1:37">
      <c r="A1144" t="s">
        <v>1207</v>
      </c>
      <c r="B1144">
        <v>28</v>
      </c>
      <c r="C1144" t="s">
        <v>50</v>
      </c>
      <c r="D1144" t="s">
        <v>60</v>
      </c>
      <c r="E1144">
        <v>1221</v>
      </c>
      <c r="F1144">
        <v>134</v>
      </c>
      <c r="G1144">
        <v>7</v>
      </c>
      <c r="H1144">
        <v>639.29</v>
      </c>
      <c r="I1144">
        <v>4675.66</v>
      </c>
      <c r="J1144">
        <v>38</v>
      </c>
      <c r="K1144">
        <v>1</v>
      </c>
      <c r="L1144">
        <v>23.9</v>
      </c>
      <c r="M1144">
        <v>35</v>
      </c>
      <c r="N1144" t="s">
        <v>61</v>
      </c>
      <c r="O1144" t="s">
        <v>75</v>
      </c>
      <c r="P1144" t="s">
        <v>48</v>
      </c>
      <c r="R1144">
        <f>SUMIF(A1144:A6143,"C01143",I1144:I6143)</f>
        <v>4675.66</v>
      </c>
      <c r="S1144" s="1">
        <v>7520.62</v>
      </c>
      <c r="T1144">
        <f t="shared" si="125"/>
        <v>123.043684210526</v>
      </c>
      <c r="U1144">
        <f t="shared" si="122"/>
        <v>1330</v>
      </c>
      <c r="V1144">
        <f>U1144*1</f>
        <v>1330</v>
      </c>
      <c r="W1144">
        <f t="shared" si="123"/>
        <v>1771.98333333333</v>
      </c>
      <c r="X1144">
        <f t="shared" si="127"/>
        <v>1.9099313300693</v>
      </c>
      <c r="AH1144" t="str">
        <f t="shared" si="126"/>
        <v>3rd Quality</v>
      </c>
      <c r="AJ1144">
        <f>((T1144-X1144)*2)/23.9</f>
        <v>10.1367157222139</v>
      </c>
      <c r="AK1144">
        <f t="shared" si="124"/>
        <v>150236.338421053</v>
      </c>
    </row>
    <row r="1145" spans="1:37">
      <c r="A1145" t="s">
        <v>1208</v>
      </c>
      <c r="B1145">
        <v>29</v>
      </c>
      <c r="C1145" t="s">
        <v>44</v>
      </c>
      <c r="D1145" t="s">
        <v>45</v>
      </c>
      <c r="E1145">
        <v>1090</v>
      </c>
      <c r="F1145">
        <v>55</v>
      </c>
      <c r="G1145">
        <v>1</v>
      </c>
      <c r="H1145">
        <v>577.2</v>
      </c>
      <c r="I1145">
        <v>580.76</v>
      </c>
      <c r="J1145">
        <v>8</v>
      </c>
      <c r="K1145">
        <v>0</v>
      </c>
      <c r="L1145">
        <v>35.7</v>
      </c>
      <c r="M1145">
        <v>1.7</v>
      </c>
      <c r="N1145" t="s">
        <v>63</v>
      </c>
      <c r="O1145" t="s">
        <v>75</v>
      </c>
      <c r="P1145" t="s">
        <v>58</v>
      </c>
      <c r="R1145">
        <f>SUMIF(A1145:A6144,"C01144",I1145:I6144)</f>
        <v>580.76</v>
      </c>
      <c r="S1145" s="1">
        <v>7300.24</v>
      </c>
      <c r="T1145">
        <f t="shared" si="125"/>
        <v>72.595</v>
      </c>
      <c r="U1145">
        <f t="shared" si="122"/>
        <v>13.6</v>
      </c>
      <c r="V1145">
        <f t="shared" si="121"/>
        <v>1.13333333333333</v>
      </c>
      <c r="W1145">
        <f t="shared" si="123"/>
        <v>386.32</v>
      </c>
      <c r="X1145">
        <f t="shared" si="127"/>
        <v>1.88842688842689</v>
      </c>
      <c r="AH1145" t="str">
        <f t="shared" si="126"/>
        <v>3rd Quality</v>
      </c>
      <c r="AJ1145">
        <f>((T1145-X1145)*2)/35.7</f>
        <v>3.9611525552702</v>
      </c>
      <c r="AK1145">
        <f t="shared" si="124"/>
        <v>79128.55</v>
      </c>
    </row>
    <row r="1146" spans="1:37">
      <c r="A1146" t="s">
        <v>1209</v>
      </c>
      <c r="B1146">
        <v>31</v>
      </c>
      <c r="C1146" t="s">
        <v>50</v>
      </c>
      <c r="D1146" t="s">
        <v>60</v>
      </c>
      <c r="E1146">
        <v>507</v>
      </c>
      <c r="F1146">
        <v>35</v>
      </c>
      <c r="G1146">
        <v>8</v>
      </c>
      <c r="H1146">
        <v>922.36</v>
      </c>
      <c r="I1146">
        <v>7520.62</v>
      </c>
      <c r="J1146">
        <v>34</v>
      </c>
      <c r="K1146">
        <v>0</v>
      </c>
      <c r="L1146">
        <v>23.1</v>
      </c>
      <c r="M1146">
        <v>21.6</v>
      </c>
      <c r="N1146" t="s">
        <v>63</v>
      </c>
      <c r="O1146" t="s">
        <v>53</v>
      </c>
      <c r="P1146" t="s">
        <v>58</v>
      </c>
      <c r="R1146">
        <f>SUMIF(A1146:A6145,"C01145",I1146:I6145)</f>
        <v>7520.62</v>
      </c>
      <c r="S1146" s="1">
        <v>1072.61</v>
      </c>
      <c r="T1146">
        <f t="shared" si="125"/>
        <v>221.194705882353</v>
      </c>
      <c r="U1146">
        <f t="shared" si="122"/>
        <v>734.4</v>
      </c>
      <c r="V1146">
        <f t="shared" si="121"/>
        <v>61.2</v>
      </c>
      <c r="W1146">
        <f t="shared" si="123"/>
        <v>2814.66</v>
      </c>
      <c r="X1146">
        <f t="shared" si="127"/>
        <v>0.54967691573789</v>
      </c>
      <c r="AH1146" t="str">
        <f t="shared" si="126"/>
        <v>3rd Quality</v>
      </c>
      <c r="AJ1146">
        <f>((T1146-X1146)*2)/23.1</f>
        <v>19.1034657113952</v>
      </c>
      <c r="AK1146">
        <f t="shared" si="124"/>
        <v>112145.715882353</v>
      </c>
    </row>
    <row r="1147" spans="1:37">
      <c r="A1147" t="s">
        <v>1210</v>
      </c>
      <c r="B1147">
        <v>26</v>
      </c>
      <c r="C1147" t="s">
        <v>44</v>
      </c>
      <c r="D1147" t="s">
        <v>51</v>
      </c>
      <c r="E1147">
        <v>1168</v>
      </c>
      <c r="F1147">
        <v>6</v>
      </c>
      <c r="G1147">
        <v>6</v>
      </c>
      <c r="H1147">
        <v>1109.84</v>
      </c>
      <c r="I1147">
        <v>7300.24</v>
      </c>
      <c r="J1147">
        <v>41</v>
      </c>
      <c r="K1147">
        <v>0</v>
      </c>
      <c r="L1147">
        <v>25.6</v>
      </c>
      <c r="M1147">
        <v>29.5</v>
      </c>
      <c r="N1147" t="s">
        <v>81</v>
      </c>
      <c r="O1147" t="s">
        <v>75</v>
      </c>
      <c r="P1147" t="s">
        <v>54</v>
      </c>
      <c r="R1147">
        <f>SUMIF(A1147:A6146,"C01146",I1147:I6146)</f>
        <v>7300.24</v>
      </c>
      <c r="S1147" s="1">
        <v>5915.01</v>
      </c>
      <c r="T1147">
        <f t="shared" si="125"/>
        <v>178.054634146341</v>
      </c>
      <c r="U1147">
        <f t="shared" si="122"/>
        <v>1209.5</v>
      </c>
      <c r="V1147">
        <f t="shared" si="121"/>
        <v>100.791666666667</v>
      </c>
      <c r="W1147">
        <f t="shared" si="123"/>
        <v>2803.69333333333</v>
      </c>
      <c r="X1147">
        <f t="shared" si="127"/>
        <v>1.05240395011894</v>
      </c>
      <c r="AH1147" t="str">
        <f t="shared" si="126"/>
        <v>3rd Quality</v>
      </c>
      <c r="AJ1147">
        <f>((T1147-X1147)*2)/25.6</f>
        <v>13.8282992340798</v>
      </c>
      <c r="AK1147">
        <f t="shared" si="124"/>
        <v>207967.812682927</v>
      </c>
    </row>
    <row r="1148" spans="1:37">
      <c r="A1148" t="s">
        <v>1211</v>
      </c>
      <c r="B1148">
        <v>18</v>
      </c>
      <c r="C1148" t="s">
        <v>50</v>
      </c>
      <c r="D1148" t="s">
        <v>45</v>
      </c>
      <c r="E1148">
        <v>1072</v>
      </c>
      <c r="F1148">
        <v>97</v>
      </c>
      <c r="G1148">
        <v>1</v>
      </c>
      <c r="H1148">
        <v>1185.05</v>
      </c>
      <c r="I1148">
        <v>1072.61</v>
      </c>
      <c r="J1148">
        <v>14</v>
      </c>
      <c r="K1148">
        <v>0</v>
      </c>
      <c r="L1148">
        <v>21.3</v>
      </c>
      <c r="M1148">
        <v>4.3</v>
      </c>
      <c r="N1148" t="s">
        <v>46</v>
      </c>
      <c r="O1148" t="s">
        <v>47</v>
      </c>
      <c r="P1148" t="s">
        <v>68</v>
      </c>
      <c r="R1148">
        <f>SUMIF(A1148:A6147,"C01147",I1148:I6147)</f>
        <v>1072.61</v>
      </c>
      <c r="S1148" s="1">
        <v>13808.24</v>
      </c>
      <c r="T1148">
        <f t="shared" si="125"/>
        <v>76.615</v>
      </c>
      <c r="U1148">
        <f t="shared" si="122"/>
        <v>60.2</v>
      </c>
      <c r="V1148">
        <f t="shared" si="121"/>
        <v>5.01666666666667</v>
      </c>
      <c r="W1148">
        <f t="shared" si="123"/>
        <v>752.886666666667</v>
      </c>
      <c r="X1148">
        <f t="shared" si="127"/>
        <v>0.904603181300367</v>
      </c>
      <c r="AH1148" t="str">
        <f t="shared" si="126"/>
        <v>3rd Quality</v>
      </c>
      <c r="AJ1148">
        <f>((T1148-X1148)*2)/21.3</f>
        <v>7.10895744776522</v>
      </c>
      <c r="AK1148">
        <f t="shared" si="124"/>
        <v>82131.28</v>
      </c>
    </row>
    <row r="1149" spans="1:37">
      <c r="A1149" t="s">
        <v>1212</v>
      </c>
      <c r="B1149">
        <v>49</v>
      </c>
      <c r="C1149" t="s">
        <v>44</v>
      </c>
      <c r="D1149" t="s">
        <v>45</v>
      </c>
      <c r="E1149">
        <v>1451</v>
      </c>
      <c r="F1149">
        <v>11</v>
      </c>
      <c r="G1149">
        <v>9</v>
      </c>
      <c r="H1149">
        <v>647.07</v>
      </c>
      <c r="I1149">
        <v>5915.01</v>
      </c>
      <c r="J1149">
        <v>59</v>
      </c>
      <c r="K1149">
        <v>1</v>
      </c>
      <c r="L1149">
        <v>25.4</v>
      </c>
      <c r="M1149">
        <v>43.7</v>
      </c>
      <c r="N1149" t="s">
        <v>52</v>
      </c>
      <c r="O1149" t="s">
        <v>47</v>
      </c>
      <c r="P1149" t="s">
        <v>58</v>
      </c>
      <c r="R1149">
        <f>SUMIF(A1149:A6148,"C01148",I1149:I6148)</f>
        <v>5915.01</v>
      </c>
      <c r="S1149" s="1">
        <v>2970.2</v>
      </c>
      <c r="T1149">
        <f t="shared" si="125"/>
        <v>100.254406779661</v>
      </c>
      <c r="U1149">
        <f t="shared" si="122"/>
        <v>2578.3</v>
      </c>
      <c r="V1149">
        <f>U1149*1</f>
        <v>2578.3</v>
      </c>
      <c r="W1149">
        <f t="shared" si="123"/>
        <v>2187.69333333333</v>
      </c>
      <c r="X1149">
        <f t="shared" si="127"/>
        <v>2.24241581281778</v>
      </c>
      <c r="AH1149" t="str">
        <f t="shared" si="126"/>
        <v>3rd Quality</v>
      </c>
      <c r="AJ1149">
        <f>((T1149-X1149)*2)/25.4</f>
        <v>7.71747960368844</v>
      </c>
      <c r="AK1149">
        <f t="shared" si="124"/>
        <v>145469.144237288</v>
      </c>
    </row>
    <row r="1150" spans="1:37">
      <c r="A1150" t="s">
        <v>1213</v>
      </c>
      <c r="B1150">
        <v>28</v>
      </c>
      <c r="C1150" t="s">
        <v>56</v>
      </c>
      <c r="D1150" t="s">
        <v>45</v>
      </c>
      <c r="E1150">
        <v>660</v>
      </c>
      <c r="F1150">
        <v>59</v>
      </c>
      <c r="G1150">
        <v>1</v>
      </c>
      <c r="H1150">
        <v>14174.75</v>
      </c>
      <c r="I1150">
        <v>13808.24</v>
      </c>
      <c r="J1150">
        <v>12</v>
      </c>
      <c r="K1150">
        <v>0</v>
      </c>
      <c r="L1150">
        <v>11.7</v>
      </c>
      <c r="M1150">
        <v>29.5</v>
      </c>
      <c r="N1150" t="s">
        <v>81</v>
      </c>
      <c r="O1150" t="s">
        <v>53</v>
      </c>
      <c r="P1150" t="s">
        <v>68</v>
      </c>
      <c r="R1150">
        <f>SUMIF(A1150:A6149,"C01149",I1150:I6149)</f>
        <v>13808.24</v>
      </c>
      <c r="S1150" s="1">
        <v>102339.46</v>
      </c>
      <c r="T1150">
        <f t="shared" si="125"/>
        <v>1150.68666666667</v>
      </c>
      <c r="U1150">
        <f t="shared" si="122"/>
        <v>354</v>
      </c>
      <c r="V1150">
        <f t="shared" si="121"/>
        <v>29.5</v>
      </c>
      <c r="W1150">
        <f t="shared" si="123"/>
        <v>9327.99666666667</v>
      </c>
      <c r="X1150">
        <f t="shared" si="127"/>
        <v>0.0465616677542814</v>
      </c>
      <c r="AH1150" t="str">
        <f t="shared" si="126"/>
        <v>2nd Quality</v>
      </c>
      <c r="AJ1150">
        <f>((T1150-X1150)*2)/11.7</f>
        <v>196.690616239131</v>
      </c>
      <c r="AK1150">
        <f t="shared" si="124"/>
        <v>759453.2</v>
      </c>
    </row>
    <row r="1151" spans="1:37">
      <c r="A1151" t="s">
        <v>1214</v>
      </c>
      <c r="B1151">
        <v>44</v>
      </c>
      <c r="C1151" t="s">
        <v>44</v>
      </c>
      <c r="D1151" t="s">
        <v>45</v>
      </c>
      <c r="E1151">
        <v>1245</v>
      </c>
      <c r="F1151">
        <v>226</v>
      </c>
      <c r="G1151">
        <v>1</v>
      </c>
      <c r="H1151">
        <v>2858.41</v>
      </c>
      <c r="I1151">
        <v>2970.2</v>
      </c>
      <c r="J1151">
        <v>11</v>
      </c>
      <c r="K1151">
        <v>0</v>
      </c>
      <c r="L1151">
        <v>15</v>
      </c>
      <c r="M1151">
        <v>16.4</v>
      </c>
      <c r="N1151" t="s">
        <v>78</v>
      </c>
      <c r="O1151" t="s">
        <v>75</v>
      </c>
      <c r="P1151" t="s">
        <v>66</v>
      </c>
      <c r="R1151">
        <f>SUMIF(A1151:A6150,"C01150",I1151:I6150)</f>
        <v>2970.2</v>
      </c>
      <c r="S1151" s="1">
        <v>2646.69</v>
      </c>
      <c r="T1151">
        <f t="shared" si="125"/>
        <v>270.018181818182</v>
      </c>
      <c r="U1151">
        <f t="shared" si="122"/>
        <v>180.4</v>
      </c>
      <c r="V1151">
        <f t="shared" ref="V1151:V1214" si="128">U1151/12</f>
        <v>15.0333333333333</v>
      </c>
      <c r="W1151">
        <f t="shared" si="123"/>
        <v>1943.20333333333</v>
      </c>
      <c r="X1151">
        <f t="shared" si="127"/>
        <v>0.435556830545653</v>
      </c>
      <c r="AH1151" t="str">
        <f t="shared" si="126"/>
        <v>3rd Quality</v>
      </c>
      <c r="AJ1151">
        <f>((T1151-X1151)*2)/15</f>
        <v>35.9443499983515</v>
      </c>
      <c r="AK1151">
        <f t="shared" si="124"/>
        <v>336172.636363636</v>
      </c>
    </row>
    <row r="1152" spans="1:37">
      <c r="A1152" t="s">
        <v>1215</v>
      </c>
      <c r="B1152">
        <v>23</v>
      </c>
      <c r="C1152" t="s">
        <v>44</v>
      </c>
      <c r="D1152" t="s">
        <v>60</v>
      </c>
      <c r="E1152">
        <v>1326</v>
      </c>
      <c r="F1152">
        <v>5</v>
      </c>
      <c r="G1152">
        <v>28</v>
      </c>
      <c r="H1152">
        <v>3566.15</v>
      </c>
      <c r="I1152">
        <v>102339.46</v>
      </c>
      <c r="J1152">
        <v>146</v>
      </c>
      <c r="K1152">
        <v>0</v>
      </c>
      <c r="L1152">
        <v>7.4</v>
      </c>
      <c r="M1152">
        <v>28.5</v>
      </c>
      <c r="N1152" t="s">
        <v>78</v>
      </c>
      <c r="O1152" t="s">
        <v>75</v>
      </c>
      <c r="P1152" t="s">
        <v>58</v>
      </c>
      <c r="R1152">
        <f>SUMIF(A1152:A6151,"C01151",I1152:I6151)</f>
        <v>102339.46</v>
      </c>
      <c r="S1152" s="1">
        <v>39886.46</v>
      </c>
      <c r="T1152">
        <f t="shared" si="125"/>
        <v>700.955205479452</v>
      </c>
      <c r="U1152">
        <f t="shared" si="122"/>
        <v>4161</v>
      </c>
      <c r="V1152">
        <f t="shared" si="128"/>
        <v>346.75</v>
      </c>
      <c r="W1152">
        <f t="shared" si="123"/>
        <v>35302.2033333333</v>
      </c>
      <c r="X1152">
        <f t="shared" si="127"/>
        <v>0.371829564095733</v>
      </c>
      <c r="AH1152" t="str">
        <f t="shared" si="126"/>
        <v>1st Quality</v>
      </c>
      <c r="AJ1152">
        <f>((T1152-X1152)*2)/7.4</f>
        <v>189.346858355502</v>
      </c>
      <c r="AK1152">
        <f t="shared" si="124"/>
        <v>929466.602465753</v>
      </c>
    </row>
    <row r="1153" spans="1:37">
      <c r="A1153" t="s">
        <v>1216</v>
      </c>
      <c r="B1153">
        <v>42</v>
      </c>
      <c r="C1153" t="s">
        <v>50</v>
      </c>
      <c r="D1153" t="s">
        <v>51</v>
      </c>
      <c r="E1153">
        <v>413</v>
      </c>
      <c r="F1153">
        <v>175</v>
      </c>
      <c r="G1153">
        <v>1</v>
      </c>
      <c r="H1153">
        <v>2712.03</v>
      </c>
      <c r="I1153">
        <v>2646.69</v>
      </c>
      <c r="J1153">
        <v>18</v>
      </c>
      <c r="K1153">
        <v>0</v>
      </c>
      <c r="L1153">
        <v>9.6</v>
      </c>
      <c r="M1153">
        <v>50.8</v>
      </c>
      <c r="N1153" t="s">
        <v>78</v>
      </c>
      <c r="O1153" t="s">
        <v>47</v>
      </c>
      <c r="P1153" t="s">
        <v>66</v>
      </c>
      <c r="R1153">
        <f>SUMIF(A1153:A6152,"C01152",I1153:I6152)</f>
        <v>2646.69</v>
      </c>
      <c r="S1153" s="1">
        <v>60047.39</v>
      </c>
      <c r="T1153">
        <f t="shared" si="125"/>
        <v>147.038333333333</v>
      </c>
      <c r="U1153">
        <f t="shared" si="122"/>
        <v>914.4</v>
      </c>
      <c r="V1153">
        <f t="shared" si="128"/>
        <v>76.2</v>
      </c>
      <c r="W1153">
        <f t="shared" si="123"/>
        <v>1786.57333333333</v>
      </c>
      <c r="X1153">
        <f t="shared" si="127"/>
        <v>0.152284451130703</v>
      </c>
      <c r="AH1153" t="str">
        <f t="shared" si="126"/>
        <v>3rd Quality</v>
      </c>
      <c r="AJ1153">
        <f>((T1153-X1153)*2)/9.6</f>
        <v>30.6012601837921</v>
      </c>
      <c r="AK1153">
        <f t="shared" si="124"/>
        <v>60726.8316666667</v>
      </c>
    </row>
    <row r="1154" spans="1:37">
      <c r="A1154" t="s">
        <v>1217</v>
      </c>
      <c r="B1154">
        <v>27</v>
      </c>
      <c r="C1154" t="s">
        <v>44</v>
      </c>
      <c r="D1154" t="s">
        <v>51</v>
      </c>
      <c r="E1154">
        <v>1369</v>
      </c>
      <c r="F1154">
        <v>6</v>
      </c>
      <c r="G1154">
        <v>20</v>
      </c>
      <c r="H1154">
        <v>1907.65</v>
      </c>
      <c r="I1154">
        <v>39886.46</v>
      </c>
      <c r="J1154">
        <v>67</v>
      </c>
      <c r="K1154">
        <v>1</v>
      </c>
      <c r="L1154">
        <v>10.4</v>
      </c>
      <c r="M1154">
        <v>40.7</v>
      </c>
      <c r="N1154" t="s">
        <v>81</v>
      </c>
      <c r="O1154" t="s">
        <v>47</v>
      </c>
      <c r="P1154" t="s">
        <v>58</v>
      </c>
      <c r="R1154">
        <f>SUMIF(A1154:A6153,"C01153",I1154:I6153)</f>
        <v>39886.46</v>
      </c>
      <c r="S1154" s="1">
        <v>37773.04</v>
      </c>
      <c r="T1154">
        <f t="shared" si="125"/>
        <v>595.320298507463</v>
      </c>
      <c r="U1154">
        <f t="shared" si="122"/>
        <v>2726.9</v>
      </c>
      <c r="V1154">
        <f>U1154*1</f>
        <v>2726.9</v>
      </c>
      <c r="W1154">
        <f t="shared" si="123"/>
        <v>13931.7033333333</v>
      </c>
      <c r="X1154">
        <f t="shared" si="127"/>
        <v>0.717636883076036</v>
      </c>
      <c r="AH1154" t="str">
        <f t="shared" si="126"/>
        <v>1st Quality</v>
      </c>
      <c r="AJ1154">
        <f>((T1154-X1154)*2)/10.4</f>
        <v>114.346665696997</v>
      </c>
      <c r="AK1154">
        <f t="shared" si="124"/>
        <v>814993.488656716</v>
      </c>
    </row>
    <row r="1155" spans="1:37">
      <c r="A1155" t="s">
        <v>1218</v>
      </c>
      <c r="B1155">
        <v>33</v>
      </c>
      <c r="C1155" t="s">
        <v>44</v>
      </c>
      <c r="D1155" t="s">
        <v>60</v>
      </c>
      <c r="E1155">
        <v>1255</v>
      </c>
      <c r="F1155">
        <v>4</v>
      </c>
      <c r="G1155">
        <v>23</v>
      </c>
      <c r="H1155">
        <v>2588.4</v>
      </c>
      <c r="I1155">
        <v>60047.39</v>
      </c>
      <c r="J1155">
        <v>119</v>
      </c>
      <c r="K1155">
        <v>1</v>
      </c>
      <c r="L1155">
        <v>1.4</v>
      </c>
      <c r="M1155">
        <v>44.2</v>
      </c>
      <c r="N1155" t="s">
        <v>46</v>
      </c>
      <c r="O1155" t="s">
        <v>53</v>
      </c>
      <c r="P1155" t="s">
        <v>66</v>
      </c>
      <c r="R1155">
        <f>SUMIF(A1155:A6154,"C01154",I1155:I6154)</f>
        <v>60047.39</v>
      </c>
      <c r="S1155" s="1">
        <v>107961.5</v>
      </c>
      <c r="T1155">
        <f t="shared" si="125"/>
        <v>504.599915966387</v>
      </c>
      <c r="U1155">
        <f t="shared" ref="U1155:U1218" si="129">J1155*M1155</f>
        <v>5259.8</v>
      </c>
      <c r="V1155">
        <f>U1155*1</f>
        <v>5259.8</v>
      </c>
      <c r="W1155">
        <f t="shared" ref="W1155:W1218" si="130">(H1155+I1155+1)/3</f>
        <v>20878.93</v>
      </c>
      <c r="X1155">
        <f t="shared" si="127"/>
        <v>0.484855509194869</v>
      </c>
      <c r="AH1155" t="str">
        <f t="shared" si="126"/>
        <v>1st Quality</v>
      </c>
      <c r="AJ1155">
        <f>((T1155-X1155)*2)/1.4</f>
        <v>720.164372081703</v>
      </c>
      <c r="AK1155">
        <f t="shared" ref="AK1155:AK1218" si="131">I1155/J1155*E1155</f>
        <v>633272.894537815</v>
      </c>
    </row>
    <row r="1156" spans="1:37">
      <c r="A1156" t="s">
        <v>1219</v>
      </c>
      <c r="B1156">
        <v>19</v>
      </c>
      <c r="C1156" t="s">
        <v>50</v>
      </c>
      <c r="D1156" t="s">
        <v>60</v>
      </c>
      <c r="E1156">
        <v>1246</v>
      </c>
      <c r="F1156">
        <v>20</v>
      </c>
      <c r="G1156">
        <v>4</v>
      </c>
      <c r="H1156">
        <v>10209</v>
      </c>
      <c r="I1156">
        <v>37773.04</v>
      </c>
      <c r="J1156">
        <v>31</v>
      </c>
      <c r="K1156">
        <v>1</v>
      </c>
      <c r="L1156">
        <v>8.6</v>
      </c>
      <c r="M1156">
        <v>19.8</v>
      </c>
      <c r="N1156" t="s">
        <v>81</v>
      </c>
      <c r="O1156" t="s">
        <v>47</v>
      </c>
      <c r="P1156" t="s">
        <v>66</v>
      </c>
      <c r="R1156">
        <f>SUMIF(A1156:A6155,"C01155",I1156:I6155)</f>
        <v>37773.04</v>
      </c>
      <c r="S1156" s="1">
        <v>112299.59</v>
      </c>
      <c r="T1156">
        <f t="shared" si="125"/>
        <v>1218.48516129032</v>
      </c>
      <c r="U1156">
        <f t="shared" si="129"/>
        <v>613.8</v>
      </c>
      <c r="V1156">
        <f>U1156*1</f>
        <v>613.8</v>
      </c>
      <c r="W1156">
        <f t="shared" si="130"/>
        <v>15994.3466666667</v>
      </c>
      <c r="X1156">
        <f t="shared" si="127"/>
        <v>0.122049172298952</v>
      </c>
      <c r="AH1156" t="str">
        <f t="shared" si="126"/>
        <v>1st Quality</v>
      </c>
      <c r="AJ1156">
        <f>((T1156-X1156)*2)/8.6</f>
        <v>283.340258632098</v>
      </c>
      <c r="AK1156">
        <f t="shared" si="131"/>
        <v>1518232.51096774</v>
      </c>
    </row>
    <row r="1157" spans="1:37">
      <c r="A1157" t="s">
        <v>1220</v>
      </c>
      <c r="B1157">
        <v>18</v>
      </c>
      <c r="C1157" t="s">
        <v>44</v>
      </c>
      <c r="D1157" t="s">
        <v>60</v>
      </c>
      <c r="E1157">
        <v>1460</v>
      </c>
      <c r="F1157">
        <v>6</v>
      </c>
      <c r="G1157">
        <v>30</v>
      </c>
      <c r="H1157">
        <v>3483.3</v>
      </c>
      <c r="I1157">
        <v>107961.5</v>
      </c>
      <c r="J1157">
        <v>67</v>
      </c>
      <c r="K1157">
        <v>3</v>
      </c>
      <c r="L1157">
        <v>2</v>
      </c>
      <c r="M1157">
        <v>70.7</v>
      </c>
      <c r="N1157" t="s">
        <v>46</v>
      </c>
      <c r="O1157" t="s">
        <v>47</v>
      </c>
      <c r="P1157" t="s">
        <v>58</v>
      </c>
      <c r="R1157">
        <f>SUMIF(A1157:A6156,"C01156",I1157:I6156)</f>
        <v>107961.5</v>
      </c>
      <c r="S1157" s="1">
        <v>58975.72</v>
      </c>
      <c r="T1157">
        <f t="shared" si="125"/>
        <v>1611.36567164179</v>
      </c>
      <c r="U1157">
        <f t="shared" si="129"/>
        <v>4736.9</v>
      </c>
      <c r="V1157">
        <f>U1157*3</f>
        <v>14210.7</v>
      </c>
      <c r="W1157">
        <f t="shared" si="130"/>
        <v>37148.6</v>
      </c>
      <c r="X1157">
        <f t="shared" si="127"/>
        <v>0.41914276691643</v>
      </c>
      <c r="AH1157" t="str">
        <f t="shared" si="126"/>
        <v>1st Quality</v>
      </c>
      <c r="AJ1157">
        <f>((T1157-X1157)*2)/2</f>
        <v>1610.94652887487</v>
      </c>
      <c r="AK1157">
        <f t="shared" si="131"/>
        <v>2352593.88059701</v>
      </c>
    </row>
    <row r="1158" spans="1:37">
      <c r="A1158" t="s">
        <v>1221</v>
      </c>
      <c r="B1158">
        <v>24</v>
      </c>
      <c r="C1158" t="s">
        <v>44</v>
      </c>
      <c r="D1158" t="s">
        <v>60</v>
      </c>
      <c r="E1158">
        <v>589</v>
      </c>
      <c r="F1158">
        <v>7</v>
      </c>
      <c r="G1158">
        <v>23</v>
      </c>
      <c r="H1158">
        <v>5508.32</v>
      </c>
      <c r="I1158">
        <v>112299.59</v>
      </c>
      <c r="J1158">
        <v>149</v>
      </c>
      <c r="K1158">
        <v>1</v>
      </c>
      <c r="L1158">
        <v>7.5</v>
      </c>
      <c r="M1158">
        <v>22.6</v>
      </c>
      <c r="N1158" t="s">
        <v>78</v>
      </c>
      <c r="O1158" t="s">
        <v>47</v>
      </c>
      <c r="P1158" t="s">
        <v>58</v>
      </c>
      <c r="R1158">
        <f>SUMIF(A1158:A6157,"C01157",I1158:I6157)</f>
        <v>112299.59</v>
      </c>
      <c r="S1158" s="1">
        <v>20539.8</v>
      </c>
      <c r="T1158">
        <f t="shared" si="125"/>
        <v>753.688523489933</v>
      </c>
      <c r="U1158">
        <f t="shared" si="129"/>
        <v>3367.4</v>
      </c>
      <c r="V1158">
        <f>U1158*1</f>
        <v>3367.4</v>
      </c>
      <c r="W1158">
        <f t="shared" si="130"/>
        <v>39269.6366666667</v>
      </c>
      <c r="X1158">
        <f t="shared" si="127"/>
        <v>0.106929154442734</v>
      </c>
      <c r="AH1158" t="str">
        <f t="shared" si="126"/>
        <v>2nd Quality</v>
      </c>
      <c r="AJ1158">
        <f>((T1158-X1158)*2)/7.5</f>
        <v>200.955091822797</v>
      </c>
      <c r="AK1158">
        <f t="shared" si="131"/>
        <v>443922.54033557</v>
      </c>
    </row>
    <row r="1159" spans="1:37">
      <c r="A1159" t="s">
        <v>1222</v>
      </c>
      <c r="B1159">
        <v>45</v>
      </c>
      <c r="C1159" t="s">
        <v>44</v>
      </c>
      <c r="D1159" t="s">
        <v>60</v>
      </c>
      <c r="E1159">
        <v>411</v>
      </c>
      <c r="F1159">
        <v>1</v>
      </c>
      <c r="G1159">
        <v>25</v>
      </c>
      <c r="H1159">
        <v>2189.32</v>
      </c>
      <c r="I1159">
        <v>58975.72</v>
      </c>
      <c r="J1159">
        <v>59</v>
      </c>
      <c r="K1159">
        <v>0</v>
      </c>
      <c r="L1159">
        <v>20</v>
      </c>
      <c r="M1159">
        <v>18.1</v>
      </c>
      <c r="N1159" t="s">
        <v>63</v>
      </c>
      <c r="O1159" t="s">
        <v>53</v>
      </c>
      <c r="P1159" t="s">
        <v>66</v>
      </c>
      <c r="R1159">
        <f>SUMIF(A1159:A6158,"C01158",I1159:I6158)</f>
        <v>58975.72</v>
      </c>
      <c r="S1159" s="1">
        <v>2218.88</v>
      </c>
      <c r="T1159">
        <f t="shared" si="125"/>
        <v>999.588474576271</v>
      </c>
      <c r="U1159">
        <f t="shared" si="129"/>
        <v>1067.9</v>
      </c>
      <c r="V1159">
        <f t="shared" si="128"/>
        <v>88.9916666666667</v>
      </c>
      <c r="W1159">
        <f t="shared" si="130"/>
        <v>20388.68</v>
      </c>
      <c r="X1159">
        <f t="shared" si="127"/>
        <v>0.18772952332231</v>
      </c>
      <c r="AH1159" t="str">
        <f t="shared" si="126"/>
        <v>3rd Quality</v>
      </c>
      <c r="AJ1159">
        <f>((T1159-X1159)*2)/20</f>
        <v>99.9400745052949</v>
      </c>
      <c r="AK1159">
        <f t="shared" si="131"/>
        <v>410830.863050847</v>
      </c>
    </row>
    <row r="1160" spans="1:37">
      <c r="A1160" t="s">
        <v>1223</v>
      </c>
      <c r="B1160">
        <v>45</v>
      </c>
      <c r="C1160" t="s">
        <v>50</v>
      </c>
      <c r="D1160" t="s">
        <v>60</v>
      </c>
      <c r="E1160">
        <v>1039</v>
      </c>
      <c r="F1160">
        <v>75</v>
      </c>
      <c r="G1160">
        <v>17</v>
      </c>
      <c r="H1160">
        <v>1100.83</v>
      </c>
      <c r="I1160">
        <v>20539.8</v>
      </c>
      <c r="J1160">
        <v>96</v>
      </c>
      <c r="K1160">
        <v>0</v>
      </c>
      <c r="L1160">
        <v>24.6</v>
      </c>
      <c r="M1160">
        <v>20.4</v>
      </c>
      <c r="N1160" t="s">
        <v>63</v>
      </c>
      <c r="O1160" t="s">
        <v>47</v>
      </c>
      <c r="P1160" t="s">
        <v>68</v>
      </c>
      <c r="R1160">
        <f>SUMIF(A1160:A6159,"C01159",I1160:I6159)</f>
        <v>20539.8</v>
      </c>
      <c r="S1160" s="1">
        <v>61855.73</v>
      </c>
      <c r="T1160">
        <f t="shared" si="125"/>
        <v>213.95625</v>
      </c>
      <c r="U1160">
        <f t="shared" si="129"/>
        <v>1958.4</v>
      </c>
      <c r="V1160">
        <f t="shared" si="128"/>
        <v>163.2</v>
      </c>
      <c r="W1160">
        <f t="shared" si="130"/>
        <v>7213.87666666667</v>
      </c>
      <c r="X1160">
        <f t="shared" si="127"/>
        <v>0.943833289427069</v>
      </c>
      <c r="AH1160" t="str">
        <f t="shared" si="126"/>
        <v>3rd Quality</v>
      </c>
      <c r="AJ1160">
        <f>((T1160-X1160)*2)/24.6</f>
        <v>17.3180826593962</v>
      </c>
      <c r="AK1160">
        <f t="shared" si="131"/>
        <v>222300.54375</v>
      </c>
    </row>
    <row r="1161" spans="1:37">
      <c r="A1161" t="s">
        <v>1224</v>
      </c>
      <c r="B1161">
        <v>37</v>
      </c>
      <c r="C1161" t="s">
        <v>56</v>
      </c>
      <c r="D1161" t="s">
        <v>60</v>
      </c>
      <c r="E1161">
        <v>1021</v>
      </c>
      <c r="F1161">
        <v>201</v>
      </c>
      <c r="G1161">
        <v>3</v>
      </c>
      <c r="H1161">
        <v>822.99</v>
      </c>
      <c r="I1161">
        <v>2218.88</v>
      </c>
      <c r="J1161">
        <v>12</v>
      </c>
      <c r="K1161">
        <v>0</v>
      </c>
      <c r="L1161">
        <v>26.6</v>
      </c>
      <c r="M1161">
        <v>46.4</v>
      </c>
      <c r="N1161" t="s">
        <v>81</v>
      </c>
      <c r="O1161" t="s">
        <v>47</v>
      </c>
      <c r="P1161" t="s">
        <v>48</v>
      </c>
      <c r="R1161">
        <f>SUMIF(A1161:A6160,"C01160",I1161:I6160)</f>
        <v>2218.88</v>
      </c>
      <c r="S1161" s="1">
        <v>40738.47</v>
      </c>
      <c r="T1161">
        <f t="shared" si="125"/>
        <v>184.906666666667</v>
      </c>
      <c r="U1161">
        <f t="shared" si="129"/>
        <v>556.8</v>
      </c>
      <c r="V1161">
        <f t="shared" si="128"/>
        <v>46.4</v>
      </c>
      <c r="W1161">
        <f t="shared" si="130"/>
        <v>1014.29</v>
      </c>
      <c r="X1161">
        <f t="shared" si="127"/>
        <v>1.24059830617626</v>
      </c>
      <c r="AH1161" t="str">
        <f t="shared" si="126"/>
        <v>3rd Quality</v>
      </c>
      <c r="AJ1161">
        <f>((T1161-X1161)*2)/26.6</f>
        <v>13.809478824097</v>
      </c>
      <c r="AK1161">
        <f t="shared" si="131"/>
        <v>188789.706666667</v>
      </c>
    </row>
    <row r="1162" spans="1:37">
      <c r="A1162" t="s">
        <v>1225</v>
      </c>
      <c r="B1162">
        <v>51</v>
      </c>
      <c r="C1162" t="s">
        <v>56</v>
      </c>
      <c r="D1162" t="s">
        <v>60</v>
      </c>
      <c r="E1162">
        <v>1304</v>
      </c>
      <c r="F1162">
        <v>9</v>
      </c>
      <c r="G1162">
        <v>25</v>
      </c>
      <c r="H1162">
        <v>2627.61</v>
      </c>
      <c r="I1162">
        <v>61855.73</v>
      </c>
      <c r="J1162">
        <v>80</v>
      </c>
      <c r="K1162">
        <v>1</v>
      </c>
      <c r="L1162">
        <v>15</v>
      </c>
      <c r="M1162">
        <v>63.2</v>
      </c>
      <c r="N1162" t="s">
        <v>63</v>
      </c>
      <c r="O1162" t="s">
        <v>53</v>
      </c>
      <c r="P1162" t="s">
        <v>48</v>
      </c>
      <c r="R1162">
        <f>SUMIF(A1162:A6161,"C01161",I1162:I6161)</f>
        <v>61855.73</v>
      </c>
      <c r="S1162" s="1">
        <v>2266.43</v>
      </c>
      <c r="T1162">
        <f t="shared" si="125"/>
        <v>773.196625</v>
      </c>
      <c r="U1162">
        <f t="shared" si="129"/>
        <v>5056</v>
      </c>
      <c r="V1162">
        <f>U1162*1</f>
        <v>5056</v>
      </c>
      <c r="W1162">
        <f t="shared" si="130"/>
        <v>21494.78</v>
      </c>
      <c r="X1162">
        <f t="shared" si="127"/>
        <v>0.496268472109636</v>
      </c>
      <c r="AH1162" t="str">
        <f t="shared" si="126"/>
        <v>3rd Quality</v>
      </c>
      <c r="AJ1162">
        <f>((T1162-X1162)*2)/15</f>
        <v>103.026714203719</v>
      </c>
      <c r="AK1162">
        <f t="shared" si="131"/>
        <v>1008248.399</v>
      </c>
    </row>
    <row r="1163" spans="1:37">
      <c r="A1163" t="s">
        <v>1226</v>
      </c>
      <c r="B1163">
        <v>32</v>
      </c>
      <c r="C1163" t="s">
        <v>50</v>
      </c>
      <c r="D1163" t="s">
        <v>45</v>
      </c>
      <c r="E1163">
        <v>1023</v>
      </c>
      <c r="F1163">
        <v>97</v>
      </c>
      <c r="G1163">
        <v>7</v>
      </c>
      <c r="H1163">
        <v>6392.3</v>
      </c>
      <c r="I1163">
        <v>40738.47</v>
      </c>
      <c r="J1163">
        <v>37</v>
      </c>
      <c r="K1163">
        <v>0</v>
      </c>
      <c r="L1163">
        <v>0.9</v>
      </c>
      <c r="M1163">
        <v>18</v>
      </c>
      <c r="N1163" t="s">
        <v>78</v>
      </c>
      <c r="O1163" t="s">
        <v>47</v>
      </c>
      <c r="P1163" t="s">
        <v>48</v>
      </c>
      <c r="R1163">
        <f>SUMIF(A1163:A6162,"C01162",I1163:I6162)</f>
        <v>40738.47</v>
      </c>
      <c r="S1163" s="1">
        <v>57526.78</v>
      </c>
      <c r="T1163">
        <f t="shared" si="125"/>
        <v>1101.03972972973</v>
      </c>
      <c r="U1163">
        <f t="shared" si="129"/>
        <v>666</v>
      </c>
      <c r="V1163">
        <f t="shared" si="128"/>
        <v>55.5</v>
      </c>
      <c r="W1163">
        <f t="shared" si="130"/>
        <v>15710.59</v>
      </c>
      <c r="X1163">
        <f t="shared" si="127"/>
        <v>0.160036293665817</v>
      </c>
      <c r="AH1163" t="str">
        <f t="shared" si="126"/>
        <v>1st Quality</v>
      </c>
      <c r="AJ1163">
        <f>((T1163-X1163)*2)/0.9</f>
        <v>2446.39931874681</v>
      </c>
      <c r="AK1163">
        <f t="shared" si="131"/>
        <v>1126363.64351351</v>
      </c>
    </row>
    <row r="1164" spans="1:37">
      <c r="A1164" t="s">
        <v>1227</v>
      </c>
      <c r="B1164">
        <v>26</v>
      </c>
      <c r="C1164" t="s">
        <v>50</v>
      </c>
      <c r="D1164" t="s">
        <v>45</v>
      </c>
      <c r="E1164">
        <v>491</v>
      </c>
      <c r="F1164">
        <v>67</v>
      </c>
      <c r="G1164">
        <v>3</v>
      </c>
      <c r="H1164">
        <v>709.21</v>
      </c>
      <c r="I1164">
        <v>2266.43</v>
      </c>
      <c r="J1164">
        <v>17</v>
      </c>
      <c r="K1164">
        <v>0</v>
      </c>
      <c r="L1164">
        <v>22.1</v>
      </c>
      <c r="M1164">
        <v>3.4</v>
      </c>
      <c r="N1164" t="s">
        <v>78</v>
      </c>
      <c r="O1164" t="s">
        <v>47</v>
      </c>
      <c r="P1164" t="s">
        <v>58</v>
      </c>
      <c r="R1164">
        <f>SUMIF(A1164:A6163,"C01163",I1164:I6163)</f>
        <v>2266.43</v>
      </c>
      <c r="S1164" s="1">
        <v>106428.63</v>
      </c>
      <c r="T1164">
        <f t="shared" si="125"/>
        <v>133.319411764706</v>
      </c>
      <c r="U1164">
        <f t="shared" si="129"/>
        <v>57.8</v>
      </c>
      <c r="V1164">
        <f t="shared" si="128"/>
        <v>4.81666666666667</v>
      </c>
      <c r="W1164">
        <f t="shared" si="130"/>
        <v>992.213333333333</v>
      </c>
      <c r="X1164">
        <f t="shared" si="127"/>
        <v>0.692319623242763</v>
      </c>
      <c r="AH1164" t="str">
        <f t="shared" si="126"/>
        <v>3rd Quality</v>
      </c>
      <c r="AJ1164">
        <f>((T1164-X1164)*2)/22.1</f>
        <v>12.002451777508</v>
      </c>
      <c r="AK1164">
        <f t="shared" si="131"/>
        <v>65459.8311764706</v>
      </c>
    </row>
    <row r="1165" spans="1:37">
      <c r="A1165" t="s">
        <v>1228</v>
      </c>
      <c r="B1165">
        <v>28</v>
      </c>
      <c r="C1165" t="s">
        <v>44</v>
      </c>
      <c r="D1165" t="s">
        <v>45</v>
      </c>
      <c r="E1165">
        <v>942</v>
      </c>
      <c r="F1165">
        <v>10</v>
      </c>
      <c r="G1165">
        <v>22</v>
      </c>
      <c r="H1165">
        <v>2914.94</v>
      </c>
      <c r="I1165">
        <v>57526.78</v>
      </c>
      <c r="J1165">
        <v>161</v>
      </c>
      <c r="K1165">
        <v>0</v>
      </c>
      <c r="L1165">
        <v>6.4</v>
      </c>
      <c r="M1165">
        <v>39.1</v>
      </c>
      <c r="N1165" t="s">
        <v>57</v>
      </c>
      <c r="O1165" t="s">
        <v>47</v>
      </c>
      <c r="P1165" t="s">
        <v>48</v>
      </c>
      <c r="R1165">
        <f>SUMIF(A1165:A6164,"C01164",I1165:I6164)</f>
        <v>57526.78</v>
      </c>
      <c r="S1165" s="1">
        <v>1122.71</v>
      </c>
      <c r="T1165">
        <f t="shared" si="125"/>
        <v>357.309192546584</v>
      </c>
      <c r="U1165">
        <f t="shared" si="129"/>
        <v>6295.1</v>
      </c>
      <c r="V1165">
        <f t="shared" si="128"/>
        <v>524.591666666667</v>
      </c>
      <c r="W1165">
        <f t="shared" si="130"/>
        <v>20147.5733333333</v>
      </c>
      <c r="X1165">
        <f t="shared" si="127"/>
        <v>0.32316274091405</v>
      </c>
      <c r="AH1165" t="str">
        <f t="shared" si="126"/>
        <v>1st Quality</v>
      </c>
      <c r="AJ1165">
        <f>((T1165-X1165)*2)/6.4</f>
        <v>111.558134314272</v>
      </c>
      <c r="AK1165">
        <f t="shared" si="131"/>
        <v>336585.259378882</v>
      </c>
    </row>
    <row r="1166" spans="1:37">
      <c r="A1166" t="s">
        <v>1229</v>
      </c>
      <c r="B1166">
        <v>39</v>
      </c>
      <c r="C1166" t="s">
        <v>50</v>
      </c>
      <c r="D1166" t="s">
        <v>51</v>
      </c>
      <c r="E1166">
        <v>791</v>
      </c>
      <c r="F1166">
        <v>13</v>
      </c>
      <c r="G1166">
        <v>19</v>
      </c>
      <c r="H1166">
        <v>5546.78</v>
      </c>
      <c r="I1166">
        <v>106428.63</v>
      </c>
      <c r="J1166">
        <v>158</v>
      </c>
      <c r="K1166">
        <v>3</v>
      </c>
      <c r="L1166">
        <v>16.7</v>
      </c>
      <c r="M1166">
        <v>28.6</v>
      </c>
      <c r="N1166" t="s">
        <v>46</v>
      </c>
      <c r="O1166" t="s">
        <v>47</v>
      </c>
      <c r="P1166" t="s">
        <v>58</v>
      </c>
      <c r="R1166">
        <f>SUMIF(A1166:A6165,"C01165",I1166:I6165)</f>
        <v>106428.63</v>
      </c>
      <c r="S1166" s="1">
        <v>2456.8</v>
      </c>
      <c r="T1166">
        <f t="shared" ref="T1166:T1229" si="132">I1166/J1166</f>
        <v>673.598924050633</v>
      </c>
      <c r="U1166">
        <f t="shared" si="129"/>
        <v>4518.8</v>
      </c>
      <c r="V1166">
        <f>U1166*3</f>
        <v>13556.4</v>
      </c>
      <c r="W1166">
        <f t="shared" si="130"/>
        <v>37325.47</v>
      </c>
      <c r="X1166">
        <f t="shared" si="127"/>
        <v>0.142605259267539</v>
      </c>
      <c r="AH1166" t="str">
        <f t="shared" ref="AH1166:AH1229" si="133">IF(AND(W1166&gt;=12550,B1166&lt;=33,E1166&gt;=915),"1st Quality",IF(AND(W1166&gt;=6275,B1166&lt;=43,E1166&gt;=457),"2nd Quality","3rd Quality"))</f>
        <v>2nd Quality</v>
      </c>
      <c r="AJ1166">
        <f>((T1166-X1166)*2)/16.7</f>
        <v>80.6534513522593</v>
      </c>
      <c r="AK1166">
        <f t="shared" si="131"/>
        <v>532816.748924051</v>
      </c>
    </row>
    <row r="1167" spans="1:37">
      <c r="A1167" t="s">
        <v>1230</v>
      </c>
      <c r="B1167">
        <v>30</v>
      </c>
      <c r="C1167" t="s">
        <v>50</v>
      </c>
      <c r="D1167" t="s">
        <v>45</v>
      </c>
      <c r="E1167">
        <v>1324</v>
      </c>
      <c r="F1167">
        <v>208</v>
      </c>
      <c r="G1167">
        <v>1</v>
      </c>
      <c r="H1167">
        <v>1153.66</v>
      </c>
      <c r="I1167">
        <v>1122.71</v>
      </c>
      <c r="J1167">
        <v>14</v>
      </c>
      <c r="K1167">
        <v>0</v>
      </c>
      <c r="L1167">
        <v>24.3</v>
      </c>
      <c r="M1167">
        <v>19.4</v>
      </c>
      <c r="N1167" t="s">
        <v>46</v>
      </c>
      <c r="O1167" t="s">
        <v>75</v>
      </c>
      <c r="P1167" t="s">
        <v>58</v>
      </c>
      <c r="R1167">
        <f>SUMIF(A1167:A6166,"C01166",I1167:I6166)</f>
        <v>1122.71</v>
      </c>
      <c r="S1167" s="1">
        <v>111437.01</v>
      </c>
      <c r="T1167">
        <f t="shared" si="132"/>
        <v>80.1935714285714</v>
      </c>
      <c r="U1167">
        <f t="shared" si="129"/>
        <v>271.6</v>
      </c>
      <c r="V1167">
        <f t="shared" si="128"/>
        <v>22.6333333333333</v>
      </c>
      <c r="W1167">
        <f t="shared" si="130"/>
        <v>759.123333333333</v>
      </c>
      <c r="X1167">
        <f t="shared" si="127"/>
        <v>1.14765182116048</v>
      </c>
      <c r="AH1167" t="str">
        <f t="shared" si="133"/>
        <v>3rd Quality</v>
      </c>
      <c r="AJ1167">
        <f>((T1167-X1167)*2)/24.3</f>
        <v>6.50583700472518</v>
      </c>
      <c r="AK1167">
        <f t="shared" si="131"/>
        <v>106176.288571429</v>
      </c>
    </row>
    <row r="1168" spans="1:37">
      <c r="A1168" t="s">
        <v>1231</v>
      </c>
      <c r="B1168">
        <v>49</v>
      </c>
      <c r="C1168" t="s">
        <v>50</v>
      </c>
      <c r="D1168" t="s">
        <v>60</v>
      </c>
      <c r="E1168">
        <v>1139</v>
      </c>
      <c r="F1168">
        <v>52</v>
      </c>
      <c r="G1168">
        <v>2</v>
      </c>
      <c r="H1168">
        <v>1158.64</v>
      </c>
      <c r="I1168">
        <v>2456.8</v>
      </c>
      <c r="J1168">
        <v>19</v>
      </c>
      <c r="K1168">
        <v>0</v>
      </c>
      <c r="L1168">
        <v>25.5</v>
      </c>
      <c r="M1168">
        <v>16.8</v>
      </c>
      <c r="N1168" t="s">
        <v>57</v>
      </c>
      <c r="O1168" t="s">
        <v>47</v>
      </c>
      <c r="P1168" t="s">
        <v>66</v>
      </c>
      <c r="R1168">
        <f>SUMIF(A1168:A6167,"C01167",I1168:I6167)</f>
        <v>2456.8</v>
      </c>
      <c r="S1168" s="1">
        <v>2827.92</v>
      </c>
      <c r="T1168">
        <f t="shared" si="132"/>
        <v>129.305263157895</v>
      </c>
      <c r="U1168">
        <f t="shared" si="129"/>
        <v>319.2</v>
      </c>
      <c r="V1168">
        <f t="shared" si="128"/>
        <v>26.6</v>
      </c>
      <c r="W1168">
        <f t="shared" si="130"/>
        <v>1205.48</v>
      </c>
      <c r="X1168">
        <f t="shared" si="127"/>
        <v>0.983049092038942</v>
      </c>
      <c r="AH1168" t="str">
        <f t="shared" si="133"/>
        <v>3rd Quality</v>
      </c>
      <c r="AJ1168">
        <f>((T1168-X1168)*2)/25.5</f>
        <v>10.0644873777142</v>
      </c>
      <c r="AK1168">
        <f t="shared" si="131"/>
        <v>147278.694736842</v>
      </c>
    </row>
    <row r="1169" spans="1:37">
      <c r="A1169" t="s">
        <v>1232</v>
      </c>
      <c r="B1169">
        <v>28</v>
      </c>
      <c r="C1169" t="s">
        <v>44</v>
      </c>
      <c r="D1169" t="s">
        <v>60</v>
      </c>
      <c r="E1169">
        <v>1258</v>
      </c>
      <c r="F1169">
        <v>28</v>
      </c>
      <c r="G1169">
        <v>7</v>
      </c>
      <c r="H1169">
        <v>15405.17</v>
      </c>
      <c r="I1169">
        <v>111437.01</v>
      </c>
      <c r="J1169">
        <v>50</v>
      </c>
      <c r="K1169">
        <v>0</v>
      </c>
      <c r="L1169">
        <v>4</v>
      </c>
      <c r="M1169">
        <v>46.6</v>
      </c>
      <c r="N1169" t="s">
        <v>78</v>
      </c>
      <c r="O1169" t="s">
        <v>53</v>
      </c>
      <c r="P1169" t="s">
        <v>48</v>
      </c>
      <c r="R1169">
        <f>SUMIF(A1169:A6168,"C01168",I1169:I6168)</f>
        <v>111437.01</v>
      </c>
      <c r="S1169" s="1">
        <v>102518.59</v>
      </c>
      <c r="T1169">
        <f t="shared" si="132"/>
        <v>2228.7402</v>
      </c>
      <c r="U1169">
        <f t="shared" si="129"/>
        <v>2330</v>
      </c>
      <c r="V1169">
        <f t="shared" si="128"/>
        <v>194.166666666667</v>
      </c>
      <c r="W1169">
        <f t="shared" si="130"/>
        <v>42281.06</v>
      </c>
      <c r="X1169">
        <f t="shared" si="127"/>
        <v>0.0816608969586184</v>
      </c>
      <c r="AH1169" t="str">
        <f t="shared" si="133"/>
        <v>1st Quality</v>
      </c>
      <c r="AJ1169">
        <f>((T1169-X1169)*2)/4</f>
        <v>1114.32926955152</v>
      </c>
      <c r="AK1169">
        <f t="shared" si="131"/>
        <v>2803755.1716</v>
      </c>
    </row>
    <row r="1170" spans="1:37">
      <c r="A1170" t="s">
        <v>1233</v>
      </c>
      <c r="B1170">
        <v>44</v>
      </c>
      <c r="C1170" t="s">
        <v>44</v>
      </c>
      <c r="D1170" t="s">
        <v>60</v>
      </c>
      <c r="E1170">
        <v>1169</v>
      </c>
      <c r="F1170">
        <v>24</v>
      </c>
      <c r="G1170">
        <v>4</v>
      </c>
      <c r="H1170">
        <v>699.56</v>
      </c>
      <c r="I1170">
        <v>2827.92</v>
      </c>
      <c r="J1170">
        <v>32</v>
      </c>
      <c r="K1170">
        <v>0</v>
      </c>
      <c r="L1170">
        <v>31.9</v>
      </c>
      <c r="M1170">
        <v>49.7</v>
      </c>
      <c r="N1170" t="s">
        <v>78</v>
      </c>
      <c r="O1170" t="s">
        <v>75</v>
      </c>
      <c r="P1170" t="s">
        <v>66</v>
      </c>
      <c r="R1170">
        <f>SUMIF(A1170:A6169,"C01169",I1170:I6169)</f>
        <v>2827.92</v>
      </c>
      <c r="S1170" s="1">
        <v>25076.62</v>
      </c>
      <c r="T1170">
        <f t="shared" si="132"/>
        <v>88.3725</v>
      </c>
      <c r="U1170">
        <f t="shared" si="129"/>
        <v>1590.4</v>
      </c>
      <c r="V1170">
        <f t="shared" si="128"/>
        <v>132.533333333333</v>
      </c>
      <c r="W1170">
        <f t="shared" si="130"/>
        <v>1176.16</v>
      </c>
      <c r="X1170">
        <f t="shared" si="127"/>
        <v>1.67105037452113</v>
      </c>
      <c r="AH1170" t="str">
        <f t="shared" si="133"/>
        <v>3rd Quality</v>
      </c>
      <c r="AJ1170">
        <f>((T1170-X1170)*2)/31.9</f>
        <v>5.43582756272595</v>
      </c>
      <c r="AK1170">
        <f t="shared" si="131"/>
        <v>103307.4525</v>
      </c>
    </row>
    <row r="1171" spans="1:37">
      <c r="A1171" t="s">
        <v>1234</v>
      </c>
      <c r="B1171">
        <v>39</v>
      </c>
      <c r="C1171" t="s">
        <v>50</v>
      </c>
      <c r="D1171" t="s">
        <v>60</v>
      </c>
      <c r="E1171">
        <v>557</v>
      </c>
      <c r="F1171">
        <v>4</v>
      </c>
      <c r="G1171">
        <v>29</v>
      </c>
      <c r="H1171">
        <v>3532.16</v>
      </c>
      <c r="I1171">
        <v>102518.59</v>
      </c>
      <c r="J1171">
        <v>217</v>
      </c>
      <c r="K1171">
        <v>3</v>
      </c>
      <c r="L1171">
        <v>26</v>
      </c>
      <c r="M1171">
        <v>52.1</v>
      </c>
      <c r="N1171" t="s">
        <v>61</v>
      </c>
      <c r="O1171" t="s">
        <v>47</v>
      </c>
      <c r="P1171" t="s">
        <v>48</v>
      </c>
      <c r="R1171">
        <f>SUMIF(A1171:A6170,"C01170",I1171:I6170)</f>
        <v>102518.59</v>
      </c>
      <c r="S1171" s="1">
        <v>4941.23</v>
      </c>
      <c r="T1171">
        <f t="shared" si="132"/>
        <v>472.435898617511</v>
      </c>
      <c r="U1171">
        <f t="shared" si="129"/>
        <v>11305.7</v>
      </c>
      <c r="V1171">
        <f>U1171*3</f>
        <v>33917.1</v>
      </c>
      <c r="W1171">
        <f t="shared" si="130"/>
        <v>35350.5833333333</v>
      </c>
      <c r="X1171">
        <f t="shared" si="127"/>
        <v>0.15769387570212</v>
      </c>
      <c r="AH1171" t="str">
        <f t="shared" si="133"/>
        <v>2nd Quality</v>
      </c>
      <c r="AJ1171">
        <f>((T1171-X1171)*2)/26</f>
        <v>36.3290926724468</v>
      </c>
      <c r="AK1171">
        <f t="shared" si="131"/>
        <v>263146.795529954</v>
      </c>
    </row>
    <row r="1172" spans="1:37">
      <c r="A1172" t="s">
        <v>1235</v>
      </c>
      <c r="B1172">
        <v>41</v>
      </c>
      <c r="C1172" t="s">
        <v>50</v>
      </c>
      <c r="D1172" t="s">
        <v>45</v>
      </c>
      <c r="E1172">
        <v>1307</v>
      </c>
      <c r="F1172">
        <v>65</v>
      </c>
      <c r="G1172">
        <v>14</v>
      </c>
      <c r="H1172">
        <v>1680.28</v>
      </c>
      <c r="I1172">
        <v>25076.62</v>
      </c>
      <c r="J1172">
        <v>115</v>
      </c>
      <c r="K1172">
        <v>1</v>
      </c>
      <c r="L1172">
        <v>20.3</v>
      </c>
      <c r="M1172">
        <v>30.3</v>
      </c>
      <c r="N1172" t="s">
        <v>52</v>
      </c>
      <c r="O1172" t="s">
        <v>47</v>
      </c>
      <c r="P1172" t="s">
        <v>68</v>
      </c>
      <c r="R1172">
        <f>SUMIF(A1172:A6171,"C01171",I1172:I6171)</f>
        <v>25076.62</v>
      </c>
      <c r="S1172" s="1">
        <v>21855.9</v>
      </c>
      <c r="T1172">
        <f t="shared" si="132"/>
        <v>218.057565217391</v>
      </c>
      <c r="U1172">
        <f t="shared" si="129"/>
        <v>3484.5</v>
      </c>
      <c r="V1172">
        <f>U1172*1</f>
        <v>3484.5</v>
      </c>
      <c r="W1172">
        <f t="shared" si="130"/>
        <v>8919.3</v>
      </c>
      <c r="X1172">
        <f t="shared" si="127"/>
        <v>0.777846549384626</v>
      </c>
      <c r="AH1172" t="str">
        <f t="shared" si="133"/>
        <v>2nd Quality</v>
      </c>
      <c r="AJ1172">
        <f>((T1172-X1172)*2)/20.3</f>
        <v>21.4068688342863</v>
      </c>
      <c r="AK1172">
        <f t="shared" si="131"/>
        <v>285001.23773913</v>
      </c>
    </row>
    <row r="1173" spans="1:37">
      <c r="A1173" t="s">
        <v>1236</v>
      </c>
      <c r="B1173">
        <v>22</v>
      </c>
      <c r="C1173" t="s">
        <v>44</v>
      </c>
      <c r="D1173" t="s">
        <v>60</v>
      </c>
      <c r="E1173">
        <v>482</v>
      </c>
      <c r="F1173">
        <v>365</v>
      </c>
      <c r="G1173">
        <v>5</v>
      </c>
      <c r="H1173">
        <v>993.68</v>
      </c>
      <c r="I1173">
        <v>4941.23</v>
      </c>
      <c r="J1173">
        <v>35</v>
      </c>
      <c r="K1173">
        <v>1</v>
      </c>
      <c r="L1173">
        <v>38.7</v>
      </c>
      <c r="M1173">
        <v>24.7</v>
      </c>
      <c r="N1173" t="s">
        <v>81</v>
      </c>
      <c r="O1173" t="s">
        <v>47</v>
      </c>
      <c r="P1173" t="s">
        <v>48</v>
      </c>
      <c r="R1173">
        <f>SUMIF(A1173:A6172,"C01172",I1173:I6172)</f>
        <v>4941.23</v>
      </c>
      <c r="S1173" s="1">
        <v>2909.61</v>
      </c>
      <c r="T1173">
        <f t="shared" si="132"/>
        <v>141.178</v>
      </c>
      <c r="U1173">
        <f t="shared" si="129"/>
        <v>864.5</v>
      </c>
      <c r="V1173">
        <f>U1173*1</f>
        <v>864.5</v>
      </c>
      <c r="W1173">
        <f t="shared" si="130"/>
        <v>1978.63666666667</v>
      </c>
      <c r="X1173">
        <f t="shared" si="127"/>
        <v>0.485065614684808</v>
      </c>
      <c r="AH1173" t="str">
        <f t="shared" si="133"/>
        <v>3rd Quality</v>
      </c>
      <c r="AJ1173">
        <f>((T1173-X1173)*2)/38.7</f>
        <v>7.27095268141164</v>
      </c>
      <c r="AK1173">
        <f t="shared" si="131"/>
        <v>68047.796</v>
      </c>
    </row>
    <row r="1174" spans="1:37">
      <c r="A1174" t="s">
        <v>1237</v>
      </c>
      <c r="B1174">
        <v>18</v>
      </c>
      <c r="C1174" t="s">
        <v>44</v>
      </c>
      <c r="D1174" t="s">
        <v>51</v>
      </c>
      <c r="E1174">
        <v>658</v>
      </c>
      <c r="F1174">
        <v>19</v>
      </c>
      <c r="G1174">
        <v>16</v>
      </c>
      <c r="H1174">
        <v>1392.8</v>
      </c>
      <c r="I1174">
        <v>21855.9</v>
      </c>
      <c r="J1174">
        <v>102</v>
      </c>
      <c r="K1174">
        <v>4</v>
      </c>
      <c r="L1174">
        <v>23.7</v>
      </c>
      <c r="M1174">
        <v>38.5</v>
      </c>
      <c r="N1174" t="s">
        <v>52</v>
      </c>
      <c r="O1174" t="s">
        <v>75</v>
      </c>
      <c r="P1174" t="s">
        <v>58</v>
      </c>
      <c r="R1174">
        <f>SUMIF(A1174:A6173,"C01173",I1174:I6173)</f>
        <v>21855.9</v>
      </c>
      <c r="S1174" s="1">
        <v>34622.01</v>
      </c>
      <c r="T1174">
        <f t="shared" si="132"/>
        <v>214.273529411765</v>
      </c>
      <c r="U1174">
        <f t="shared" si="129"/>
        <v>3927</v>
      </c>
      <c r="V1174">
        <f>U1174*4</f>
        <v>15708</v>
      </c>
      <c r="W1174">
        <f t="shared" si="130"/>
        <v>7749.9</v>
      </c>
      <c r="X1174">
        <f t="shared" si="127"/>
        <v>0.472429638139001</v>
      </c>
      <c r="AH1174" t="str">
        <f t="shared" si="133"/>
        <v>2nd Quality</v>
      </c>
      <c r="AJ1174">
        <f>((T1174-X1174)*2)/23.7</f>
        <v>18.0422869007279</v>
      </c>
      <c r="AK1174">
        <f t="shared" si="131"/>
        <v>140991.982352941</v>
      </c>
    </row>
    <row r="1175" spans="1:37">
      <c r="A1175" t="s">
        <v>1238</v>
      </c>
      <c r="B1175">
        <v>34</v>
      </c>
      <c r="C1175" t="s">
        <v>50</v>
      </c>
      <c r="D1175" t="s">
        <v>60</v>
      </c>
      <c r="E1175">
        <v>551</v>
      </c>
      <c r="F1175">
        <v>75</v>
      </c>
      <c r="G1175">
        <v>5</v>
      </c>
      <c r="H1175">
        <v>656.74</v>
      </c>
      <c r="I1175">
        <v>2909.61</v>
      </c>
      <c r="J1175">
        <v>47</v>
      </c>
      <c r="K1175">
        <v>1</v>
      </c>
      <c r="L1175">
        <v>35</v>
      </c>
      <c r="M1175">
        <v>47.2</v>
      </c>
      <c r="N1175" t="s">
        <v>78</v>
      </c>
      <c r="O1175" t="s">
        <v>47</v>
      </c>
      <c r="P1175" t="s">
        <v>58</v>
      </c>
      <c r="R1175">
        <f>SUMIF(A1175:A6174,"C01174",I1175:I6174)</f>
        <v>2909.61</v>
      </c>
      <c r="S1175" s="1">
        <v>2142.7</v>
      </c>
      <c r="T1175">
        <f t="shared" si="132"/>
        <v>61.9065957446809</v>
      </c>
      <c r="U1175">
        <f t="shared" si="129"/>
        <v>2218.4</v>
      </c>
      <c r="V1175">
        <f>U1175*1</f>
        <v>2218.4</v>
      </c>
      <c r="W1175">
        <f t="shared" si="130"/>
        <v>1189.11666666667</v>
      </c>
      <c r="X1175">
        <f t="shared" si="127"/>
        <v>0.838992599811189</v>
      </c>
      <c r="AH1175" t="str">
        <f t="shared" si="133"/>
        <v>3rd Quality</v>
      </c>
      <c r="AJ1175">
        <f>((T1175-X1175)*2)/35</f>
        <v>3.48957732256398</v>
      </c>
      <c r="AK1175">
        <f t="shared" si="131"/>
        <v>34110.5342553192</v>
      </c>
    </row>
    <row r="1176" spans="1:37">
      <c r="A1176" t="s">
        <v>1239</v>
      </c>
      <c r="B1176">
        <v>27</v>
      </c>
      <c r="C1176" t="s">
        <v>44</v>
      </c>
      <c r="D1176" t="s">
        <v>45</v>
      </c>
      <c r="E1176">
        <v>468</v>
      </c>
      <c r="F1176">
        <v>22</v>
      </c>
      <c r="G1176">
        <v>3</v>
      </c>
      <c r="H1176">
        <v>12219.41</v>
      </c>
      <c r="I1176">
        <v>34622.01</v>
      </c>
      <c r="J1176">
        <v>29</v>
      </c>
      <c r="K1176">
        <v>0</v>
      </c>
      <c r="L1176">
        <v>13.1</v>
      </c>
      <c r="M1176">
        <v>10</v>
      </c>
      <c r="N1176" t="s">
        <v>52</v>
      </c>
      <c r="O1176" t="s">
        <v>47</v>
      </c>
      <c r="P1176" t="s">
        <v>54</v>
      </c>
      <c r="R1176">
        <f>SUMIF(A1176:A6175,"C01175",I1176:I6175)</f>
        <v>34622.01</v>
      </c>
      <c r="S1176" s="1">
        <v>9734.04</v>
      </c>
      <c r="T1176">
        <f t="shared" si="132"/>
        <v>1193.8624137931</v>
      </c>
      <c r="U1176">
        <f t="shared" si="129"/>
        <v>290</v>
      </c>
      <c r="V1176">
        <f t="shared" si="128"/>
        <v>24.1666666666667</v>
      </c>
      <c r="W1176">
        <f t="shared" si="130"/>
        <v>15614.14</v>
      </c>
      <c r="X1176">
        <f t="shared" si="127"/>
        <v>0.0382997215086489</v>
      </c>
      <c r="AH1176" t="str">
        <f t="shared" si="133"/>
        <v>2nd Quality</v>
      </c>
      <c r="AJ1176">
        <f>((T1176-X1176)*2)/13.1</f>
        <v>182.26322352238</v>
      </c>
      <c r="AK1176">
        <f t="shared" si="131"/>
        <v>558727.609655172</v>
      </c>
    </row>
    <row r="1177" spans="1:37">
      <c r="A1177" t="s">
        <v>1240</v>
      </c>
      <c r="B1177">
        <v>37</v>
      </c>
      <c r="C1177" t="s">
        <v>50</v>
      </c>
      <c r="D1177" t="s">
        <v>45</v>
      </c>
      <c r="E1177">
        <v>1337</v>
      </c>
      <c r="F1177">
        <v>106</v>
      </c>
      <c r="G1177">
        <v>3</v>
      </c>
      <c r="H1177">
        <v>737.26</v>
      </c>
      <c r="I1177">
        <v>2142.7</v>
      </c>
      <c r="J1177">
        <v>15</v>
      </c>
      <c r="K1177">
        <v>0</v>
      </c>
      <c r="L1177">
        <v>30.2</v>
      </c>
      <c r="M1177">
        <v>33</v>
      </c>
      <c r="N1177" t="s">
        <v>46</v>
      </c>
      <c r="O1177" t="s">
        <v>47</v>
      </c>
      <c r="P1177" t="s">
        <v>54</v>
      </c>
      <c r="R1177">
        <f>SUMIF(A1177:A6176,"C01176",I1177:I6176)</f>
        <v>2142.7</v>
      </c>
      <c r="S1177" s="1">
        <v>15032.75</v>
      </c>
      <c r="T1177">
        <f t="shared" si="132"/>
        <v>142.846666666667</v>
      </c>
      <c r="U1177">
        <f t="shared" si="129"/>
        <v>495</v>
      </c>
      <c r="V1177">
        <f t="shared" si="128"/>
        <v>41.25</v>
      </c>
      <c r="W1177">
        <f t="shared" si="130"/>
        <v>960.32</v>
      </c>
      <c r="X1177">
        <f t="shared" si="127"/>
        <v>1.81347150259067</v>
      </c>
      <c r="AH1177" t="str">
        <f t="shared" si="133"/>
        <v>3rd Quality</v>
      </c>
      <c r="AJ1177">
        <f>((T1177-X1177)*2)/30.2</f>
        <v>9.3399466996077</v>
      </c>
      <c r="AK1177">
        <f t="shared" si="131"/>
        <v>190985.993333333</v>
      </c>
    </row>
    <row r="1178" spans="1:37">
      <c r="A1178" t="s">
        <v>1241</v>
      </c>
      <c r="B1178">
        <v>38</v>
      </c>
      <c r="C1178" t="s">
        <v>44</v>
      </c>
      <c r="D1178" t="s">
        <v>45</v>
      </c>
      <c r="E1178">
        <v>515</v>
      </c>
      <c r="F1178">
        <v>71</v>
      </c>
      <c r="G1178">
        <v>7</v>
      </c>
      <c r="H1178">
        <v>1364.78</v>
      </c>
      <c r="I1178">
        <v>9734.04</v>
      </c>
      <c r="J1178">
        <v>62</v>
      </c>
      <c r="K1178">
        <v>1</v>
      </c>
      <c r="L1178">
        <v>21.8</v>
      </c>
      <c r="M1178">
        <v>22.3</v>
      </c>
      <c r="N1178" t="s">
        <v>78</v>
      </c>
      <c r="O1178" t="s">
        <v>75</v>
      </c>
      <c r="P1178" t="s">
        <v>58</v>
      </c>
      <c r="R1178">
        <f>SUMIF(A1178:A6177,"C01177",I1178:I6177)</f>
        <v>9734.04</v>
      </c>
      <c r="S1178" s="1">
        <v>123051.8</v>
      </c>
      <c r="T1178">
        <f t="shared" si="132"/>
        <v>157.00064516129</v>
      </c>
      <c r="U1178">
        <f t="shared" si="129"/>
        <v>1382.6</v>
      </c>
      <c r="V1178">
        <f>U1178*1</f>
        <v>1382.6</v>
      </c>
      <c r="W1178">
        <f t="shared" si="130"/>
        <v>3699.94</v>
      </c>
      <c r="X1178">
        <f t="shared" si="127"/>
        <v>0.377350195635927</v>
      </c>
      <c r="AH1178" t="str">
        <f t="shared" si="133"/>
        <v>3rd Quality</v>
      </c>
      <c r="AJ1178">
        <f>((T1178-X1178)*2)/21.8</f>
        <v>14.3691096298765</v>
      </c>
      <c r="AK1178">
        <f t="shared" si="131"/>
        <v>80855.3322580645</v>
      </c>
    </row>
    <row r="1179" spans="1:37">
      <c r="A1179" t="s">
        <v>1242</v>
      </c>
      <c r="B1179">
        <v>27</v>
      </c>
      <c r="C1179" t="s">
        <v>44</v>
      </c>
      <c r="D1179" t="s">
        <v>60</v>
      </c>
      <c r="E1179">
        <v>477</v>
      </c>
      <c r="F1179">
        <v>37</v>
      </c>
      <c r="G1179">
        <v>10</v>
      </c>
      <c r="H1179">
        <v>1443.28</v>
      </c>
      <c r="I1179">
        <v>15032.75</v>
      </c>
      <c r="J1179">
        <v>61</v>
      </c>
      <c r="K1179">
        <v>2</v>
      </c>
      <c r="L1179">
        <v>20.5</v>
      </c>
      <c r="M1179">
        <v>42.6</v>
      </c>
      <c r="N1179" t="s">
        <v>57</v>
      </c>
      <c r="O1179" t="s">
        <v>75</v>
      </c>
      <c r="P1179" t="s">
        <v>66</v>
      </c>
      <c r="R1179">
        <f>SUMIF(A1179:A6178,"C01178",I1179:I6178)</f>
        <v>15032.75</v>
      </c>
      <c r="S1179" s="1">
        <v>182724.73</v>
      </c>
      <c r="T1179">
        <f t="shared" si="132"/>
        <v>246.438524590164</v>
      </c>
      <c r="U1179">
        <f t="shared" si="129"/>
        <v>2598.6</v>
      </c>
      <c r="V1179">
        <f>U1179*2</f>
        <v>5197.2</v>
      </c>
      <c r="W1179">
        <f t="shared" si="130"/>
        <v>5492.34333333333</v>
      </c>
      <c r="X1179">
        <f t="shared" si="127"/>
        <v>0.330497200820354</v>
      </c>
      <c r="AH1179" t="str">
        <f t="shared" si="133"/>
        <v>3rd Quality</v>
      </c>
      <c r="AJ1179">
        <f>((T1179-X1179)*2)/20.5</f>
        <v>24.0105392574969</v>
      </c>
      <c r="AK1179">
        <f t="shared" si="131"/>
        <v>117551.176229508</v>
      </c>
    </row>
    <row r="1180" spans="1:37">
      <c r="A1180" t="s">
        <v>1243</v>
      </c>
      <c r="B1180">
        <v>24</v>
      </c>
      <c r="C1180" t="s">
        <v>50</v>
      </c>
      <c r="D1180" t="s">
        <v>60</v>
      </c>
      <c r="E1180">
        <v>472</v>
      </c>
      <c r="F1180">
        <v>2</v>
      </c>
      <c r="G1180">
        <v>25</v>
      </c>
      <c r="H1180">
        <v>4430.12</v>
      </c>
      <c r="I1180">
        <v>123051.8</v>
      </c>
      <c r="J1180">
        <v>208</v>
      </c>
      <c r="K1180">
        <v>0</v>
      </c>
      <c r="L1180">
        <v>11.5</v>
      </c>
      <c r="M1180">
        <v>30.7</v>
      </c>
      <c r="N1180" t="s">
        <v>52</v>
      </c>
      <c r="O1180" t="s">
        <v>47</v>
      </c>
      <c r="P1180" t="s">
        <v>68</v>
      </c>
      <c r="R1180">
        <f>SUMIF(A1180:A6179,"C01179",I1180:I6179)</f>
        <v>123051.8</v>
      </c>
      <c r="S1180" s="1">
        <v>1947.11</v>
      </c>
      <c r="T1180">
        <f t="shared" si="132"/>
        <v>591.595192307692</v>
      </c>
      <c r="U1180">
        <f t="shared" si="129"/>
        <v>6385.6</v>
      </c>
      <c r="V1180">
        <f t="shared" si="128"/>
        <v>532.133333333333</v>
      </c>
      <c r="W1180">
        <f t="shared" si="130"/>
        <v>42494.3066666667</v>
      </c>
      <c r="X1180">
        <f t="shared" si="127"/>
        <v>0.106543389343855</v>
      </c>
      <c r="AH1180" t="str">
        <f t="shared" si="133"/>
        <v>2nd Quality</v>
      </c>
      <c r="AJ1180">
        <f>((T1180-X1180)*2)/11.5</f>
        <v>102.867591116234</v>
      </c>
      <c r="AK1180">
        <f t="shared" si="131"/>
        <v>279232.930769231</v>
      </c>
    </row>
    <row r="1181" spans="1:37">
      <c r="A1181" t="s">
        <v>1244</v>
      </c>
      <c r="B1181">
        <v>34</v>
      </c>
      <c r="C1181" t="s">
        <v>44</v>
      </c>
      <c r="D1181" t="s">
        <v>45</v>
      </c>
      <c r="E1181">
        <v>1074</v>
      </c>
      <c r="F1181">
        <v>5</v>
      </c>
      <c r="G1181">
        <v>29</v>
      </c>
      <c r="H1181">
        <v>6657.66</v>
      </c>
      <c r="I1181">
        <v>182724.73</v>
      </c>
      <c r="J1181">
        <v>156</v>
      </c>
      <c r="K1181">
        <v>4</v>
      </c>
      <c r="L1181">
        <v>17.3</v>
      </c>
      <c r="M1181">
        <v>11.1</v>
      </c>
      <c r="N1181" t="s">
        <v>57</v>
      </c>
      <c r="O1181" t="s">
        <v>75</v>
      </c>
      <c r="P1181" t="s">
        <v>58</v>
      </c>
      <c r="R1181">
        <f>SUMIF(A1181:A6180,"C01180",I1181:I6180)</f>
        <v>182724.73</v>
      </c>
      <c r="S1181" s="1">
        <v>90094.57</v>
      </c>
      <c r="T1181">
        <f t="shared" si="132"/>
        <v>1171.31237179487</v>
      </c>
      <c r="U1181">
        <f t="shared" si="129"/>
        <v>1731.6</v>
      </c>
      <c r="V1181">
        <f>U1181*4</f>
        <v>6926.4</v>
      </c>
      <c r="W1181">
        <f t="shared" si="130"/>
        <v>63127.7966666667</v>
      </c>
      <c r="X1181">
        <f t="shared" si="127"/>
        <v>0.161317940537666</v>
      </c>
      <c r="AH1181" t="str">
        <f t="shared" si="133"/>
        <v>2nd Quality</v>
      </c>
      <c r="AJ1181">
        <f>((T1181-X1181)*2)/17.3</f>
        <v>135.393185416686</v>
      </c>
      <c r="AK1181">
        <f t="shared" si="131"/>
        <v>1257989.48730769</v>
      </c>
    </row>
    <row r="1182" spans="1:37">
      <c r="A1182" t="s">
        <v>1245</v>
      </c>
      <c r="B1182">
        <v>18</v>
      </c>
      <c r="C1182" t="s">
        <v>50</v>
      </c>
      <c r="D1182" t="s">
        <v>60</v>
      </c>
      <c r="E1182">
        <v>620</v>
      </c>
      <c r="F1182">
        <v>117</v>
      </c>
      <c r="G1182">
        <v>3</v>
      </c>
      <c r="H1182">
        <v>642.19</v>
      </c>
      <c r="I1182">
        <v>1947.11</v>
      </c>
      <c r="J1182">
        <v>29</v>
      </c>
      <c r="K1182">
        <v>0</v>
      </c>
      <c r="L1182">
        <v>38.3</v>
      </c>
      <c r="M1182">
        <v>22.9</v>
      </c>
      <c r="N1182" t="s">
        <v>57</v>
      </c>
      <c r="O1182" t="s">
        <v>47</v>
      </c>
      <c r="P1182" t="s">
        <v>58</v>
      </c>
      <c r="R1182">
        <f>SUMIF(A1182:A6181,"C01181",I1182:I6181)</f>
        <v>1947.11</v>
      </c>
      <c r="S1182" s="1">
        <v>45178.81</v>
      </c>
      <c r="T1182">
        <f t="shared" si="132"/>
        <v>67.141724137931</v>
      </c>
      <c r="U1182">
        <f t="shared" si="129"/>
        <v>664.1</v>
      </c>
      <c r="V1182">
        <f t="shared" si="128"/>
        <v>55.3416666666667</v>
      </c>
      <c r="W1182">
        <f t="shared" si="130"/>
        <v>863.433333333333</v>
      </c>
      <c r="X1182">
        <f t="shared" si="127"/>
        <v>0.965446363225837</v>
      </c>
      <c r="AH1182" t="str">
        <f t="shared" si="133"/>
        <v>3rd Quality</v>
      </c>
      <c r="AJ1182">
        <f>((T1182-X1182)*2)/38.3</f>
        <v>3.45568030155118</v>
      </c>
      <c r="AK1182">
        <f t="shared" si="131"/>
        <v>41627.8689655172</v>
      </c>
    </row>
    <row r="1183" spans="1:37">
      <c r="A1183" t="s">
        <v>1246</v>
      </c>
      <c r="B1183">
        <v>29</v>
      </c>
      <c r="C1183" t="s">
        <v>50</v>
      </c>
      <c r="D1183" t="s">
        <v>60</v>
      </c>
      <c r="E1183">
        <v>1115</v>
      </c>
      <c r="F1183">
        <v>7</v>
      </c>
      <c r="G1183">
        <v>26</v>
      </c>
      <c r="H1183">
        <v>3264.57</v>
      </c>
      <c r="I1183">
        <v>90094.57</v>
      </c>
      <c r="J1183">
        <v>88</v>
      </c>
      <c r="K1183">
        <v>0</v>
      </c>
      <c r="L1183">
        <v>17.5</v>
      </c>
      <c r="M1183">
        <v>39.3</v>
      </c>
      <c r="N1183" t="s">
        <v>61</v>
      </c>
      <c r="O1183" t="s">
        <v>47</v>
      </c>
      <c r="P1183" t="s">
        <v>58</v>
      </c>
      <c r="R1183">
        <f>SUMIF(A1183:A6182,"C01182",I1183:I6182)</f>
        <v>90094.57</v>
      </c>
      <c r="S1183" s="1">
        <v>119366.7</v>
      </c>
      <c r="T1183">
        <f t="shared" si="132"/>
        <v>1023.80193181818</v>
      </c>
      <c r="U1183">
        <f t="shared" si="129"/>
        <v>3458.4</v>
      </c>
      <c r="V1183">
        <f t="shared" si="128"/>
        <v>288.2</v>
      </c>
      <c r="W1183">
        <f t="shared" si="130"/>
        <v>31120.0466666667</v>
      </c>
      <c r="X1183">
        <f t="shared" si="127"/>
        <v>0.341545747219389</v>
      </c>
      <c r="AH1183" t="str">
        <f t="shared" si="133"/>
        <v>1st Quality</v>
      </c>
      <c r="AJ1183">
        <f>((T1183-X1183)*2)/17.5</f>
        <v>116.966901265253</v>
      </c>
      <c r="AK1183">
        <f t="shared" si="131"/>
        <v>1141539.15397727</v>
      </c>
    </row>
    <row r="1184" spans="1:37">
      <c r="A1184" t="s">
        <v>1247</v>
      </c>
      <c r="B1184">
        <v>32</v>
      </c>
      <c r="C1184" t="s">
        <v>44</v>
      </c>
      <c r="D1184" t="s">
        <v>45</v>
      </c>
      <c r="E1184">
        <v>658</v>
      </c>
      <c r="F1184">
        <v>7</v>
      </c>
      <c r="G1184">
        <v>26</v>
      </c>
      <c r="H1184">
        <v>1820.43</v>
      </c>
      <c r="I1184">
        <v>45178.81</v>
      </c>
      <c r="J1184">
        <v>193</v>
      </c>
      <c r="K1184">
        <v>2</v>
      </c>
      <c r="L1184">
        <v>5.7</v>
      </c>
      <c r="M1184">
        <v>26</v>
      </c>
      <c r="N1184" t="s">
        <v>61</v>
      </c>
      <c r="O1184" t="s">
        <v>47</v>
      </c>
      <c r="P1184" t="s">
        <v>66</v>
      </c>
      <c r="R1184">
        <f>SUMIF(A1184:A6183,"C01183",I1184:I6183)</f>
        <v>45178.81</v>
      </c>
      <c r="S1184" s="1">
        <v>73373.68</v>
      </c>
      <c r="T1184">
        <f t="shared" si="132"/>
        <v>234.087098445596</v>
      </c>
      <c r="U1184">
        <f t="shared" si="129"/>
        <v>5018</v>
      </c>
      <c r="V1184">
        <f>U1184*2</f>
        <v>10036</v>
      </c>
      <c r="W1184">
        <f t="shared" si="130"/>
        <v>15666.7466666667</v>
      </c>
      <c r="X1184">
        <f t="shared" si="127"/>
        <v>0.361453063287245</v>
      </c>
      <c r="AH1184" t="str">
        <f t="shared" si="133"/>
        <v>2nd Quality</v>
      </c>
      <c r="AJ1184">
        <f>((T1184-X1184)*2)/5.7</f>
        <v>82.0089983797575</v>
      </c>
      <c r="AK1184">
        <f t="shared" si="131"/>
        <v>154029.310777202</v>
      </c>
    </row>
    <row r="1185" spans="1:37">
      <c r="A1185" t="s">
        <v>1248</v>
      </c>
      <c r="B1185">
        <v>38</v>
      </c>
      <c r="C1185" t="s">
        <v>44</v>
      </c>
      <c r="D1185" t="s">
        <v>60</v>
      </c>
      <c r="E1185">
        <v>607</v>
      </c>
      <c r="F1185">
        <v>7</v>
      </c>
      <c r="G1185">
        <v>21</v>
      </c>
      <c r="H1185">
        <v>5618.69</v>
      </c>
      <c r="I1185">
        <v>119366.7</v>
      </c>
      <c r="J1185">
        <v>111</v>
      </c>
      <c r="K1185">
        <v>2</v>
      </c>
      <c r="L1185">
        <v>5</v>
      </c>
      <c r="M1185">
        <v>21.6</v>
      </c>
      <c r="N1185" t="s">
        <v>63</v>
      </c>
      <c r="O1185" t="s">
        <v>47</v>
      </c>
      <c r="P1185" t="s">
        <v>58</v>
      </c>
      <c r="R1185">
        <f>SUMIF(A1185:A6184,"C01184",I1185:I6184)</f>
        <v>119366.7</v>
      </c>
      <c r="S1185" s="1">
        <v>739.8</v>
      </c>
      <c r="T1185">
        <f t="shared" si="132"/>
        <v>1075.37567567568</v>
      </c>
      <c r="U1185">
        <f t="shared" si="129"/>
        <v>2397.6</v>
      </c>
      <c r="V1185">
        <f>U1185*2</f>
        <v>4795.2</v>
      </c>
      <c r="W1185">
        <f t="shared" si="130"/>
        <v>41662.13</v>
      </c>
      <c r="X1185">
        <f t="shared" si="127"/>
        <v>0.108032299343797</v>
      </c>
      <c r="AH1185" t="str">
        <f t="shared" si="133"/>
        <v>2nd Quality</v>
      </c>
      <c r="AJ1185">
        <f>((T1185-X1185)*2)/5</f>
        <v>430.107057350534</v>
      </c>
      <c r="AK1185">
        <f t="shared" si="131"/>
        <v>652753.035135135</v>
      </c>
    </row>
    <row r="1186" spans="1:37">
      <c r="A1186" t="s">
        <v>1249</v>
      </c>
      <c r="B1186">
        <v>23</v>
      </c>
      <c r="C1186" t="s">
        <v>50</v>
      </c>
      <c r="D1186" t="s">
        <v>60</v>
      </c>
      <c r="E1186">
        <v>551</v>
      </c>
      <c r="F1186">
        <v>9</v>
      </c>
      <c r="G1186">
        <v>23</v>
      </c>
      <c r="H1186">
        <v>3253.77</v>
      </c>
      <c r="I1186">
        <v>73373.68</v>
      </c>
      <c r="J1186">
        <v>53</v>
      </c>
      <c r="K1186">
        <v>2</v>
      </c>
      <c r="L1186">
        <v>3.2</v>
      </c>
      <c r="M1186">
        <v>60.1</v>
      </c>
      <c r="N1186" t="s">
        <v>81</v>
      </c>
      <c r="O1186" t="s">
        <v>47</v>
      </c>
      <c r="P1186" t="s">
        <v>58</v>
      </c>
      <c r="R1186">
        <f>SUMIF(A1186:A6185,"C01185",I1186:I6185)</f>
        <v>73373.68</v>
      </c>
      <c r="S1186" s="1">
        <v>12325.29</v>
      </c>
      <c r="T1186">
        <f t="shared" si="132"/>
        <v>1384.40905660377</v>
      </c>
      <c r="U1186">
        <f t="shared" si="129"/>
        <v>3185.3</v>
      </c>
      <c r="V1186">
        <f>U1186*2</f>
        <v>6370.6</v>
      </c>
      <c r="W1186">
        <f t="shared" si="130"/>
        <v>25542.8166666667</v>
      </c>
      <c r="X1186">
        <f t="shared" si="127"/>
        <v>0.169342024789705</v>
      </c>
      <c r="AH1186" t="str">
        <f t="shared" si="133"/>
        <v>2nd Quality</v>
      </c>
      <c r="AJ1186">
        <f>((T1186-X1186)*2)/3.2</f>
        <v>865.149821611863</v>
      </c>
      <c r="AK1186">
        <f t="shared" si="131"/>
        <v>762809.390188679</v>
      </c>
    </row>
    <row r="1187" spans="1:37">
      <c r="A1187" t="s">
        <v>1250</v>
      </c>
      <c r="B1187">
        <v>32</v>
      </c>
      <c r="C1187" t="s">
        <v>44</v>
      </c>
      <c r="D1187" t="s">
        <v>60</v>
      </c>
      <c r="E1187">
        <v>620</v>
      </c>
      <c r="F1187">
        <v>38</v>
      </c>
      <c r="G1187">
        <v>1</v>
      </c>
      <c r="H1187">
        <v>758.51</v>
      </c>
      <c r="I1187">
        <v>739.8</v>
      </c>
      <c r="J1187">
        <v>13</v>
      </c>
      <c r="K1187">
        <v>0</v>
      </c>
      <c r="L1187">
        <v>30.1</v>
      </c>
      <c r="M1187">
        <v>28.9</v>
      </c>
      <c r="N1187" t="s">
        <v>52</v>
      </c>
      <c r="O1187" t="s">
        <v>47</v>
      </c>
      <c r="P1187" t="s">
        <v>68</v>
      </c>
      <c r="R1187">
        <f>SUMIF(A1187:A6186,"C01186",I1187:I6186)</f>
        <v>739.8</v>
      </c>
      <c r="S1187" s="1">
        <v>1565.86</v>
      </c>
      <c r="T1187">
        <f t="shared" si="132"/>
        <v>56.9076923076923</v>
      </c>
      <c r="U1187">
        <f t="shared" si="129"/>
        <v>375.7</v>
      </c>
      <c r="V1187">
        <f t="shared" si="128"/>
        <v>31.3083333333333</v>
      </c>
      <c r="W1187">
        <f t="shared" si="130"/>
        <v>499.77</v>
      </c>
      <c r="X1187">
        <f t="shared" si="127"/>
        <v>0.817391992195225</v>
      </c>
      <c r="AH1187" t="str">
        <f t="shared" si="133"/>
        <v>3rd Quality</v>
      </c>
      <c r="AJ1187">
        <f>((T1187-X1187)*2)/30.1</f>
        <v>3.7269302535214</v>
      </c>
      <c r="AK1187">
        <f t="shared" si="131"/>
        <v>35282.7692307692</v>
      </c>
    </row>
    <row r="1188" spans="1:37">
      <c r="A1188" t="s">
        <v>1251</v>
      </c>
      <c r="B1188">
        <v>42</v>
      </c>
      <c r="C1188" t="s">
        <v>44</v>
      </c>
      <c r="D1188" t="s">
        <v>51</v>
      </c>
      <c r="E1188">
        <v>627</v>
      </c>
      <c r="F1188">
        <v>64</v>
      </c>
      <c r="G1188">
        <v>10</v>
      </c>
      <c r="H1188">
        <v>1377.06</v>
      </c>
      <c r="I1188">
        <v>12325.29</v>
      </c>
      <c r="J1188">
        <v>56</v>
      </c>
      <c r="K1188">
        <v>0</v>
      </c>
      <c r="L1188">
        <v>28.5</v>
      </c>
      <c r="M1188">
        <v>35.7</v>
      </c>
      <c r="N1188" t="s">
        <v>61</v>
      </c>
      <c r="O1188" t="s">
        <v>47</v>
      </c>
      <c r="P1188" t="s">
        <v>58</v>
      </c>
      <c r="R1188">
        <f>SUMIF(A1188:A6187,"C01187",I1188:I6187)</f>
        <v>12325.29</v>
      </c>
      <c r="S1188" s="1">
        <v>52994.46</v>
      </c>
      <c r="T1188">
        <f t="shared" si="132"/>
        <v>220.094464285714</v>
      </c>
      <c r="U1188">
        <f t="shared" si="129"/>
        <v>1999.2</v>
      </c>
      <c r="V1188">
        <f t="shared" si="128"/>
        <v>166.6</v>
      </c>
      <c r="W1188">
        <f t="shared" si="130"/>
        <v>4567.78333333333</v>
      </c>
      <c r="X1188">
        <f t="shared" si="127"/>
        <v>0.455317851074027</v>
      </c>
      <c r="AH1188" t="str">
        <f t="shared" si="133"/>
        <v>3rd Quality</v>
      </c>
      <c r="AJ1188">
        <f>((T1188-X1188)*2)/28.5</f>
        <v>15.4132734340098</v>
      </c>
      <c r="AK1188">
        <f t="shared" si="131"/>
        <v>137999.229107143</v>
      </c>
    </row>
    <row r="1189" spans="1:37">
      <c r="A1189" t="s">
        <v>1252</v>
      </c>
      <c r="B1189">
        <v>37</v>
      </c>
      <c r="C1189" t="s">
        <v>44</v>
      </c>
      <c r="D1189" t="s">
        <v>60</v>
      </c>
      <c r="E1189">
        <v>1281</v>
      </c>
      <c r="F1189">
        <v>56</v>
      </c>
      <c r="G1189">
        <v>1</v>
      </c>
      <c r="H1189">
        <v>1767.7</v>
      </c>
      <c r="I1189">
        <v>1565.86</v>
      </c>
      <c r="J1189">
        <v>12</v>
      </c>
      <c r="K1189">
        <v>0</v>
      </c>
      <c r="L1189">
        <v>13</v>
      </c>
      <c r="M1189">
        <v>18.4</v>
      </c>
      <c r="N1189" t="s">
        <v>57</v>
      </c>
      <c r="O1189" t="s">
        <v>53</v>
      </c>
      <c r="P1189" t="s">
        <v>68</v>
      </c>
      <c r="R1189">
        <f>SUMIF(A1189:A6188,"C01188",I1189:I6188)</f>
        <v>1565.86</v>
      </c>
      <c r="S1189" s="1">
        <v>49189.86</v>
      </c>
      <c r="T1189">
        <f t="shared" si="132"/>
        <v>130.488333333333</v>
      </c>
      <c r="U1189">
        <f t="shared" si="129"/>
        <v>220.8</v>
      </c>
      <c r="V1189">
        <f t="shared" si="128"/>
        <v>18.4</v>
      </c>
      <c r="W1189">
        <f t="shared" si="130"/>
        <v>1111.52</v>
      </c>
      <c r="X1189">
        <f t="shared" si="127"/>
        <v>0.724670475759461</v>
      </c>
      <c r="AH1189" t="str">
        <f t="shared" si="133"/>
        <v>3rd Quality</v>
      </c>
      <c r="AJ1189">
        <f>((T1189-X1189)*2)/13</f>
        <v>19.9636404396267</v>
      </c>
      <c r="AK1189">
        <f t="shared" si="131"/>
        <v>167155.555</v>
      </c>
    </row>
    <row r="1190" spans="1:37">
      <c r="A1190" t="s">
        <v>1253</v>
      </c>
      <c r="B1190">
        <v>42</v>
      </c>
      <c r="C1190" t="s">
        <v>56</v>
      </c>
      <c r="D1190" t="s">
        <v>60</v>
      </c>
      <c r="E1190">
        <v>950</v>
      </c>
      <c r="F1190">
        <v>12</v>
      </c>
      <c r="G1190">
        <v>23</v>
      </c>
      <c r="H1190">
        <v>2423.11</v>
      </c>
      <c r="I1190">
        <v>52994.46</v>
      </c>
      <c r="J1190">
        <v>75</v>
      </c>
      <c r="K1190">
        <v>0</v>
      </c>
      <c r="L1190">
        <v>7.7</v>
      </c>
      <c r="M1190">
        <v>52.6</v>
      </c>
      <c r="N1190" t="s">
        <v>63</v>
      </c>
      <c r="O1190" t="s">
        <v>47</v>
      </c>
      <c r="P1190" t="s">
        <v>48</v>
      </c>
      <c r="R1190">
        <f>SUMIF(A1190:A6189,"C01189",I1190:I6189)</f>
        <v>52994.46</v>
      </c>
      <c r="S1190" s="1">
        <v>15976.13</v>
      </c>
      <c r="T1190">
        <f t="shared" si="132"/>
        <v>706.5928</v>
      </c>
      <c r="U1190">
        <f t="shared" si="129"/>
        <v>3945</v>
      </c>
      <c r="V1190">
        <f t="shared" si="128"/>
        <v>328.75</v>
      </c>
      <c r="W1190">
        <f t="shared" si="130"/>
        <v>18472.8566666667</v>
      </c>
      <c r="X1190">
        <f t="shared" si="127"/>
        <v>0.392058140158722</v>
      </c>
      <c r="AH1190" t="str">
        <f t="shared" si="133"/>
        <v>2nd Quality</v>
      </c>
      <c r="AJ1190">
        <f>((T1190-X1190)*2)/7.7</f>
        <v>183.428764119439</v>
      </c>
      <c r="AK1190">
        <f t="shared" si="131"/>
        <v>671263.16</v>
      </c>
    </row>
    <row r="1191" spans="1:37">
      <c r="A1191" t="s">
        <v>1254</v>
      </c>
      <c r="B1191">
        <v>22</v>
      </c>
      <c r="C1191" t="s">
        <v>44</v>
      </c>
      <c r="D1191" t="s">
        <v>45</v>
      </c>
      <c r="E1191">
        <v>828</v>
      </c>
      <c r="F1191">
        <v>18</v>
      </c>
      <c r="G1191">
        <v>3</v>
      </c>
      <c r="H1191">
        <v>14920.27</v>
      </c>
      <c r="I1191">
        <v>49189.86</v>
      </c>
      <c r="J1191">
        <v>23</v>
      </c>
      <c r="K1191">
        <v>0</v>
      </c>
      <c r="L1191">
        <v>10.5</v>
      </c>
      <c r="M1191">
        <v>65.2</v>
      </c>
      <c r="N1191" t="s">
        <v>63</v>
      </c>
      <c r="O1191" t="s">
        <v>75</v>
      </c>
      <c r="P1191" t="s">
        <v>58</v>
      </c>
      <c r="R1191">
        <f>SUMIF(A1191:A6190,"C01190",I1191:I6190)</f>
        <v>49189.86</v>
      </c>
      <c r="S1191" s="1">
        <v>14651.11</v>
      </c>
      <c r="T1191">
        <f t="shared" si="132"/>
        <v>2138.68956521739</v>
      </c>
      <c r="U1191">
        <f t="shared" si="129"/>
        <v>1499.6</v>
      </c>
      <c r="V1191">
        <f t="shared" si="128"/>
        <v>124.966666666667</v>
      </c>
      <c r="W1191">
        <f t="shared" si="130"/>
        <v>21370.3766666667</v>
      </c>
      <c r="X1191">
        <f t="shared" si="127"/>
        <v>0.0554949742866584</v>
      </c>
      <c r="AH1191" t="str">
        <f t="shared" si="133"/>
        <v>2nd Quality</v>
      </c>
      <c r="AJ1191">
        <f>((T1191-X1191)*2)/10.5</f>
        <v>407.358870522496</v>
      </c>
      <c r="AK1191">
        <f t="shared" si="131"/>
        <v>1770834.96</v>
      </c>
    </row>
    <row r="1192" spans="1:37">
      <c r="A1192" t="s">
        <v>1255</v>
      </c>
      <c r="B1192">
        <v>28</v>
      </c>
      <c r="C1192" t="s">
        <v>50</v>
      </c>
      <c r="D1192" t="s">
        <v>45</v>
      </c>
      <c r="E1192">
        <v>1353</v>
      </c>
      <c r="F1192">
        <v>35</v>
      </c>
      <c r="G1192">
        <v>10</v>
      </c>
      <c r="H1192">
        <v>1724.79</v>
      </c>
      <c r="I1192">
        <v>15976.13</v>
      </c>
      <c r="J1192">
        <v>87</v>
      </c>
      <c r="K1192">
        <v>0</v>
      </c>
      <c r="L1192">
        <v>19.8</v>
      </c>
      <c r="M1192">
        <v>26.4</v>
      </c>
      <c r="N1192" t="s">
        <v>52</v>
      </c>
      <c r="O1192" t="s">
        <v>47</v>
      </c>
      <c r="P1192" t="s">
        <v>58</v>
      </c>
      <c r="R1192">
        <f>SUMIF(A1192:A6191,"C01191",I1192:I6191)</f>
        <v>15976.13</v>
      </c>
      <c r="S1192" s="1">
        <v>2701.51</v>
      </c>
      <c r="T1192">
        <f t="shared" si="132"/>
        <v>183.63367816092</v>
      </c>
      <c r="U1192">
        <f t="shared" si="129"/>
        <v>2296.8</v>
      </c>
      <c r="V1192">
        <f t="shared" si="128"/>
        <v>191.4</v>
      </c>
      <c r="W1192">
        <f t="shared" si="130"/>
        <v>5900.64</v>
      </c>
      <c r="X1192">
        <f t="shared" si="127"/>
        <v>0.784443323535039</v>
      </c>
      <c r="AH1192" t="str">
        <f t="shared" si="133"/>
        <v>3rd Quality</v>
      </c>
      <c r="AJ1192">
        <f>((T1192-X1192)*2)/19.8</f>
        <v>18.4696196805439</v>
      </c>
      <c r="AK1192">
        <f t="shared" si="131"/>
        <v>248456.366551724</v>
      </c>
    </row>
    <row r="1193" spans="1:37">
      <c r="A1193" t="s">
        <v>1256</v>
      </c>
      <c r="B1193">
        <v>36</v>
      </c>
      <c r="C1193" t="s">
        <v>50</v>
      </c>
      <c r="D1193" t="s">
        <v>60</v>
      </c>
      <c r="E1193">
        <v>914</v>
      </c>
      <c r="F1193">
        <v>84</v>
      </c>
      <c r="G1193">
        <v>9</v>
      </c>
      <c r="H1193">
        <v>1818.64</v>
      </c>
      <c r="I1193">
        <v>14651.11</v>
      </c>
      <c r="J1193">
        <v>51</v>
      </c>
      <c r="K1193">
        <v>2</v>
      </c>
      <c r="L1193">
        <v>20.7</v>
      </c>
      <c r="M1193">
        <v>37.5</v>
      </c>
      <c r="N1193" t="s">
        <v>61</v>
      </c>
      <c r="O1193" t="s">
        <v>53</v>
      </c>
      <c r="P1193" t="s">
        <v>58</v>
      </c>
      <c r="R1193">
        <f>SUMIF(A1193:A6192,"C01192",I1193:I6192)</f>
        <v>14651.11</v>
      </c>
      <c r="S1193" s="1">
        <v>1427.71</v>
      </c>
      <c r="T1193">
        <f t="shared" si="132"/>
        <v>287.276666666667</v>
      </c>
      <c r="U1193">
        <f t="shared" si="129"/>
        <v>1912.5</v>
      </c>
      <c r="V1193">
        <f>U1193*2</f>
        <v>3825</v>
      </c>
      <c r="W1193">
        <f t="shared" si="130"/>
        <v>5490.25</v>
      </c>
      <c r="X1193">
        <f t="shared" si="127"/>
        <v>0.502573351515418</v>
      </c>
      <c r="AH1193" t="str">
        <f t="shared" si="133"/>
        <v>3rd Quality</v>
      </c>
      <c r="AJ1193">
        <f>((T1193-X1193)*2)/20.7</f>
        <v>27.7076418661982</v>
      </c>
      <c r="AK1193">
        <f t="shared" si="131"/>
        <v>262570.873333333</v>
      </c>
    </row>
    <row r="1194" spans="1:37">
      <c r="A1194" t="s">
        <v>1257</v>
      </c>
      <c r="B1194">
        <v>23</v>
      </c>
      <c r="C1194" t="s">
        <v>56</v>
      </c>
      <c r="D1194" t="s">
        <v>45</v>
      </c>
      <c r="E1194">
        <v>1325</v>
      </c>
      <c r="F1194">
        <v>365</v>
      </c>
      <c r="G1194">
        <v>2</v>
      </c>
      <c r="H1194">
        <v>1312.88</v>
      </c>
      <c r="I1194">
        <v>2701.51</v>
      </c>
      <c r="J1194">
        <v>19</v>
      </c>
      <c r="K1194">
        <v>1</v>
      </c>
      <c r="L1194">
        <v>24.8</v>
      </c>
      <c r="M1194">
        <v>6.5</v>
      </c>
      <c r="N1194" t="s">
        <v>81</v>
      </c>
      <c r="O1194" t="s">
        <v>47</v>
      </c>
      <c r="P1194" t="s">
        <v>58</v>
      </c>
      <c r="R1194">
        <f>SUMIF(A1194:A6193,"C01193",I1194:I6193)</f>
        <v>2701.51</v>
      </c>
      <c r="S1194" s="1">
        <v>1455.16</v>
      </c>
      <c r="T1194">
        <f t="shared" si="132"/>
        <v>142.184736842105</v>
      </c>
      <c r="U1194">
        <f t="shared" si="129"/>
        <v>123.5</v>
      </c>
      <c r="V1194">
        <f>U1194*1</f>
        <v>123.5</v>
      </c>
      <c r="W1194">
        <f t="shared" si="130"/>
        <v>1338.46333333333</v>
      </c>
      <c r="X1194">
        <f t="shared" si="127"/>
        <v>1.00923161294254</v>
      </c>
      <c r="AH1194" t="str">
        <f t="shared" si="133"/>
        <v>3rd Quality</v>
      </c>
      <c r="AJ1194">
        <f>((T1194-X1194)*2)/24.8</f>
        <v>11.3851213894486</v>
      </c>
      <c r="AK1194">
        <f t="shared" si="131"/>
        <v>188394.776315789</v>
      </c>
    </row>
    <row r="1195" spans="1:37">
      <c r="A1195" t="s">
        <v>1258</v>
      </c>
      <c r="B1195">
        <v>29</v>
      </c>
      <c r="C1195" t="s">
        <v>44</v>
      </c>
      <c r="D1195" t="s">
        <v>60</v>
      </c>
      <c r="E1195">
        <v>803</v>
      </c>
      <c r="F1195">
        <v>365</v>
      </c>
      <c r="G1195">
        <v>1</v>
      </c>
      <c r="H1195">
        <v>1286.17</v>
      </c>
      <c r="I1195">
        <v>1427.71</v>
      </c>
      <c r="J1195">
        <v>12</v>
      </c>
      <c r="K1195">
        <v>0</v>
      </c>
      <c r="L1195">
        <v>17.2</v>
      </c>
      <c r="M1195">
        <v>5.1</v>
      </c>
      <c r="N1195" t="s">
        <v>57</v>
      </c>
      <c r="O1195" t="s">
        <v>75</v>
      </c>
      <c r="P1195" t="s">
        <v>58</v>
      </c>
      <c r="R1195">
        <f>SUMIF(A1195:A6194,"C01194",I1195:I6194)</f>
        <v>1427.71</v>
      </c>
      <c r="S1195" s="1">
        <v>128583.52</v>
      </c>
      <c r="T1195">
        <f t="shared" si="132"/>
        <v>118.975833333333</v>
      </c>
      <c r="U1195">
        <f t="shared" si="129"/>
        <v>61.2</v>
      </c>
      <c r="V1195">
        <f t="shared" si="128"/>
        <v>5.1</v>
      </c>
      <c r="W1195">
        <f t="shared" si="130"/>
        <v>904.96</v>
      </c>
      <c r="X1195">
        <f t="shared" si="127"/>
        <v>0.624334263744295</v>
      </c>
      <c r="AH1195" t="str">
        <f t="shared" si="133"/>
        <v>3rd Quality</v>
      </c>
      <c r="AJ1195">
        <f>((T1195-X1195)*2)/17.2</f>
        <v>13.761802217394</v>
      </c>
      <c r="AK1195">
        <f t="shared" si="131"/>
        <v>95537.5941666667</v>
      </c>
    </row>
    <row r="1196" spans="1:37">
      <c r="A1196" t="s">
        <v>1259</v>
      </c>
      <c r="B1196">
        <v>44</v>
      </c>
      <c r="C1196" t="s">
        <v>50</v>
      </c>
      <c r="D1196" t="s">
        <v>45</v>
      </c>
      <c r="E1196">
        <v>1440</v>
      </c>
      <c r="F1196">
        <v>365</v>
      </c>
      <c r="G1196">
        <v>1</v>
      </c>
      <c r="H1196">
        <v>1628.21</v>
      </c>
      <c r="I1196">
        <v>1455.16</v>
      </c>
      <c r="J1196">
        <v>17</v>
      </c>
      <c r="K1196">
        <v>0</v>
      </c>
      <c r="L1196">
        <v>12</v>
      </c>
      <c r="M1196">
        <v>55.9</v>
      </c>
      <c r="N1196" t="s">
        <v>78</v>
      </c>
      <c r="O1196" t="s">
        <v>47</v>
      </c>
      <c r="P1196" t="s">
        <v>66</v>
      </c>
      <c r="R1196">
        <f>SUMIF(A1196:A6195,"C01195",I1196:I6195)</f>
        <v>1455.16</v>
      </c>
      <c r="S1196" s="1">
        <v>5920.21</v>
      </c>
      <c r="T1196">
        <f t="shared" si="132"/>
        <v>85.5976470588235</v>
      </c>
      <c r="U1196">
        <f t="shared" si="129"/>
        <v>950.3</v>
      </c>
      <c r="V1196">
        <f t="shared" si="128"/>
        <v>79.1916666666667</v>
      </c>
      <c r="W1196">
        <f t="shared" si="130"/>
        <v>1028.12333333333</v>
      </c>
      <c r="X1196">
        <f t="shared" si="127"/>
        <v>0.884406802562323</v>
      </c>
      <c r="AH1196" t="str">
        <f t="shared" si="133"/>
        <v>3rd Quality</v>
      </c>
      <c r="AJ1196">
        <f>((T1196-X1196)*2)/12</f>
        <v>14.1188733760435</v>
      </c>
      <c r="AK1196">
        <f t="shared" si="131"/>
        <v>123260.611764706</v>
      </c>
    </row>
    <row r="1197" spans="1:37">
      <c r="A1197" t="s">
        <v>1260</v>
      </c>
      <c r="B1197">
        <v>35</v>
      </c>
      <c r="C1197" t="s">
        <v>101</v>
      </c>
      <c r="D1197" t="s">
        <v>45</v>
      </c>
      <c r="E1197">
        <v>569</v>
      </c>
      <c r="F1197">
        <v>41</v>
      </c>
      <c r="G1197">
        <v>28</v>
      </c>
      <c r="H1197">
        <v>4336.79</v>
      </c>
      <c r="I1197">
        <v>128583.52</v>
      </c>
      <c r="J1197">
        <v>127</v>
      </c>
      <c r="K1197">
        <v>3</v>
      </c>
      <c r="L1197">
        <v>9.7</v>
      </c>
      <c r="M1197">
        <v>44.2</v>
      </c>
      <c r="N1197" t="s">
        <v>78</v>
      </c>
      <c r="O1197" t="s">
        <v>53</v>
      </c>
      <c r="P1197" t="s">
        <v>58</v>
      </c>
      <c r="R1197">
        <f>SUMIF(A1197:A6196,"C01196",I1197:I6196)</f>
        <v>128583.52</v>
      </c>
      <c r="S1197" s="1">
        <v>12901.32</v>
      </c>
      <c r="T1197">
        <f t="shared" si="132"/>
        <v>1012.46866141732</v>
      </c>
      <c r="U1197">
        <f t="shared" si="129"/>
        <v>5613.4</v>
      </c>
      <c r="V1197">
        <f>U1197*3</f>
        <v>16840.2</v>
      </c>
      <c r="W1197">
        <f t="shared" si="130"/>
        <v>44307.1033333333</v>
      </c>
      <c r="X1197">
        <f t="shared" si="127"/>
        <v>0.131203032657795</v>
      </c>
      <c r="AH1197" t="str">
        <f t="shared" si="133"/>
        <v>2nd Quality</v>
      </c>
      <c r="AJ1197">
        <f>((T1197-X1197)*2)/9.7</f>
        <v>208.729372862817</v>
      </c>
      <c r="AK1197">
        <f t="shared" si="131"/>
        <v>576094.668346457</v>
      </c>
    </row>
    <row r="1198" spans="1:37">
      <c r="A1198" t="s">
        <v>1261</v>
      </c>
      <c r="B1198">
        <v>40</v>
      </c>
      <c r="C1198" t="s">
        <v>50</v>
      </c>
      <c r="D1198" t="s">
        <v>45</v>
      </c>
      <c r="E1198">
        <v>932</v>
      </c>
      <c r="F1198">
        <v>65</v>
      </c>
      <c r="G1198">
        <v>4</v>
      </c>
      <c r="H1198">
        <v>1633.54</v>
      </c>
      <c r="I1198">
        <v>5920.21</v>
      </c>
      <c r="J1198">
        <v>28</v>
      </c>
      <c r="K1198">
        <v>1</v>
      </c>
      <c r="L1198">
        <v>25</v>
      </c>
      <c r="M1198">
        <v>19</v>
      </c>
      <c r="N1198" t="s">
        <v>57</v>
      </c>
      <c r="O1198" t="s">
        <v>47</v>
      </c>
      <c r="P1198" t="s">
        <v>58</v>
      </c>
      <c r="R1198">
        <f>SUMIF(A1198:A6197,"C01197",I1198:I6197)</f>
        <v>5920.21</v>
      </c>
      <c r="S1198" s="1">
        <v>13454.37</v>
      </c>
      <c r="T1198">
        <f t="shared" si="132"/>
        <v>211.436071428571</v>
      </c>
      <c r="U1198">
        <f t="shared" si="129"/>
        <v>532</v>
      </c>
      <c r="V1198">
        <f>U1198*1</f>
        <v>532</v>
      </c>
      <c r="W1198">
        <f t="shared" si="130"/>
        <v>2518.25</v>
      </c>
      <c r="X1198">
        <f t="shared" si="127"/>
        <v>0.570540054115602</v>
      </c>
      <c r="AH1198" t="str">
        <f t="shared" si="133"/>
        <v>3rd Quality</v>
      </c>
      <c r="AJ1198">
        <f>((T1198-X1198)*2)/25</f>
        <v>16.8692425099564</v>
      </c>
      <c r="AK1198">
        <f t="shared" si="131"/>
        <v>197058.418571429</v>
      </c>
    </row>
    <row r="1199" spans="1:37">
      <c r="A1199" t="s">
        <v>1262</v>
      </c>
      <c r="B1199">
        <v>51</v>
      </c>
      <c r="C1199" t="s">
        <v>44</v>
      </c>
      <c r="D1199" t="s">
        <v>51</v>
      </c>
      <c r="E1199">
        <v>849</v>
      </c>
      <c r="F1199">
        <v>40</v>
      </c>
      <c r="G1199">
        <v>2</v>
      </c>
      <c r="H1199">
        <v>7069.37</v>
      </c>
      <c r="I1199">
        <v>12901.32</v>
      </c>
      <c r="J1199">
        <v>19</v>
      </c>
      <c r="K1199">
        <v>0</v>
      </c>
      <c r="L1199">
        <v>23.5</v>
      </c>
      <c r="M1199">
        <v>14.9</v>
      </c>
      <c r="N1199" t="s">
        <v>63</v>
      </c>
      <c r="O1199" t="s">
        <v>75</v>
      </c>
      <c r="P1199" t="s">
        <v>58</v>
      </c>
      <c r="R1199">
        <f>SUMIF(A1199:A6198,"C01198",I1199:I6198)</f>
        <v>12901.32</v>
      </c>
      <c r="S1199" s="1">
        <v>1231.68</v>
      </c>
      <c r="T1199">
        <f t="shared" si="132"/>
        <v>679.016842105263</v>
      </c>
      <c r="U1199">
        <f t="shared" si="129"/>
        <v>283.1</v>
      </c>
      <c r="V1199">
        <f t="shared" si="128"/>
        <v>23.5916666666667</v>
      </c>
      <c r="W1199">
        <f t="shared" si="130"/>
        <v>6657.23</v>
      </c>
      <c r="X1199">
        <f t="shared" ref="X1199:X1262" si="134">E1199/H1199</f>
        <v>0.120095567214617</v>
      </c>
      <c r="AH1199" t="str">
        <f t="shared" si="133"/>
        <v>3rd Quality</v>
      </c>
      <c r="AJ1199">
        <f>((T1199-X1199)*2)/23.5</f>
        <v>57.7784465138765</v>
      </c>
      <c r="AK1199">
        <f t="shared" si="131"/>
        <v>576485.298947368</v>
      </c>
    </row>
    <row r="1200" spans="1:37">
      <c r="A1200" t="s">
        <v>1263</v>
      </c>
      <c r="B1200">
        <v>29</v>
      </c>
      <c r="C1200" t="s">
        <v>50</v>
      </c>
      <c r="D1200" t="s">
        <v>60</v>
      </c>
      <c r="E1200">
        <v>1339</v>
      </c>
      <c r="F1200">
        <v>15</v>
      </c>
      <c r="G1200">
        <v>7</v>
      </c>
      <c r="H1200">
        <v>1739.95</v>
      </c>
      <c r="I1200">
        <v>13454.37</v>
      </c>
      <c r="J1200">
        <v>59</v>
      </c>
      <c r="K1200">
        <v>0</v>
      </c>
      <c r="L1200">
        <v>32.6</v>
      </c>
      <c r="M1200">
        <v>32.3</v>
      </c>
      <c r="N1200" t="s">
        <v>57</v>
      </c>
      <c r="O1200" t="s">
        <v>53</v>
      </c>
      <c r="P1200" t="s">
        <v>58</v>
      </c>
      <c r="R1200">
        <f>SUMIF(A1200:A6199,"C01199",I1200:I6199)</f>
        <v>13454.37</v>
      </c>
      <c r="S1200" s="1">
        <v>22479.86</v>
      </c>
      <c r="T1200">
        <f t="shared" si="132"/>
        <v>228.040169491525</v>
      </c>
      <c r="U1200">
        <f t="shared" si="129"/>
        <v>1905.7</v>
      </c>
      <c r="V1200">
        <f t="shared" si="128"/>
        <v>158.808333333333</v>
      </c>
      <c r="W1200">
        <f t="shared" si="130"/>
        <v>5065.10666666667</v>
      </c>
      <c r="X1200">
        <f t="shared" si="134"/>
        <v>0.76956234374551</v>
      </c>
      <c r="AH1200" t="str">
        <f t="shared" si="133"/>
        <v>3rd Quality</v>
      </c>
      <c r="AJ1200">
        <f>((T1200-X1200)*2)/32.6</f>
        <v>13.9429820336061</v>
      </c>
      <c r="AK1200">
        <f t="shared" si="131"/>
        <v>305345.786949153</v>
      </c>
    </row>
    <row r="1201" spans="1:37">
      <c r="A1201" t="s">
        <v>1264</v>
      </c>
      <c r="B1201">
        <v>50</v>
      </c>
      <c r="C1201" t="s">
        <v>50</v>
      </c>
      <c r="D1201" t="s">
        <v>45</v>
      </c>
      <c r="E1201">
        <v>663</v>
      </c>
      <c r="F1201">
        <v>144</v>
      </c>
      <c r="G1201">
        <v>2</v>
      </c>
      <c r="H1201">
        <v>587.47</v>
      </c>
      <c r="I1201">
        <v>1231.68</v>
      </c>
      <c r="J1201">
        <v>25</v>
      </c>
      <c r="K1201">
        <v>0</v>
      </c>
      <c r="L1201">
        <v>51.3</v>
      </c>
      <c r="M1201">
        <v>14.2</v>
      </c>
      <c r="N1201" t="s">
        <v>61</v>
      </c>
      <c r="O1201" t="s">
        <v>53</v>
      </c>
      <c r="P1201" t="s">
        <v>66</v>
      </c>
      <c r="R1201">
        <f>SUMIF(A1201:A6200,"C01200",I1201:I6200)</f>
        <v>1231.68</v>
      </c>
      <c r="S1201" s="1">
        <v>64924.77</v>
      </c>
      <c r="T1201">
        <f t="shared" si="132"/>
        <v>49.2672</v>
      </c>
      <c r="U1201">
        <f t="shared" si="129"/>
        <v>355</v>
      </c>
      <c r="V1201">
        <f t="shared" si="128"/>
        <v>29.5833333333333</v>
      </c>
      <c r="W1201">
        <f t="shared" si="130"/>
        <v>606.716666666667</v>
      </c>
      <c r="X1201">
        <f t="shared" si="134"/>
        <v>1.12856826731578</v>
      </c>
      <c r="AH1201" t="str">
        <f t="shared" si="133"/>
        <v>3rd Quality</v>
      </c>
      <c r="AJ1201">
        <f>((T1201-X1201)*2)/51.3</f>
        <v>1.87674977515338</v>
      </c>
      <c r="AK1201">
        <f t="shared" si="131"/>
        <v>32664.1536</v>
      </c>
    </row>
    <row r="1202" spans="1:37">
      <c r="A1202" t="s">
        <v>1265</v>
      </c>
      <c r="B1202">
        <v>30</v>
      </c>
      <c r="C1202" t="s">
        <v>44</v>
      </c>
      <c r="D1202" t="s">
        <v>45</v>
      </c>
      <c r="E1202">
        <v>744</v>
      </c>
      <c r="F1202">
        <v>30</v>
      </c>
      <c r="G1202">
        <v>3</v>
      </c>
      <c r="H1202">
        <v>7388.14</v>
      </c>
      <c r="I1202">
        <v>22479.86</v>
      </c>
      <c r="J1202">
        <v>28</v>
      </c>
      <c r="K1202">
        <v>0</v>
      </c>
      <c r="L1202">
        <v>0</v>
      </c>
      <c r="M1202">
        <v>47</v>
      </c>
      <c r="N1202" t="s">
        <v>81</v>
      </c>
      <c r="O1202" t="s">
        <v>47</v>
      </c>
      <c r="P1202" t="s">
        <v>58</v>
      </c>
      <c r="R1202">
        <f>SUMIF(A1202:A6201,"C01201",I1202:I6201)</f>
        <v>22479.86</v>
      </c>
      <c r="S1202" s="1">
        <v>2761.64</v>
      </c>
      <c r="T1202">
        <f t="shared" si="132"/>
        <v>802.852142857143</v>
      </c>
      <c r="U1202">
        <f t="shared" si="129"/>
        <v>1316</v>
      </c>
      <c r="V1202">
        <f t="shared" si="128"/>
        <v>109.666666666667</v>
      </c>
      <c r="W1202">
        <f t="shared" si="130"/>
        <v>9956.33333333333</v>
      </c>
      <c r="X1202">
        <f t="shared" si="134"/>
        <v>0.100701935805223</v>
      </c>
      <c r="AH1202" t="str">
        <f t="shared" si="133"/>
        <v>2nd Quality</v>
      </c>
      <c r="AJ1202">
        <f>((T1202-X1202)*2)</f>
        <v>1605.50288184268</v>
      </c>
      <c r="AK1202">
        <f t="shared" si="131"/>
        <v>597321.994285714</v>
      </c>
    </row>
    <row r="1203" spans="1:37">
      <c r="A1203" t="s">
        <v>1266</v>
      </c>
      <c r="B1203">
        <v>18</v>
      </c>
      <c r="C1203" t="s">
        <v>44</v>
      </c>
      <c r="D1203" t="s">
        <v>60</v>
      </c>
      <c r="E1203">
        <v>697</v>
      </c>
      <c r="F1203">
        <v>90</v>
      </c>
      <c r="G1203">
        <v>7</v>
      </c>
      <c r="H1203">
        <v>10086.79</v>
      </c>
      <c r="I1203">
        <v>64924.77</v>
      </c>
      <c r="J1203">
        <v>34</v>
      </c>
      <c r="K1203">
        <v>1</v>
      </c>
      <c r="L1203">
        <v>15.7</v>
      </c>
      <c r="M1203">
        <v>24.8</v>
      </c>
      <c r="N1203" t="s">
        <v>52</v>
      </c>
      <c r="O1203" t="s">
        <v>47</v>
      </c>
      <c r="P1203" t="s">
        <v>58</v>
      </c>
      <c r="R1203">
        <f>SUMIF(A1203:A6202,"C01202",I1203:I6202)</f>
        <v>64924.77</v>
      </c>
      <c r="S1203" s="1">
        <v>527.47</v>
      </c>
      <c r="T1203">
        <f t="shared" si="132"/>
        <v>1909.55205882353</v>
      </c>
      <c r="U1203">
        <f t="shared" si="129"/>
        <v>843.2</v>
      </c>
      <c r="V1203">
        <f>U1203*1</f>
        <v>843.2</v>
      </c>
      <c r="W1203">
        <f t="shared" si="130"/>
        <v>25004.1866666667</v>
      </c>
      <c r="X1203">
        <f t="shared" si="134"/>
        <v>0.0691002786813248</v>
      </c>
      <c r="AH1203" t="str">
        <f t="shared" si="133"/>
        <v>2nd Quality</v>
      </c>
      <c r="AJ1203">
        <f>((T1203-X1203)*2)/15.7</f>
        <v>243.246236757306</v>
      </c>
      <c r="AK1203">
        <f t="shared" si="131"/>
        <v>1330957.785</v>
      </c>
    </row>
    <row r="1204" spans="1:37">
      <c r="A1204" t="s">
        <v>1267</v>
      </c>
      <c r="B1204">
        <v>36</v>
      </c>
      <c r="C1204" t="s">
        <v>50</v>
      </c>
      <c r="D1204" t="s">
        <v>45</v>
      </c>
      <c r="E1204">
        <v>1046</v>
      </c>
      <c r="F1204">
        <v>159</v>
      </c>
      <c r="G1204">
        <v>5</v>
      </c>
      <c r="H1204">
        <v>544.61</v>
      </c>
      <c r="I1204">
        <v>2761.64</v>
      </c>
      <c r="J1204">
        <v>19</v>
      </c>
      <c r="K1204">
        <v>0</v>
      </c>
      <c r="L1204">
        <v>39.9</v>
      </c>
      <c r="M1204">
        <v>42.6</v>
      </c>
      <c r="N1204" t="s">
        <v>63</v>
      </c>
      <c r="O1204" t="s">
        <v>75</v>
      </c>
      <c r="P1204" t="s">
        <v>48</v>
      </c>
      <c r="R1204">
        <f>SUMIF(A1204:A6203,"C01203",I1204:I6203)</f>
        <v>2761.64</v>
      </c>
      <c r="S1204" s="1">
        <v>151885.96</v>
      </c>
      <c r="T1204">
        <f t="shared" si="132"/>
        <v>145.349473684211</v>
      </c>
      <c r="U1204">
        <f t="shared" si="129"/>
        <v>809.4</v>
      </c>
      <c r="V1204">
        <f t="shared" si="128"/>
        <v>67.45</v>
      </c>
      <c r="W1204">
        <f t="shared" si="130"/>
        <v>1102.41666666667</v>
      </c>
      <c r="X1204">
        <f t="shared" si="134"/>
        <v>1.92064045830962</v>
      </c>
      <c r="AH1204" t="str">
        <f t="shared" si="133"/>
        <v>3rd Quality</v>
      </c>
      <c r="AJ1204">
        <f>((T1204-X1204)*2)/39.9</f>
        <v>7.1894151992933</v>
      </c>
      <c r="AK1204">
        <f t="shared" si="131"/>
        <v>152035.549473684</v>
      </c>
    </row>
    <row r="1205" spans="1:37">
      <c r="A1205" t="s">
        <v>1268</v>
      </c>
      <c r="B1205">
        <v>28</v>
      </c>
      <c r="C1205" t="s">
        <v>50</v>
      </c>
      <c r="D1205" t="s">
        <v>45</v>
      </c>
      <c r="E1205">
        <v>590</v>
      </c>
      <c r="F1205">
        <v>31</v>
      </c>
      <c r="G1205">
        <v>1</v>
      </c>
      <c r="H1205">
        <v>589.39</v>
      </c>
      <c r="I1205">
        <v>527.47</v>
      </c>
      <c r="J1205">
        <v>10</v>
      </c>
      <c r="K1205">
        <v>0</v>
      </c>
      <c r="L1205">
        <v>29.2</v>
      </c>
      <c r="M1205">
        <v>39.3</v>
      </c>
      <c r="N1205" t="s">
        <v>78</v>
      </c>
      <c r="O1205" t="s">
        <v>47</v>
      </c>
      <c r="P1205" t="s">
        <v>68</v>
      </c>
      <c r="R1205">
        <f>SUMIF(A1205:A6204,"C01204",I1205:I6204)</f>
        <v>527.47</v>
      </c>
      <c r="S1205" s="1">
        <v>84629.59</v>
      </c>
      <c r="T1205">
        <f t="shared" si="132"/>
        <v>52.747</v>
      </c>
      <c r="U1205">
        <f t="shared" si="129"/>
        <v>393</v>
      </c>
      <c r="V1205">
        <f t="shared" si="128"/>
        <v>32.75</v>
      </c>
      <c r="W1205">
        <f t="shared" si="130"/>
        <v>372.62</v>
      </c>
      <c r="X1205">
        <f t="shared" si="134"/>
        <v>1.00103496835711</v>
      </c>
      <c r="AH1205" t="str">
        <f t="shared" si="133"/>
        <v>3rd Quality</v>
      </c>
      <c r="AJ1205">
        <f>((T1205-X1205)*2)/29.2</f>
        <v>3.54424418024951</v>
      </c>
      <c r="AK1205">
        <f t="shared" si="131"/>
        <v>31120.73</v>
      </c>
    </row>
    <row r="1206" spans="1:37">
      <c r="A1206" t="s">
        <v>1269</v>
      </c>
      <c r="B1206">
        <v>18</v>
      </c>
      <c r="C1206" t="s">
        <v>44</v>
      </c>
      <c r="D1206" t="s">
        <v>60</v>
      </c>
      <c r="E1206">
        <v>890</v>
      </c>
      <c r="F1206">
        <v>12</v>
      </c>
      <c r="G1206">
        <v>27</v>
      </c>
      <c r="H1206">
        <v>5771.64</v>
      </c>
      <c r="I1206">
        <v>151885.96</v>
      </c>
      <c r="J1206">
        <v>119</v>
      </c>
      <c r="K1206">
        <v>2</v>
      </c>
      <c r="L1206">
        <v>6.3</v>
      </c>
      <c r="M1206">
        <v>40.1</v>
      </c>
      <c r="N1206" t="s">
        <v>46</v>
      </c>
      <c r="O1206" t="s">
        <v>47</v>
      </c>
      <c r="P1206" t="s">
        <v>58</v>
      </c>
      <c r="R1206">
        <f>SUMIF(A1206:A6205,"C01205",I1206:I6205)</f>
        <v>151885.96</v>
      </c>
      <c r="S1206" s="1">
        <v>92198.47</v>
      </c>
      <c r="T1206">
        <f t="shared" si="132"/>
        <v>1276.35260504202</v>
      </c>
      <c r="U1206">
        <f t="shared" si="129"/>
        <v>4771.9</v>
      </c>
      <c r="V1206">
        <f>U1206*2</f>
        <v>9543.8</v>
      </c>
      <c r="W1206">
        <f t="shared" si="130"/>
        <v>52552.8666666667</v>
      </c>
      <c r="X1206">
        <f t="shared" si="134"/>
        <v>0.154202271797964</v>
      </c>
      <c r="AH1206" t="str">
        <f t="shared" si="133"/>
        <v>2nd Quality</v>
      </c>
      <c r="AJ1206">
        <f>((T1206-X1206)*2)/6.3</f>
        <v>405.142350085785</v>
      </c>
      <c r="AK1206">
        <f t="shared" si="131"/>
        <v>1135953.81848739</v>
      </c>
    </row>
    <row r="1207" spans="1:37">
      <c r="A1207" t="s">
        <v>1270</v>
      </c>
      <c r="B1207">
        <v>26</v>
      </c>
      <c r="C1207" t="s">
        <v>50</v>
      </c>
      <c r="D1207" t="s">
        <v>60</v>
      </c>
      <c r="E1207">
        <v>1053</v>
      </c>
      <c r="F1207">
        <v>19</v>
      </c>
      <c r="G1207">
        <v>15</v>
      </c>
      <c r="H1207">
        <v>5378.08</v>
      </c>
      <c r="I1207">
        <v>84629.59</v>
      </c>
      <c r="J1207">
        <v>85</v>
      </c>
      <c r="K1207">
        <v>0</v>
      </c>
      <c r="L1207">
        <v>14.2</v>
      </c>
      <c r="M1207">
        <v>38</v>
      </c>
      <c r="N1207" t="s">
        <v>57</v>
      </c>
      <c r="O1207" t="s">
        <v>47</v>
      </c>
      <c r="P1207" t="s">
        <v>68</v>
      </c>
      <c r="R1207">
        <f>SUMIF(A1207:A6206,"C01206",I1207:I6206)</f>
        <v>84629.59</v>
      </c>
      <c r="S1207" s="1">
        <v>10016.77</v>
      </c>
      <c r="T1207">
        <f t="shared" si="132"/>
        <v>995.642235294118</v>
      </c>
      <c r="U1207">
        <f t="shared" si="129"/>
        <v>3230</v>
      </c>
      <c r="V1207">
        <f t="shared" si="128"/>
        <v>269.166666666667</v>
      </c>
      <c r="W1207">
        <f t="shared" si="130"/>
        <v>30002.89</v>
      </c>
      <c r="X1207">
        <f t="shared" si="134"/>
        <v>0.195794781780859</v>
      </c>
      <c r="AH1207" t="str">
        <f t="shared" si="133"/>
        <v>1st Quality</v>
      </c>
      <c r="AJ1207">
        <f>((T1207-X1207)*2)/14.2</f>
        <v>140.203724015822</v>
      </c>
      <c r="AK1207">
        <f t="shared" si="131"/>
        <v>1048411.27376471</v>
      </c>
    </row>
    <row r="1208" spans="1:37">
      <c r="A1208" t="s">
        <v>1271</v>
      </c>
      <c r="B1208">
        <v>25</v>
      </c>
      <c r="C1208" t="s">
        <v>44</v>
      </c>
      <c r="D1208" t="s">
        <v>45</v>
      </c>
      <c r="E1208">
        <v>604</v>
      </c>
      <c r="F1208">
        <v>30</v>
      </c>
      <c r="G1208">
        <v>4</v>
      </c>
      <c r="H1208">
        <v>22677.74</v>
      </c>
      <c r="I1208">
        <v>92198.47</v>
      </c>
      <c r="J1208">
        <v>35</v>
      </c>
      <c r="K1208">
        <v>0</v>
      </c>
      <c r="L1208">
        <v>3.7</v>
      </c>
      <c r="M1208">
        <v>81</v>
      </c>
      <c r="N1208" t="s">
        <v>63</v>
      </c>
      <c r="O1208" t="s">
        <v>47</v>
      </c>
      <c r="P1208" t="s">
        <v>66</v>
      </c>
      <c r="R1208">
        <f>SUMIF(A1208:A6207,"C01207",I1208:I6207)</f>
        <v>92198.47</v>
      </c>
      <c r="S1208" s="1">
        <v>9394.72</v>
      </c>
      <c r="T1208">
        <f t="shared" si="132"/>
        <v>2634.242</v>
      </c>
      <c r="U1208">
        <f t="shared" si="129"/>
        <v>2835</v>
      </c>
      <c r="V1208">
        <f t="shared" si="128"/>
        <v>236.25</v>
      </c>
      <c r="W1208">
        <f t="shared" si="130"/>
        <v>38292.4033333333</v>
      </c>
      <c r="X1208">
        <f t="shared" si="134"/>
        <v>0.0266340473080651</v>
      </c>
      <c r="AH1208" t="str">
        <f t="shared" si="133"/>
        <v>2nd Quality</v>
      </c>
      <c r="AJ1208">
        <f>((T1208-X1208)*2)/3.7</f>
        <v>1423.90019781227</v>
      </c>
      <c r="AK1208">
        <f t="shared" si="131"/>
        <v>1591082.168</v>
      </c>
    </row>
    <row r="1209" spans="1:37">
      <c r="A1209" t="s">
        <v>1272</v>
      </c>
      <c r="B1209">
        <v>40</v>
      </c>
      <c r="C1209" t="s">
        <v>50</v>
      </c>
      <c r="D1209" t="s">
        <v>45</v>
      </c>
      <c r="E1209">
        <v>682</v>
      </c>
      <c r="F1209">
        <v>143</v>
      </c>
      <c r="G1209">
        <v>6</v>
      </c>
      <c r="H1209">
        <v>1602.11</v>
      </c>
      <c r="I1209">
        <v>10016.77</v>
      </c>
      <c r="J1209">
        <v>38</v>
      </c>
      <c r="K1209">
        <v>2</v>
      </c>
      <c r="L1209">
        <v>14</v>
      </c>
      <c r="M1209">
        <v>5.9</v>
      </c>
      <c r="N1209" t="s">
        <v>61</v>
      </c>
      <c r="O1209" t="s">
        <v>75</v>
      </c>
      <c r="P1209" t="s">
        <v>58</v>
      </c>
      <c r="R1209">
        <f>SUMIF(A1209:A6208,"C01208",I1209:I6208)</f>
        <v>10016.77</v>
      </c>
      <c r="S1209" s="1">
        <v>10814.36</v>
      </c>
      <c r="T1209">
        <f t="shared" si="132"/>
        <v>263.599210526316</v>
      </c>
      <c r="U1209">
        <f t="shared" si="129"/>
        <v>224.2</v>
      </c>
      <c r="V1209">
        <f>U1209*2</f>
        <v>448.4</v>
      </c>
      <c r="W1209">
        <f t="shared" si="130"/>
        <v>3873.29333333333</v>
      </c>
      <c r="X1209">
        <f t="shared" si="134"/>
        <v>0.42568862312825</v>
      </c>
      <c r="AH1209" t="str">
        <f t="shared" si="133"/>
        <v>3rd Quality</v>
      </c>
      <c r="AJ1209">
        <f>((T1209-X1209)*2)/14</f>
        <v>37.5962174147411</v>
      </c>
      <c r="AK1209">
        <f t="shared" si="131"/>
        <v>179774.661578947</v>
      </c>
    </row>
    <row r="1210" spans="1:37">
      <c r="A1210" t="s">
        <v>1273</v>
      </c>
      <c r="B1210">
        <v>52</v>
      </c>
      <c r="C1210" t="s">
        <v>50</v>
      </c>
      <c r="D1210" t="s">
        <v>45</v>
      </c>
      <c r="E1210">
        <v>522</v>
      </c>
      <c r="F1210">
        <v>59</v>
      </c>
      <c r="G1210">
        <v>6</v>
      </c>
      <c r="H1210">
        <v>1724.81</v>
      </c>
      <c r="I1210">
        <v>9394.72</v>
      </c>
      <c r="J1210">
        <v>34</v>
      </c>
      <c r="K1210">
        <v>0</v>
      </c>
      <c r="L1210">
        <v>12.1</v>
      </c>
      <c r="M1210">
        <v>43.5</v>
      </c>
      <c r="N1210" t="s">
        <v>81</v>
      </c>
      <c r="O1210" t="s">
        <v>75</v>
      </c>
      <c r="P1210" t="s">
        <v>48</v>
      </c>
      <c r="R1210">
        <f>SUMIF(A1210:A6209,"C01209",I1210:I6209)</f>
        <v>9394.72</v>
      </c>
      <c r="S1210" s="1">
        <v>825.5</v>
      </c>
      <c r="T1210">
        <f t="shared" si="132"/>
        <v>276.315294117647</v>
      </c>
      <c r="U1210">
        <f t="shared" si="129"/>
        <v>1479</v>
      </c>
      <c r="V1210">
        <f t="shared" si="128"/>
        <v>123.25</v>
      </c>
      <c r="W1210">
        <f t="shared" si="130"/>
        <v>3706.84333333333</v>
      </c>
      <c r="X1210">
        <f t="shared" si="134"/>
        <v>0.302642030136653</v>
      </c>
      <c r="AH1210" t="str">
        <f t="shared" si="133"/>
        <v>3rd Quality</v>
      </c>
      <c r="AJ1210">
        <f>((T1210-X1210)*2)/12.1</f>
        <v>45.6219259648777</v>
      </c>
      <c r="AK1210">
        <f t="shared" si="131"/>
        <v>144236.583529412</v>
      </c>
    </row>
    <row r="1211" spans="1:37">
      <c r="A1211" t="s">
        <v>1274</v>
      </c>
      <c r="B1211">
        <v>37</v>
      </c>
      <c r="C1211" t="s">
        <v>44</v>
      </c>
      <c r="D1211" t="s">
        <v>60</v>
      </c>
      <c r="E1211">
        <v>550</v>
      </c>
      <c r="F1211">
        <v>15</v>
      </c>
      <c r="G1211">
        <v>8</v>
      </c>
      <c r="H1211">
        <v>1272.8</v>
      </c>
      <c r="I1211">
        <v>10814.36</v>
      </c>
      <c r="J1211">
        <v>37</v>
      </c>
      <c r="K1211">
        <v>0</v>
      </c>
      <c r="L1211">
        <v>11.5</v>
      </c>
      <c r="M1211">
        <v>51.3</v>
      </c>
      <c r="N1211" t="s">
        <v>81</v>
      </c>
      <c r="O1211" t="s">
        <v>47</v>
      </c>
      <c r="P1211" t="s">
        <v>68</v>
      </c>
      <c r="R1211">
        <f>SUMIF(A1211:A6210,"C01210",I1211:I6210)</f>
        <v>10814.36</v>
      </c>
      <c r="S1211" s="1">
        <v>6498.41</v>
      </c>
      <c r="T1211">
        <f t="shared" si="132"/>
        <v>292.28</v>
      </c>
      <c r="U1211">
        <f t="shared" si="129"/>
        <v>1898.1</v>
      </c>
      <c r="V1211">
        <f t="shared" si="128"/>
        <v>158.175</v>
      </c>
      <c r="W1211">
        <f t="shared" si="130"/>
        <v>4029.38666666667</v>
      </c>
      <c r="X1211">
        <f t="shared" si="134"/>
        <v>0.432118164676304</v>
      </c>
      <c r="AH1211" t="str">
        <f t="shared" si="133"/>
        <v>3rd Quality</v>
      </c>
      <c r="AJ1211">
        <f>((T1211-X1211)*2)/11.5</f>
        <v>50.756153362665</v>
      </c>
      <c r="AK1211">
        <f t="shared" si="131"/>
        <v>160754</v>
      </c>
    </row>
    <row r="1212" spans="1:37">
      <c r="A1212" t="s">
        <v>1275</v>
      </c>
      <c r="B1212">
        <v>38</v>
      </c>
      <c r="C1212" t="s">
        <v>50</v>
      </c>
      <c r="D1212" t="s">
        <v>45</v>
      </c>
      <c r="E1212">
        <v>1377</v>
      </c>
      <c r="F1212">
        <v>37</v>
      </c>
      <c r="G1212">
        <v>1</v>
      </c>
      <c r="H1212">
        <v>744.02</v>
      </c>
      <c r="I1212">
        <v>825.5</v>
      </c>
      <c r="J1212">
        <v>9</v>
      </c>
      <c r="K1212">
        <v>0</v>
      </c>
      <c r="L1212">
        <v>30.6</v>
      </c>
      <c r="M1212">
        <v>18.4</v>
      </c>
      <c r="N1212" t="s">
        <v>52</v>
      </c>
      <c r="O1212" t="s">
        <v>75</v>
      </c>
      <c r="P1212" t="s">
        <v>58</v>
      </c>
      <c r="R1212">
        <f>SUMIF(A1212:A6211,"C01211",I1212:I6211)</f>
        <v>825.5</v>
      </c>
      <c r="S1212" s="1">
        <v>28727.53</v>
      </c>
      <c r="T1212">
        <f t="shared" si="132"/>
        <v>91.7222222222222</v>
      </c>
      <c r="U1212">
        <f t="shared" si="129"/>
        <v>165.6</v>
      </c>
      <c r="V1212">
        <f t="shared" si="128"/>
        <v>13.8</v>
      </c>
      <c r="W1212">
        <f t="shared" si="130"/>
        <v>523.506666666667</v>
      </c>
      <c r="X1212">
        <f t="shared" si="134"/>
        <v>1.85075670008871</v>
      </c>
      <c r="AH1212" t="str">
        <f t="shared" si="133"/>
        <v>3rd Quality</v>
      </c>
      <c r="AJ1212">
        <f>((T1212-X1212)*2)/30.6</f>
        <v>5.87395199491069</v>
      </c>
      <c r="AK1212">
        <f t="shared" si="131"/>
        <v>126301.5</v>
      </c>
    </row>
    <row r="1213" spans="1:37">
      <c r="A1213" t="s">
        <v>1276</v>
      </c>
      <c r="B1213">
        <v>24</v>
      </c>
      <c r="C1213" t="s">
        <v>44</v>
      </c>
      <c r="D1213" t="s">
        <v>60</v>
      </c>
      <c r="E1213">
        <v>1251</v>
      </c>
      <c r="F1213">
        <v>46</v>
      </c>
      <c r="G1213">
        <v>5</v>
      </c>
      <c r="H1213">
        <v>1183.89</v>
      </c>
      <c r="I1213">
        <v>6498.41</v>
      </c>
      <c r="J1213">
        <v>31</v>
      </c>
      <c r="K1213">
        <v>2</v>
      </c>
      <c r="L1213">
        <v>33.7</v>
      </c>
      <c r="M1213">
        <v>62.6</v>
      </c>
      <c r="N1213" t="s">
        <v>78</v>
      </c>
      <c r="O1213" t="s">
        <v>47</v>
      </c>
      <c r="P1213" t="s">
        <v>58</v>
      </c>
      <c r="R1213">
        <f>SUMIF(A1213:A6212,"C01212",I1213:I6212)</f>
        <v>6498.41</v>
      </c>
      <c r="S1213" s="1">
        <v>11514.94</v>
      </c>
      <c r="T1213">
        <f t="shared" si="132"/>
        <v>209.626129032258</v>
      </c>
      <c r="U1213">
        <f t="shared" si="129"/>
        <v>1940.6</v>
      </c>
      <c r="V1213">
        <f>U1213*2</f>
        <v>3881.2</v>
      </c>
      <c r="W1213">
        <f t="shared" si="130"/>
        <v>2561.1</v>
      </c>
      <c r="X1213">
        <f t="shared" si="134"/>
        <v>1.05668600967995</v>
      </c>
      <c r="AH1213" t="str">
        <f t="shared" si="133"/>
        <v>3rd Quality</v>
      </c>
      <c r="AJ1213">
        <f>((T1213-X1213)*2)/33.7</f>
        <v>12.3780084879868</v>
      </c>
      <c r="AK1213">
        <f t="shared" si="131"/>
        <v>262242.287419355</v>
      </c>
    </row>
    <row r="1214" spans="1:37">
      <c r="A1214" t="s">
        <v>1277</v>
      </c>
      <c r="B1214">
        <v>26</v>
      </c>
      <c r="C1214" t="s">
        <v>44</v>
      </c>
      <c r="D1214" t="s">
        <v>45</v>
      </c>
      <c r="E1214">
        <v>581</v>
      </c>
      <c r="F1214">
        <v>19</v>
      </c>
      <c r="G1214">
        <v>2</v>
      </c>
      <c r="H1214">
        <v>15940.18</v>
      </c>
      <c r="I1214">
        <v>28727.53</v>
      </c>
      <c r="J1214">
        <v>25</v>
      </c>
      <c r="K1214">
        <v>0</v>
      </c>
      <c r="L1214">
        <v>0</v>
      </c>
      <c r="M1214">
        <v>11.8</v>
      </c>
      <c r="N1214" t="s">
        <v>57</v>
      </c>
      <c r="O1214" t="s">
        <v>47</v>
      </c>
      <c r="P1214" t="s">
        <v>66</v>
      </c>
      <c r="R1214">
        <f>SUMIF(A1214:A6213,"C01213",I1214:I6213)</f>
        <v>28727.53</v>
      </c>
      <c r="S1214" s="1">
        <v>11811.69</v>
      </c>
      <c r="T1214">
        <f t="shared" si="132"/>
        <v>1149.1012</v>
      </c>
      <c r="U1214">
        <f t="shared" si="129"/>
        <v>295</v>
      </c>
      <c r="V1214">
        <f t="shared" si="128"/>
        <v>24.5833333333333</v>
      </c>
      <c r="W1214">
        <f t="shared" si="130"/>
        <v>14889.57</v>
      </c>
      <c r="X1214">
        <f t="shared" si="134"/>
        <v>0.036448772849491</v>
      </c>
      <c r="AH1214" t="str">
        <f t="shared" si="133"/>
        <v>2nd Quality</v>
      </c>
      <c r="AJ1214">
        <f>((T1214-X1214)*2)</f>
        <v>2298.1295024543</v>
      </c>
      <c r="AK1214">
        <f t="shared" si="131"/>
        <v>667627.7972</v>
      </c>
    </row>
    <row r="1215" spans="1:37">
      <c r="A1215" t="s">
        <v>1278</v>
      </c>
      <c r="B1215">
        <v>38</v>
      </c>
      <c r="C1215" t="s">
        <v>50</v>
      </c>
      <c r="D1215" t="s">
        <v>60</v>
      </c>
      <c r="E1215">
        <v>998</v>
      </c>
      <c r="F1215">
        <v>35</v>
      </c>
      <c r="G1215">
        <v>7</v>
      </c>
      <c r="H1215">
        <v>1820.36</v>
      </c>
      <c r="I1215">
        <v>11514.94</v>
      </c>
      <c r="J1215">
        <v>25</v>
      </c>
      <c r="K1215">
        <v>0</v>
      </c>
      <c r="L1215">
        <v>25.4</v>
      </c>
      <c r="M1215">
        <v>35.7</v>
      </c>
      <c r="N1215" t="s">
        <v>61</v>
      </c>
      <c r="O1215" t="s">
        <v>53</v>
      </c>
      <c r="P1215" t="s">
        <v>58</v>
      </c>
      <c r="R1215">
        <f>SUMIF(A1215:A6214,"C01214",I1215:I6214)</f>
        <v>11514.94</v>
      </c>
      <c r="S1215" s="1">
        <v>33264.13</v>
      </c>
      <c r="T1215">
        <f t="shared" si="132"/>
        <v>460.5976</v>
      </c>
      <c r="U1215">
        <f t="shared" si="129"/>
        <v>892.5</v>
      </c>
      <c r="V1215">
        <f t="shared" ref="V1215:V1278" si="135">U1215/12</f>
        <v>74.375</v>
      </c>
      <c r="W1215">
        <f t="shared" si="130"/>
        <v>4445.43333333333</v>
      </c>
      <c r="X1215">
        <f t="shared" si="134"/>
        <v>0.54824320464084</v>
      </c>
      <c r="AH1215" t="str">
        <f t="shared" si="133"/>
        <v>3rd Quality</v>
      </c>
      <c r="AJ1215">
        <f>((T1215-X1215)*2)/25.4</f>
        <v>36.2243588027842</v>
      </c>
      <c r="AK1215">
        <f t="shared" si="131"/>
        <v>459676.4048</v>
      </c>
    </row>
    <row r="1216" spans="1:37">
      <c r="A1216" t="s">
        <v>1279</v>
      </c>
      <c r="B1216">
        <v>38</v>
      </c>
      <c r="C1216" t="s">
        <v>44</v>
      </c>
      <c r="D1216" t="s">
        <v>60</v>
      </c>
      <c r="E1216">
        <v>485</v>
      </c>
      <c r="F1216">
        <v>45</v>
      </c>
      <c r="G1216">
        <v>12</v>
      </c>
      <c r="H1216">
        <v>981.16</v>
      </c>
      <c r="I1216">
        <v>11811.69</v>
      </c>
      <c r="J1216">
        <v>75</v>
      </c>
      <c r="K1216">
        <v>0</v>
      </c>
      <c r="L1216">
        <v>25.3</v>
      </c>
      <c r="M1216">
        <v>13.3</v>
      </c>
      <c r="N1216" t="s">
        <v>63</v>
      </c>
      <c r="O1216" t="s">
        <v>47</v>
      </c>
      <c r="P1216" t="s">
        <v>58</v>
      </c>
      <c r="R1216">
        <f>SUMIF(A1216:A6215,"C01215",I1216:I6215)</f>
        <v>11811.69</v>
      </c>
      <c r="S1216" s="1">
        <v>6562.99</v>
      </c>
      <c r="T1216">
        <f t="shared" si="132"/>
        <v>157.4892</v>
      </c>
      <c r="U1216">
        <f t="shared" si="129"/>
        <v>997.5</v>
      </c>
      <c r="V1216">
        <f t="shared" si="135"/>
        <v>83.125</v>
      </c>
      <c r="W1216">
        <f t="shared" si="130"/>
        <v>4264.61666666667</v>
      </c>
      <c r="X1216">
        <f t="shared" si="134"/>
        <v>0.494312854172612</v>
      </c>
      <c r="AH1216" t="str">
        <f t="shared" si="133"/>
        <v>3rd Quality</v>
      </c>
      <c r="AJ1216">
        <f>((T1216-X1216)*2)/25.3</f>
        <v>12.4106630154804</v>
      </c>
      <c r="AK1216">
        <f t="shared" si="131"/>
        <v>76382.262</v>
      </c>
    </row>
    <row r="1217" spans="1:37">
      <c r="A1217" t="s">
        <v>1280</v>
      </c>
      <c r="B1217">
        <v>46</v>
      </c>
      <c r="C1217" t="s">
        <v>50</v>
      </c>
      <c r="D1217" t="s">
        <v>60</v>
      </c>
      <c r="E1217">
        <v>1307</v>
      </c>
      <c r="F1217">
        <v>70</v>
      </c>
      <c r="G1217">
        <v>3</v>
      </c>
      <c r="H1217">
        <v>11024.38</v>
      </c>
      <c r="I1217">
        <v>33264.13</v>
      </c>
      <c r="J1217">
        <v>16</v>
      </c>
      <c r="K1217">
        <v>0</v>
      </c>
      <c r="L1217">
        <v>8.4</v>
      </c>
      <c r="M1217">
        <v>7.6</v>
      </c>
      <c r="N1217" t="s">
        <v>63</v>
      </c>
      <c r="O1217" t="s">
        <v>47</v>
      </c>
      <c r="P1217" t="s">
        <v>68</v>
      </c>
      <c r="R1217">
        <f>SUMIF(A1217:A6216,"C01216",I1217:I6216)</f>
        <v>33264.13</v>
      </c>
      <c r="S1217" s="1">
        <v>40668.12</v>
      </c>
      <c r="T1217">
        <f t="shared" si="132"/>
        <v>2079.008125</v>
      </c>
      <c r="U1217">
        <f t="shared" si="129"/>
        <v>121.6</v>
      </c>
      <c r="V1217">
        <f t="shared" si="135"/>
        <v>10.1333333333333</v>
      </c>
      <c r="W1217">
        <f t="shared" si="130"/>
        <v>14763.17</v>
      </c>
      <c r="X1217">
        <f t="shared" si="134"/>
        <v>0.118555419896629</v>
      </c>
      <c r="AH1217" t="str">
        <f t="shared" si="133"/>
        <v>3rd Quality</v>
      </c>
      <c r="AJ1217">
        <f>((T1217-X1217)*2)/8.4</f>
        <v>494.973707042882</v>
      </c>
      <c r="AK1217">
        <f t="shared" si="131"/>
        <v>2717263.619375</v>
      </c>
    </row>
    <row r="1218" spans="1:37">
      <c r="A1218" t="s">
        <v>1281</v>
      </c>
      <c r="B1218">
        <v>29</v>
      </c>
      <c r="C1218" t="s">
        <v>101</v>
      </c>
      <c r="D1218" t="s">
        <v>60</v>
      </c>
      <c r="E1218">
        <v>1200</v>
      </c>
      <c r="F1218">
        <v>65</v>
      </c>
      <c r="G1218">
        <v>6</v>
      </c>
      <c r="H1218">
        <v>1007.48</v>
      </c>
      <c r="I1218">
        <v>6562.99</v>
      </c>
      <c r="J1218">
        <v>24</v>
      </c>
      <c r="K1218">
        <v>1</v>
      </c>
      <c r="L1218">
        <v>26.8</v>
      </c>
      <c r="M1218">
        <v>22.4</v>
      </c>
      <c r="N1218" t="s">
        <v>46</v>
      </c>
      <c r="O1218" t="s">
        <v>47</v>
      </c>
      <c r="P1218" t="s">
        <v>58</v>
      </c>
      <c r="R1218">
        <f>SUMIF(A1218:A6217,"C01217",I1218:I6217)</f>
        <v>6562.99</v>
      </c>
      <c r="S1218" s="1">
        <v>1588.38</v>
      </c>
      <c r="T1218">
        <f t="shared" si="132"/>
        <v>273.457916666667</v>
      </c>
      <c r="U1218">
        <f t="shared" si="129"/>
        <v>537.6</v>
      </c>
      <c r="V1218">
        <f>U1218*1</f>
        <v>537.6</v>
      </c>
      <c r="W1218">
        <f t="shared" si="130"/>
        <v>2523.82333333333</v>
      </c>
      <c r="X1218">
        <f t="shared" si="134"/>
        <v>1.19109064199786</v>
      </c>
      <c r="AH1218" t="str">
        <f t="shared" si="133"/>
        <v>3rd Quality</v>
      </c>
      <c r="AJ1218">
        <f>((T1218-X1218)*2)/26.8</f>
        <v>20.3184198525873</v>
      </c>
      <c r="AK1218">
        <f t="shared" si="131"/>
        <v>328149.5</v>
      </c>
    </row>
    <row r="1219" spans="1:37">
      <c r="A1219" t="s">
        <v>1282</v>
      </c>
      <c r="B1219">
        <v>26</v>
      </c>
      <c r="C1219" t="s">
        <v>50</v>
      </c>
      <c r="D1219" t="s">
        <v>45</v>
      </c>
      <c r="E1219">
        <v>1222</v>
      </c>
      <c r="F1219">
        <v>22</v>
      </c>
      <c r="G1219">
        <v>5</v>
      </c>
      <c r="H1219">
        <v>8397.9</v>
      </c>
      <c r="I1219">
        <v>40668.12</v>
      </c>
      <c r="J1219">
        <v>20</v>
      </c>
      <c r="K1219">
        <v>1</v>
      </c>
      <c r="L1219">
        <v>7.5</v>
      </c>
      <c r="M1219">
        <v>10.6</v>
      </c>
      <c r="N1219" t="s">
        <v>81</v>
      </c>
      <c r="O1219" t="s">
        <v>47</v>
      </c>
      <c r="P1219" t="s">
        <v>68</v>
      </c>
      <c r="R1219">
        <f>SUMIF(A1219:A6218,"C01218",I1219:I6218)</f>
        <v>40668.12</v>
      </c>
      <c r="S1219" s="1">
        <v>35801.24</v>
      </c>
      <c r="T1219">
        <f t="shared" si="132"/>
        <v>2033.406</v>
      </c>
      <c r="U1219">
        <f t="shared" ref="U1219:U1282" si="136">J1219*M1219</f>
        <v>212</v>
      </c>
      <c r="V1219">
        <f>U1219*1</f>
        <v>212</v>
      </c>
      <c r="W1219">
        <f t="shared" ref="W1219:W1282" si="137">(H1219+I1219+1)/3</f>
        <v>16355.6733333333</v>
      </c>
      <c r="X1219">
        <f t="shared" si="134"/>
        <v>0.145512568618345</v>
      </c>
      <c r="AH1219" t="str">
        <f t="shared" si="133"/>
        <v>1st Quality</v>
      </c>
      <c r="AJ1219">
        <f>((T1219-X1219)*2)/7.5</f>
        <v>542.202796648368</v>
      </c>
      <c r="AK1219">
        <f t="shared" ref="AK1219:AK1282" si="138">I1219/J1219*E1219</f>
        <v>2484822.132</v>
      </c>
    </row>
    <row r="1220" spans="1:37">
      <c r="A1220" t="s">
        <v>1283</v>
      </c>
      <c r="B1220">
        <v>59</v>
      </c>
      <c r="C1220" t="s">
        <v>56</v>
      </c>
      <c r="D1220" t="s">
        <v>60</v>
      </c>
      <c r="E1220">
        <v>711</v>
      </c>
      <c r="F1220">
        <v>69</v>
      </c>
      <c r="G1220">
        <v>1</v>
      </c>
      <c r="H1220">
        <v>1582.88</v>
      </c>
      <c r="I1220">
        <v>1588.38</v>
      </c>
      <c r="J1220">
        <v>11</v>
      </c>
      <c r="K1220">
        <v>0</v>
      </c>
      <c r="L1220">
        <v>38.3</v>
      </c>
      <c r="M1220">
        <v>47.7</v>
      </c>
      <c r="N1220" t="s">
        <v>61</v>
      </c>
      <c r="O1220" t="s">
        <v>53</v>
      </c>
      <c r="P1220" t="s">
        <v>58</v>
      </c>
      <c r="R1220">
        <f>SUMIF(A1220:A6219,"C01219",I1220:I6219)</f>
        <v>1588.38</v>
      </c>
      <c r="S1220" s="1">
        <v>226168</v>
      </c>
      <c r="T1220">
        <f t="shared" si="132"/>
        <v>144.398181818182</v>
      </c>
      <c r="U1220">
        <f t="shared" si="136"/>
        <v>524.7</v>
      </c>
      <c r="V1220">
        <f t="shared" si="135"/>
        <v>43.725</v>
      </c>
      <c r="W1220">
        <f t="shared" si="137"/>
        <v>1057.42</v>
      </c>
      <c r="X1220">
        <f t="shared" si="134"/>
        <v>0.449181239260083</v>
      </c>
      <c r="AH1220" t="str">
        <f t="shared" si="133"/>
        <v>3rd Quality</v>
      </c>
      <c r="AJ1220">
        <f>((T1220-X1220)*2)/38.3</f>
        <v>7.51691909028313</v>
      </c>
      <c r="AK1220">
        <f t="shared" si="138"/>
        <v>102667.107272727</v>
      </c>
    </row>
    <row r="1221" spans="1:37">
      <c r="A1221" t="s">
        <v>1284</v>
      </c>
      <c r="B1221">
        <v>43</v>
      </c>
      <c r="C1221" t="s">
        <v>44</v>
      </c>
      <c r="D1221" t="s">
        <v>45</v>
      </c>
      <c r="E1221">
        <v>775</v>
      </c>
      <c r="F1221">
        <v>17</v>
      </c>
      <c r="G1221">
        <v>19</v>
      </c>
      <c r="H1221">
        <v>2028.53</v>
      </c>
      <c r="I1221">
        <v>35801.24</v>
      </c>
      <c r="J1221">
        <v>47</v>
      </c>
      <c r="K1221">
        <v>0</v>
      </c>
      <c r="L1221">
        <v>13.4</v>
      </c>
      <c r="M1221">
        <v>57.3</v>
      </c>
      <c r="N1221" t="s">
        <v>61</v>
      </c>
      <c r="O1221" t="s">
        <v>75</v>
      </c>
      <c r="P1221" t="s">
        <v>68</v>
      </c>
      <c r="R1221">
        <f>SUMIF(A1221:A6220,"C01220",I1221:I6220)</f>
        <v>35801.24</v>
      </c>
      <c r="S1221" s="1">
        <v>71687.8</v>
      </c>
      <c r="T1221">
        <f t="shared" si="132"/>
        <v>761.728510638298</v>
      </c>
      <c r="U1221">
        <f t="shared" si="136"/>
        <v>2693.1</v>
      </c>
      <c r="V1221">
        <f t="shared" si="135"/>
        <v>224.425</v>
      </c>
      <c r="W1221">
        <f t="shared" si="137"/>
        <v>12610.2566666667</v>
      </c>
      <c r="X1221">
        <f t="shared" si="134"/>
        <v>0.382050055951847</v>
      </c>
      <c r="AH1221" t="str">
        <f t="shared" si="133"/>
        <v>2nd Quality</v>
      </c>
      <c r="AJ1221">
        <f>((T1221-X1221)*2)/13.4</f>
        <v>113.633800086917</v>
      </c>
      <c r="AK1221">
        <f t="shared" si="138"/>
        <v>590339.595744681</v>
      </c>
    </row>
    <row r="1222" spans="1:37">
      <c r="A1222" t="s">
        <v>1285</v>
      </c>
      <c r="B1222">
        <v>42</v>
      </c>
      <c r="C1222" t="s">
        <v>44</v>
      </c>
      <c r="D1222" t="s">
        <v>60</v>
      </c>
      <c r="E1222">
        <v>1324</v>
      </c>
      <c r="F1222">
        <v>6</v>
      </c>
      <c r="G1222">
        <v>28</v>
      </c>
      <c r="H1222">
        <v>7295.48</v>
      </c>
      <c r="I1222">
        <v>226168</v>
      </c>
      <c r="J1222">
        <v>61</v>
      </c>
      <c r="K1222">
        <v>2</v>
      </c>
      <c r="L1222">
        <v>0.2</v>
      </c>
      <c r="M1222">
        <v>33.3</v>
      </c>
      <c r="N1222" t="s">
        <v>78</v>
      </c>
      <c r="O1222" t="s">
        <v>75</v>
      </c>
      <c r="P1222" t="s">
        <v>54</v>
      </c>
      <c r="R1222">
        <f>SUMIF(A1222:A6221,"C01221",I1222:I6221)</f>
        <v>226168</v>
      </c>
      <c r="S1222" s="1">
        <v>1562.15</v>
      </c>
      <c r="T1222">
        <f t="shared" si="132"/>
        <v>3707.67213114754</v>
      </c>
      <c r="U1222">
        <f t="shared" si="136"/>
        <v>2031.3</v>
      </c>
      <c r="V1222">
        <f>U1222*2</f>
        <v>4062.6</v>
      </c>
      <c r="W1222">
        <f t="shared" si="137"/>
        <v>77821.4933333333</v>
      </c>
      <c r="X1222">
        <f t="shared" si="134"/>
        <v>0.181482232834577</v>
      </c>
      <c r="AH1222" t="str">
        <f t="shared" si="133"/>
        <v>2nd Quality</v>
      </c>
      <c r="AJ1222">
        <f>((T1222-X1222)*2)/0.2</f>
        <v>37074.906489147</v>
      </c>
      <c r="AK1222">
        <f t="shared" si="138"/>
        <v>4908957.90163934</v>
      </c>
    </row>
    <row r="1223" spans="1:37">
      <c r="A1223" t="s">
        <v>1286</v>
      </c>
      <c r="B1223">
        <v>20</v>
      </c>
      <c r="C1223" t="s">
        <v>44</v>
      </c>
      <c r="D1223" t="s">
        <v>45</v>
      </c>
      <c r="E1223">
        <v>982</v>
      </c>
      <c r="F1223">
        <v>14</v>
      </c>
      <c r="G1223">
        <v>20</v>
      </c>
      <c r="H1223">
        <v>3943.13</v>
      </c>
      <c r="I1223">
        <v>71687.8</v>
      </c>
      <c r="J1223">
        <v>70</v>
      </c>
      <c r="K1223">
        <v>2</v>
      </c>
      <c r="L1223">
        <v>21.9</v>
      </c>
      <c r="M1223">
        <v>26.4</v>
      </c>
      <c r="N1223" t="s">
        <v>52</v>
      </c>
      <c r="O1223" t="s">
        <v>47</v>
      </c>
      <c r="P1223" t="s">
        <v>58</v>
      </c>
      <c r="R1223">
        <f>SUMIF(A1223:A6222,"C01222",I1223:I6222)</f>
        <v>71687.8</v>
      </c>
      <c r="S1223" s="1">
        <v>21327.26</v>
      </c>
      <c r="T1223">
        <f t="shared" si="132"/>
        <v>1024.11142857143</v>
      </c>
      <c r="U1223">
        <f t="shared" si="136"/>
        <v>1848</v>
      </c>
      <c r="V1223">
        <f>U1223*2</f>
        <v>3696</v>
      </c>
      <c r="W1223">
        <f t="shared" si="137"/>
        <v>25210.6433333333</v>
      </c>
      <c r="X1223">
        <f t="shared" si="134"/>
        <v>0.249040736673658</v>
      </c>
      <c r="AH1223" t="str">
        <f t="shared" si="133"/>
        <v>1st Quality</v>
      </c>
      <c r="AJ1223">
        <f>((T1223-X1223)*2)/21.9</f>
        <v>93.503414414133</v>
      </c>
      <c r="AK1223">
        <f t="shared" si="138"/>
        <v>1005677.42285714</v>
      </c>
    </row>
    <row r="1224" spans="1:37">
      <c r="A1224" t="s">
        <v>1287</v>
      </c>
      <c r="B1224">
        <v>36</v>
      </c>
      <c r="C1224" t="s">
        <v>44</v>
      </c>
      <c r="D1224" t="s">
        <v>60</v>
      </c>
      <c r="E1224">
        <v>1004</v>
      </c>
      <c r="F1224">
        <v>48</v>
      </c>
      <c r="G1224">
        <v>1</v>
      </c>
      <c r="H1224">
        <v>1424.05</v>
      </c>
      <c r="I1224">
        <v>1562.15</v>
      </c>
      <c r="J1224">
        <v>17</v>
      </c>
      <c r="K1224">
        <v>0</v>
      </c>
      <c r="L1224">
        <v>10.3</v>
      </c>
      <c r="M1224">
        <v>53.7</v>
      </c>
      <c r="N1224" t="s">
        <v>63</v>
      </c>
      <c r="O1224" t="s">
        <v>47</v>
      </c>
      <c r="P1224" t="s">
        <v>68</v>
      </c>
      <c r="R1224">
        <f>SUMIF(A1224:A6223,"C01223",I1224:I6223)</f>
        <v>1562.15</v>
      </c>
      <c r="S1224" s="1">
        <v>50612.54</v>
      </c>
      <c r="T1224">
        <f t="shared" si="132"/>
        <v>91.8911764705882</v>
      </c>
      <c r="U1224">
        <f t="shared" si="136"/>
        <v>912.9</v>
      </c>
      <c r="V1224">
        <f t="shared" si="135"/>
        <v>76.075</v>
      </c>
      <c r="W1224">
        <f t="shared" si="137"/>
        <v>995.733333333333</v>
      </c>
      <c r="X1224">
        <f t="shared" si="134"/>
        <v>0.705031424458411</v>
      </c>
      <c r="AH1224" t="str">
        <f t="shared" si="133"/>
        <v>3rd Quality</v>
      </c>
      <c r="AJ1224">
        <f>((T1224-X1224)*2)/10.3</f>
        <v>17.7060475817728</v>
      </c>
      <c r="AK1224">
        <f t="shared" si="138"/>
        <v>92258.7411764706</v>
      </c>
    </row>
    <row r="1225" spans="1:37">
      <c r="A1225" t="s">
        <v>1288</v>
      </c>
      <c r="B1225">
        <v>46</v>
      </c>
      <c r="C1225" t="s">
        <v>50</v>
      </c>
      <c r="D1225" t="s">
        <v>51</v>
      </c>
      <c r="E1225">
        <v>1446</v>
      </c>
      <c r="F1225">
        <v>39</v>
      </c>
      <c r="G1225">
        <v>2</v>
      </c>
      <c r="H1225">
        <v>9749.48</v>
      </c>
      <c r="I1225">
        <v>21327.26</v>
      </c>
      <c r="J1225">
        <v>17</v>
      </c>
      <c r="K1225">
        <v>0</v>
      </c>
      <c r="L1225">
        <v>5.9</v>
      </c>
      <c r="M1225">
        <v>17.1</v>
      </c>
      <c r="N1225" t="s">
        <v>63</v>
      </c>
      <c r="O1225" t="s">
        <v>47</v>
      </c>
      <c r="P1225" t="s">
        <v>58</v>
      </c>
      <c r="R1225">
        <f>SUMIF(A1225:A6224,"C01224",I1225:I6224)</f>
        <v>21327.26</v>
      </c>
      <c r="S1225" s="1">
        <v>1472.27</v>
      </c>
      <c r="T1225">
        <f t="shared" si="132"/>
        <v>1254.54470588235</v>
      </c>
      <c r="U1225">
        <f t="shared" si="136"/>
        <v>290.7</v>
      </c>
      <c r="V1225">
        <f t="shared" si="135"/>
        <v>24.225</v>
      </c>
      <c r="W1225">
        <f t="shared" si="137"/>
        <v>10359.2466666667</v>
      </c>
      <c r="X1225">
        <f t="shared" si="134"/>
        <v>0.148315602473158</v>
      </c>
      <c r="AH1225" t="str">
        <f t="shared" si="133"/>
        <v>3rd Quality</v>
      </c>
      <c r="AJ1225">
        <f>((T1225-X1225)*2)/5.9</f>
        <v>425.219115349111</v>
      </c>
      <c r="AK1225">
        <f t="shared" si="138"/>
        <v>1814071.64470588</v>
      </c>
    </row>
    <row r="1226" spans="1:37">
      <c r="A1226" t="s">
        <v>1289</v>
      </c>
      <c r="B1226">
        <v>42</v>
      </c>
      <c r="C1226" t="s">
        <v>101</v>
      </c>
      <c r="D1226" t="s">
        <v>45</v>
      </c>
      <c r="E1226">
        <v>1266</v>
      </c>
      <c r="F1226">
        <v>12</v>
      </c>
      <c r="G1226">
        <v>23</v>
      </c>
      <c r="H1226">
        <v>2466.66</v>
      </c>
      <c r="I1226">
        <v>50612.54</v>
      </c>
      <c r="J1226">
        <v>53</v>
      </c>
      <c r="K1226">
        <v>2</v>
      </c>
      <c r="L1226">
        <v>26.9</v>
      </c>
      <c r="M1226">
        <v>41.2</v>
      </c>
      <c r="N1226" t="s">
        <v>52</v>
      </c>
      <c r="O1226" t="s">
        <v>47</v>
      </c>
      <c r="P1226" t="s">
        <v>66</v>
      </c>
      <c r="R1226">
        <f>SUMIF(A1226:A6225,"C01225",I1226:I6225)</f>
        <v>50612.54</v>
      </c>
      <c r="S1226" s="1">
        <v>9338.01</v>
      </c>
      <c r="T1226">
        <f t="shared" si="132"/>
        <v>954.95358490566</v>
      </c>
      <c r="U1226">
        <f t="shared" si="136"/>
        <v>2183.6</v>
      </c>
      <c r="V1226">
        <f>U1226*2</f>
        <v>4367.2</v>
      </c>
      <c r="W1226">
        <f t="shared" si="137"/>
        <v>17693.4</v>
      </c>
      <c r="X1226">
        <f t="shared" si="134"/>
        <v>0.513244630390893</v>
      </c>
      <c r="AH1226" t="str">
        <f t="shared" si="133"/>
        <v>2nd Quality</v>
      </c>
      <c r="AJ1226">
        <f>((T1226-X1226)*2)/26.9</f>
        <v>70.9621070836631</v>
      </c>
      <c r="AK1226">
        <f t="shared" si="138"/>
        <v>1208971.23849057</v>
      </c>
    </row>
    <row r="1227" spans="1:37">
      <c r="A1227" t="s">
        <v>1290</v>
      </c>
      <c r="B1227">
        <v>43</v>
      </c>
      <c r="C1227" t="s">
        <v>50</v>
      </c>
      <c r="D1227" t="s">
        <v>60</v>
      </c>
      <c r="E1227">
        <v>760</v>
      </c>
      <c r="F1227">
        <v>134</v>
      </c>
      <c r="G1227">
        <v>1</v>
      </c>
      <c r="H1227">
        <v>1380.99</v>
      </c>
      <c r="I1227">
        <v>1472.27</v>
      </c>
      <c r="J1227">
        <v>8</v>
      </c>
      <c r="K1227">
        <v>0</v>
      </c>
      <c r="L1227">
        <v>20.4</v>
      </c>
      <c r="M1227">
        <v>11.1</v>
      </c>
      <c r="N1227" t="s">
        <v>57</v>
      </c>
      <c r="O1227" t="s">
        <v>47</v>
      </c>
      <c r="P1227" t="s">
        <v>66</v>
      </c>
      <c r="R1227">
        <f>SUMIF(A1227:A6226,"C01226",I1227:I6226)</f>
        <v>1472.27</v>
      </c>
      <c r="S1227" s="1">
        <v>18915.3</v>
      </c>
      <c r="T1227">
        <f t="shared" si="132"/>
        <v>184.03375</v>
      </c>
      <c r="U1227">
        <f t="shared" si="136"/>
        <v>88.8</v>
      </c>
      <c r="V1227">
        <f t="shared" si="135"/>
        <v>7.4</v>
      </c>
      <c r="W1227">
        <f t="shared" si="137"/>
        <v>951.42</v>
      </c>
      <c r="X1227">
        <f t="shared" si="134"/>
        <v>0.550329835842403</v>
      </c>
      <c r="AH1227" t="str">
        <f t="shared" si="133"/>
        <v>3rd Quality</v>
      </c>
      <c r="AJ1227">
        <f>((T1227-X1227)*2)/20.4</f>
        <v>17.9885706043292</v>
      </c>
      <c r="AK1227">
        <f t="shared" si="138"/>
        <v>139865.65</v>
      </c>
    </row>
    <row r="1228" spans="1:37">
      <c r="A1228" t="s">
        <v>1291</v>
      </c>
      <c r="B1228">
        <v>30</v>
      </c>
      <c r="C1228" t="s">
        <v>50</v>
      </c>
      <c r="D1228" t="s">
        <v>60</v>
      </c>
      <c r="E1228">
        <v>424</v>
      </c>
      <c r="F1228">
        <v>10</v>
      </c>
      <c r="G1228">
        <v>7</v>
      </c>
      <c r="H1228">
        <v>1388.13</v>
      </c>
      <c r="I1228">
        <v>9338.01</v>
      </c>
      <c r="J1228">
        <v>27</v>
      </c>
      <c r="K1228">
        <v>1</v>
      </c>
      <c r="L1228">
        <v>16.2</v>
      </c>
      <c r="M1228">
        <v>21.4</v>
      </c>
      <c r="N1228" t="s">
        <v>81</v>
      </c>
      <c r="O1228" t="s">
        <v>75</v>
      </c>
      <c r="P1228" t="s">
        <v>68</v>
      </c>
      <c r="R1228">
        <f>SUMIF(A1228:A6227,"C01227",I1228:I6227)</f>
        <v>9338.01</v>
      </c>
      <c r="S1228" s="1">
        <v>2329.27</v>
      </c>
      <c r="T1228">
        <f t="shared" si="132"/>
        <v>345.852222222222</v>
      </c>
      <c r="U1228">
        <f t="shared" si="136"/>
        <v>577.8</v>
      </c>
      <c r="V1228">
        <f>U1228*1</f>
        <v>577.8</v>
      </c>
      <c r="W1228">
        <f t="shared" si="137"/>
        <v>3575.71333333333</v>
      </c>
      <c r="X1228">
        <f t="shared" si="134"/>
        <v>0.305446896184075</v>
      </c>
      <c r="AH1228" t="str">
        <f t="shared" si="133"/>
        <v>3rd Quality</v>
      </c>
      <c r="AJ1228">
        <f>((T1228-X1228)*2)/16.2</f>
        <v>42.6600957192639</v>
      </c>
      <c r="AK1228">
        <f t="shared" si="138"/>
        <v>146641.342222222</v>
      </c>
    </row>
    <row r="1229" spans="1:37">
      <c r="A1229" t="s">
        <v>1292</v>
      </c>
      <c r="B1229">
        <v>22</v>
      </c>
      <c r="C1229" t="s">
        <v>44</v>
      </c>
      <c r="D1229" t="s">
        <v>45</v>
      </c>
      <c r="E1229">
        <v>631</v>
      </c>
      <c r="F1229">
        <v>9</v>
      </c>
      <c r="G1229">
        <v>17</v>
      </c>
      <c r="H1229">
        <v>1191.38</v>
      </c>
      <c r="I1229">
        <v>18915.3</v>
      </c>
      <c r="J1229">
        <v>145</v>
      </c>
      <c r="K1229">
        <v>0</v>
      </c>
      <c r="L1229">
        <v>24.4</v>
      </c>
      <c r="M1229">
        <v>8.1</v>
      </c>
      <c r="N1229" t="s">
        <v>63</v>
      </c>
      <c r="O1229" t="s">
        <v>75</v>
      </c>
      <c r="P1229" t="s">
        <v>66</v>
      </c>
      <c r="R1229">
        <f>SUMIF(A1229:A6228,"C01228",I1229:I6228)</f>
        <v>18915.3</v>
      </c>
      <c r="S1229" s="1">
        <v>103714.82</v>
      </c>
      <c r="T1229">
        <f t="shared" si="132"/>
        <v>130.450344827586</v>
      </c>
      <c r="U1229">
        <f t="shared" si="136"/>
        <v>1174.5</v>
      </c>
      <c r="V1229">
        <f t="shared" si="135"/>
        <v>97.875</v>
      </c>
      <c r="W1229">
        <f t="shared" si="137"/>
        <v>6702.56</v>
      </c>
      <c r="X1229">
        <f t="shared" si="134"/>
        <v>0.52963789890715</v>
      </c>
      <c r="AH1229" t="str">
        <f t="shared" si="133"/>
        <v>2nd Quality</v>
      </c>
      <c r="AJ1229">
        <f>((T1229-X1229)*2)/24.4</f>
        <v>10.6492382728425</v>
      </c>
      <c r="AK1229">
        <f t="shared" si="138"/>
        <v>82314.1675862069</v>
      </c>
    </row>
    <row r="1230" spans="1:37">
      <c r="A1230" t="s">
        <v>1293</v>
      </c>
      <c r="B1230">
        <v>27</v>
      </c>
      <c r="C1230" t="s">
        <v>50</v>
      </c>
      <c r="D1230" t="s">
        <v>45</v>
      </c>
      <c r="E1230">
        <v>1195</v>
      </c>
      <c r="F1230">
        <v>233</v>
      </c>
      <c r="G1230">
        <v>2</v>
      </c>
      <c r="H1230">
        <v>1192.56</v>
      </c>
      <c r="I1230">
        <v>2329.27</v>
      </c>
      <c r="J1230">
        <v>17</v>
      </c>
      <c r="K1230">
        <v>0</v>
      </c>
      <c r="L1230">
        <v>20.7</v>
      </c>
      <c r="M1230">
        <v>38.2</v>
      </c>
      <c r="N1230" t="s">
        <v>61</v>
      </c>
      <c r="O1230" t="s">
        <v>47</v>
      </c>
      <c r="P1230" t="s">
        <v>58</v>
      </c>
      <c r="R1230">
        <f>SUMIF(A1230:A6229,"C01229",I1230:I6229)</f>
        <v>2329.27</v>
      </c>
      <c r="S1230" s="1">
        <v>39787.59</v>
      </c>
      <c r="T1230">
        <f t="shared" ref="T1230:T1293" si="139">I1230/J1230</f>
        <v>137.015882352941</v>
      </c>
      <c r="U1230">
        <f t="shared" si="136"/>
        <v>649.4</v>
      </c>
      <c r="V1230">
        <f t="shared" si="135"/>
        <v>54.1166666666667</v>
      </c>
      <c r="W1230">
        <f t="shared" si="137"/>
        <v>1174.27666666667</v>
      </c>
      <c r="X1230">
        <f t="shared" si="134"/>
        <v>1.00204601864896</v>
      </c>
      <c r="AH1230" t="str">
        <f t="shared" ref="AH1230:AH1293" si="140">IF(AND(W1230&gt;=12550,B1230&lt;=33,E1230&gt;=915),"1st Quality",IF(AND(W1230&gt;=6275,B1230&lt;=43,E1230&gt;=457),"2nd Quality","3rd Quality"))</f>
        <v>3rd Quality</v>
      </c>
      <c r="AJ1230">
        <f>((T1230-X1230)*2)/20.7</f>
        <v>13.1414334622504</v>
      </c>
      <c r="AK1230">
        <f t="shared" si="138"/>
        <v>163733.979411765</v>
      </c>
    </row>
    <row r="1231" spans="1:37">
      <c r="A1231" t="s">
        <v>1294</v>
      </c>
      <c r="B1231">
        <v>38</v>
      </c>
      <c r="C1231" t="s">
        <v>44</v>
      </c>
      <c r="D1231" t="s">
        <v>60</v>
      </c>
      <c r="E1231">
        <v>548</v>
      </c>
      <c r="F1231">
        <v>12</v>
      </c>
      <c r="G1231">
        <v>32</v>
      </c>
      <c r="H1231">
        <v>2941.78</v>
      </c>
      <c r="I1231">
        <v>103714.82</v>
      </c>
      <c r="J1231">
        <v>69</v>
      </c>
      <c r="K1231">
        <v>0</v>
      </c>
      <c r="L1231">
        <v>10.4</v>
      </c>
      <c r="M1231">
        <v>63.7</v>
      </c>
      <c r="N1231" t="s">
        <v>61</v>
      </c>
      <c r="O1231" t="s">
        <v>47</v>
      </c>
      <c r="P1231" t="s">
        <v>48</v>
      </c>
      <c r="R1231">
        <f>SUMIF(A1231:A6230,"C01230",I1231:I6230)</f>
        <v>103714.82</v>
      </c>
      <c r="S1231" s="1">
        <v>16492</v>
      </c>
      <c r="T1231">
        <f t="shared" si="139"/>
        <v>1503.11333333333</v>
      </c>
      <c r="U1231">
        <f t="shared" si="136"/>
        <v>4395.3</v>
      </c>
      <c r="V1231">
        <f t="shared" si="135"/>
        <v>366.275</v>
      </c>
      <c r="W1231">
        <f t="shared" si="137"/>
        <v>35552.5333333333</v>
      </c>
      <c r="X1231">
        <f t="shared" si="134"/>
        <v>0.186281774979774</v>
      </c>
      <c r="AH1231" t="str">
        <f t="shared" si="140"/>
        <v>2nd Quality</v>
      </c>
      <c r="AJ1231">
        <f>((T1231-X1231)*2)/10.4</f>
        <v>289.02443299199</v>
      </c>
      <c r="AK1231">
        <f t="shared" si="138"/>
        <v>823706.106666667</v>
      </c>
    </row>
    <row r="1232" spans="1:37">
      <c r="A1232" t="s">
        <v>1295</v>
      </c>
      <c r="B1232">
        <v>28</v>
      </c>
      <c r="C1232" t="s">
        <v>50</v>
      </c>
      <c r="D1232" t="s">
        <v>60</v>
      </c>
      <c r="E1232">
        <v>701</v>
      </c>
      <c r="F1232">
        <v>1</v>
      </c>
      <c r="G1232">
        <v>21</v>
      </c>
      <c r="H1232">
        <v>1941.76</v>
      </c>
      <c r="I1232">
        <v>39787.59</v>
      </c>
      <c r="J1232">
        <v>67</v>
      </c>
      <c r="K1232">
        <v>2</v>
      </c>
      <c r="L1232">
        <v>5.5</v>
      </c>
      <c r="M1232">
        <v>21.1</v>
      </c>
      <c r="N1232" t="s">
        <v>78</v>
      </c>
      <c r="O1232" t="s">
        <v>47</v>
      </c>
      <c r="P1232" t="s">
        <v>48</v>
      </c>
      <c r="R1232">
        <f>SUMIF(A1232:A6231,"C01231",I1232:I6231)</f>
        <v>39787.59</v>
      </c>
      <c r="S1232" s="1">
        <v>39550.88</v>
      </c>
      <c r="T1232">
        <f t="shared" si="139"/>
        <v>593.844626865672</v>
      </c>
      <c r="U1232">
        <f t="shared" si="136"/>
        <v>1413.7</v>
      </c>
      <c r="V1232">
        <f>U1232*2</f>
        <v>2827.4</v>
      </c>
      <c r="W1232">
        <f t="shared" si="137"/>
        <v>13910.1166666667</v>
      </c>
      <c r="X1232">
        <f t="shared" si="134"/>
        <v>0.361012689518787</v>
      </c>
      <c r="AH1232" t="str">
        <f t="shared" si="140"/>
        <v>2nd Quality</v>
      </c>
      <c r="AJ1232">
        <f>((T1232-X1232)*2)/5.5</f>
        <v>215.812223336783</v>
      </c>
      <c r="AK1232">
        <f t="shared" si="138"/>
        <v>416285.083432836</v>
      </c>
    </row>
    <row r="1233" spans="1:37">
      <c r="A1233" t="s">
        <v>1296</v>
      </c>
      <c r="B1233">
        <v>43</v>
      </c>
      <c r="C1233" t="s">
        <v>50</v>
      </c>
      <c r="D1233" t="s">
        <v>60</v>
      </c>
      <c r="E1233">
        <v>1395</v>
      </c>
      <c r="F1233">
        <v>3</v>
      </c>
      <c r="G1233">
        <v>3</v>
      </c>
      <c r="H1233">
        <v>5859.14</v>
      </c>
      <c r="I1233">
        <v>16492</v>
      </c>
      <c r="J1233">
        <v>34</v>
      </c>
      <c r="K1233">
        <v>0</v>
      </c>
      <c r="L1233">
        <v>0</v>
      </c>
      <c r="M1233">
        <v>33.4</v>
      </c>
      <c r="N1233" t="s">
        <v>63</v>
      </c>
      <c r="O1233" t="s">
        <v>53</v>
      </c>
      <c r="P1233" t="s">
        <v>68</v>
      </c>
      <c r="R1233">
        <f>SUMIF(A1233:A6232,"C01232",I1233:I6232)</f>
        <v>16492</v>
      </c>
      <c r="S1233" s="1">
        <v>1569.34</v>
      </c>
      <c r="T1233">
        <f t="shared" si="139"/>
        <v>485.058823529412</v>
      </c>
      <c r="U1233">
        <f t="shared" si="136"/>
        <v>1135.6</v>
      </c>
      <c r="V1233">
        <f t="shared" si="135"/>
        <v>94.6333333333333</v>
      </c>
      <c r="W1233">
        <f t="shared" si="137"/>
        <v>7450.71333333333</v>
      </c>
      <c r="X1233">
        <f t="shared" si="134"/>
        <v>0.238089548978178</v>
      </c>
      <c r="AH1233" t="str">
        <f t="shared" si="140"/>
        <v>2nd Quality</v>
      </c>
      <c r="AJ1233">
        <f>((T1233-X1233)*2)</f>
        <v>969.641467960868</v>
      </c>
      <c r="AK1233">
        <f t="shared" si="138"/>
        <v>676657.058823529</v>
      </c>
    </row>
    <row r="1234" spans="1:37">
      <c r="A1234" t="s">
        <v>1297</v>
      </c>
      <c r="B1234">
        <v>35</v>
      </c>
      <c r="C1234" t="s">
        <v>44</v>
      </c>
      <c r="D1234" t="s">
        <v>60</v>
      </c>
      <c r="E1234">
        <v>848</v>
      </c>
      <c r="F1234">
        <v>3</v>
      </c>
      <c r="G1234">
        <v>20</v>
      </c>
      <c r="H1234">
        <v>1965.94</v>
      </c>
      <c r="I1234">
        <v>39550.88</v>
      </c>
      <c r="J1234">
        <v>150</v>
      </c>
      <c r="K1234">
        <v>5</v>
      </c>
      <c r="L1234">
        <v>0.8</v>
      </c>
      <c r="M1234">
        <v>10.2</v>
      </c>
      <c r="N1234" t="s">
        <v>63</v>
      </c>
      <c r="O1234" t="s">
        <v>47</v>
      </c>
      <c r="P1234" t="s">
        <v>68</v>
      </c>
      <c r="R1234">
        <f>SUMIF(A1234:A6233,"C01233",I1234:I6233)</f>
        <v>39550.88</v>
      </c>
      <c r="S1234" s="1">
        <v>92465</v>
      </c>
      <c r="T1234">
        <f t="shared" si="139"/>
        <v>263.672533333333</v>
      </c>
      <c r="U1234">
        <f t="shared" si="136"/>
        <v>1530</v>
      </c>
      <c r="V1234">
        <f>U1234*5</f>
        <v>7650</v>
      </c>
      <c r="W1234">
        <f t="shared" si="137"/>
        <v>13839.2733333333</v>
      </c>
      <c r="X1234">
        <f t="shared" si="134"/>
        <v>0.431345819302725</v>
      </c>
      <c r="AH1234" t="str">
        <f t="shared" si="140"/>
        <v>2nd Quality</v>
      </c>
      <c r="AJ1234">
        <f>((T1234-X1234)*2)/0.8</f>
        <v>658.102968785076</v>
      </c>
      <c r="AK1234">
        <f t="shared" si="138"/>
        <v>223594.308266667</v>
      </c>
    </row>
    <row r="1235" spans="1:37">
      <c r="A1235" t="s">
        <v>1298</v>
      </c>
      <c r="B1235">
        <v>32</v>
      </c>
      <c r="C1235" t="s">
        <v>50</v>
      </c>
      <c r="D1235" t="s">
        <v>60</v>
      </c>
      <c r="E1235">
        <v>642</v>
      </c>
      <c r="F1235">
        <v>38</v>
      </c>
      <c r="G1235">
        <v>1</v>
      </c>
      <c r="H1235">
        <v>1604.13</v>
      </c>
      <c r="I1235">
        <v>1569.34</v>
      </c>
      <c r="J1235">
        <v>18</v>
      </c>
      <c r="K1235">
        <v>0</v>
      </c>
      <c r="L1235">
        <v>23.5</v>
      </c>
      <c r="M1235">
        <v>25.3</v>
      </c>
      <c r="N1235" t="s">
        <v>52</v>
      </c>
      <c r="O1235" t="s">
        <v>47</v>
      </c>
      <c r="P1235" t="s">
        <v>54</v>
      </c>
      <c r="R1235">
        <f>SUMIF(A1235:A6234,"C01234",I1235:I6234)</f>
        <v>1569.34</v>
      </c>
      <c r="S1235" s="1">
        <v>85353.1</v>
      </c>
      <c r="T1235">
        <f t="shared" si="139"/>
        <v>87.1855555555556</v>
      </c>
      <c r="U1235">
        <f t="shared" si="136"/>
        <v>455.4</v>
      </c>
      <c r="V1235">
        <f t="shared" si="135"/>
        <v>37.95</v>
      </c>
      <c r="W1235">
        <f t="shared" si="137"/>
        <v>1058.15666666667</v>
      </c>
      <c r="X1235">
        <f t="shared" si="134"/>
        <v>0.400216940023564</v>
      </c>
      <c r="AH1235" t="str">
        <f t="shared" si="140"/>
        <v>3rd Quality</v>
      </c>
      <c r="AJ1235">
        <f>((T1235-X1235)*2)/23.5</f>
        <v>7.38598626515166</v>
      </c>
      <c r="AK1235">
        <f t="shared" si="138"/>
        <v>55973.1266666667</v>
      </c>
    </row>
    <row r="1236" spans="1:37">
      <c r="A1236" t="s">
        <v>1299</v>
      </c>
      <c r="B1236">
        <v>32</v>
      </c>
      <c r="C1236" t="s">
        <v>56</v>
      </c>
      <c r="D1236" t="s">
        <v>51</v>
      </c>
      <c r="E1236">
        <v>967</v>
      </c>
      <c r="F1236">
        <v>5</v>
      </c>
      <c r="G1236">
        <v>28</v>
      </c>
      <c r="H1236">
        <v>3733.28</v>
      </c>
      <c r="I1236">
        <v>92465</v>
      </c>
      <c r="J1236">
        <v>149</v>
      </c>
      <c r="K1236">
        <v>2</v>
      </c>
      <c r="L1236">
        <v>18.1</v>
      </c>
      <c r="M1236">
        <v>27.9</v>
      </c>
      <c r="N1236" t="s">
        <v>52</v>
      </c>
      <c r="O1236" t="s">
        <v>47</v>
      </c>
      <c r="P1236" t="s">
        <v>54</v>
      </c>
      <c r="R1236">
        <f>SUMIF(A1236:A6235,"C01235",I1236:I6235)</f>
        <v>92465</v>
      </c>
      <c r="S1236" s="1">
        <v>71034.1</v>
      </c>
      <c r="T1236">
        <f t="shared" si="139"/>
        <v>620.570469798658</v>
      </c>
      <c r="U1236">
        <f t="shared" si="136"/>
        <v>4157.1</v>
      </c>
      <c r="V1236">
        <f>U1236*2</f>
        <v>8314.2</v>
      </c>
      <c r="W1236">
        <f t="shared" si="137"/>
        <v>32066.4266666667</v>
      </c>
      <c r="X1236">
        <f t="shared" si="134"/>
        <v>0.259021557450821</v>
      </c>
      <c r="AH1236" t="str">
        <f t="shared" si="140"/>
        <v>1st Quality</v>
      </c>
      <c r="AJ1236">
        <f>((T1236-X1236)*2)/18.1</f>
        <v>68.5427014631168</v>
      </c>
      <c r="AK1236">
        <f t="shared" si="138"/>
        <v>600091.644295302</v>
      </c>
    </row>
    <row r="1237" spans="1:37">
      <c r="A1237" t="s">
        <v>1300</v>
      </c>
      <c r="B1237">
        <v>18</v>
      </c>
      <c r="C1237" t="s">
        <v>50</v>
      </c>
      <c r="D1237" t="s">
        <v>60</v>
      </c>
      <c r="E1237">
        <v>1382</v>
      </c>
      <c r="F1237">
        <v>11</v>
      </c>
      <c r="G1237">
        <v>23</v>
      </c>
      <c r="H1237">
        <v>4013.15</v>
      </c>
      <c r="I1237">
        <v>85353.1</v>
      </c>
      <c r="J1237">
        <v>168</v>
      </c>
      <c r="K1237">
        <v>1</v>
      </c>
      <c r="L1237">
        <v>0.5</v>
      </c>
      <c r="M1237">
        <v>46.8</v>
      </c>
      <c r="N1237" t="s">
        <v>46</v>
      </c>
      <c r="O1237" t="s">
        <v>47</v>
      </c>
      <c r="P1237" t="s">
        <v>66</v>
      </c>
      <c r="R1237">
        <f>SUMIF(A1237:A6236,"C01236",I1237:I6236)</f>
        <v>85353.1</v>
      </c>
      <c r="S1237" s="1">
        <v>16451.06</v>
      </c>
      <c r="T1237">
        <f t="shared" si="139"/>
        <v>508.054166666667</v>
      </c>
      <c r="U1237">
        <f t="shared" si="136"/>
        <v>7862.4</v>
      </c>
      <c r="V1237">
        <f>U1237*1</f>
        <v>7862.4</v>
      </c>
      <c r="W1237">
        <f t="shared" si="137"/>
        <v>29789.0833333333</v>
      </c>
      <c r="X1237">
        <f t="shared" si="134"/>
        <v>0.344367890559785</v>
      </c>
      <c r="AH1237" t="str">
        <f t="shared" si="140"/>
        <v>1st Quality</v>
      </c>
      <c r="AJ1237">
        <f>((T1237-X1237)*2)/0.5</f>
        <v>2030.83919510443</v>
      </c>
      <c r="AK1237">
        <f t="shared" si="138"/>
        <v>702130.858333333</v>
      </c>
    </row>
    <row r="1238" spans="1:37">
      <c r="A1238" t="s">
        <v>1301</v>
      </c>
      <c r="B1238">
        <v>20</v>
      </c>
      <c r="C1238" t="s">
        <v>44</v>
      </c>
      <c r="D1238" t="s">
        <v>45</v>
      </c>
      <c r="E1238">
        <v>604</v>
      </c>
      <c r="F1238">
        <v>20</v>
      </c>
      <c r="G1238">
        <v>25</v>
      </c>
      <c r="H1238">
        <v>3213.72</v>
      </c>
      <c r="I1238">
        <v>71034.1</v>
      </c>
      <c r="J1238">
        <v>128</v>
      </c>
      <c r="K1238">
        <v>0</v>
      </c>
      <c r="L1238">
        <v>10.1</v>
      </c>
      <c r="M1238">
        <v>16.9</v>
      </c>
      <c r="N1238" t="s">
        <v>52</v>
      </c>
      <c r="O1238" t="s">
        <v>47</v>
      </c>
      <c r="P1238" t="s">
        <v>58</v>
      </c>
      <c r="R1238">
        <f>SUMIF(A1238:A6237,"C01237",I1238:I6237)</f>
        <v>71034.1</v>
      </c>
      <c r="S1238" s="1">
        <v>129308.82</v>
      </c>
      <c r="T1238">
        <f t="shared" si="139"/>
        <v>554.95390625</v>
      </c>
      <c r="U1238">
        <f t="shared" si="136"/>
        <v>2163.2</v>
      </c>
      <c r="V1238">
        <f t="shared" si="135"/>
        <v>180.266666666667</v>
      </c>
      <c r="W1238">
        <f t="shared" si="137"/>
        <v>24749.6066666667</v>
      </c>
      <c r="X1238">
        <f t="shared" si="134"/>
        <v>0.187944189288426</v>
      </c>
      <c r="AH1238" t="str">
        <f t="shared" si="140"/>
        <v>2nd Quality</v>
      </c>
      <c r="AJ1238">
        <f>((T1238-X1238)*2)/10.1</f>
        <v>109.854645952616</v>
      </c>
      <c r="AK1238">
        <f t="shared" si="138"/>
        <v>335192.159375</v>
      </c>
    </row>
    <row r="1239" spans="1:37">
      <c r="A1239" t="s">
        <v>1302</v>
      </c>
      <c r="B1239">
        <v>46</v>
      </c>
      <c r="C1239" t="s">
        <v>50</v>
      </c>
      <c r="D1239" t="s">
        <v>45</v>
      </c>
      <c r="E1239">
        <v>1015</v>
      </c>
      <c r="F1239">
        <v>71</v>
      </c>
      <c r="G1239">
        <v>10</v>
      </c>
      <c r="H1239">
        <v>1636.39</v>
      </c>
      <c r="I1239">
        <v>16451.06</v>
      </c>
      <c r="J1239">
        <v>37</v>
      </c>
      <c r="K1239">
        <v>0</v>
      </c>
      <c r="L1239">
        <v>31.8</v>
      </c>
      <c r="M1239">
        <v>3</v>
      </c>
      <c r="N1239" t="s">
        <v>63</v>
      </c>
      <c r="O1239" t="s">
        <v>47</v>
      </c>
      <c r="P1239" t="s">
        <v>58</v>
      </c>
      <c r="R1239">
        <f>SUMIF(A1239:A6238,"C01238",I1239:I6238)</f>
        <v>16451.06</v>
      </c>
      <c r="S1239" s="1">
        <v>78643.72</v>
      </c>
      <c r="T1239">
        <f t="shared" si="139"/>
        <v>444.623243243243</v>
      </c>
      <c r="U1239">
        <f t="shared" si="136"/>
        <v>111</v>
      </c>
      <c r="V1239">
        <f t="shared" si="135"/>
        <v>9.25</v>
      </c>
      <c r="W1239">
        <f t="shared" si="137"/>
        <v>6029.48333333333</v>
      </c>
      <c r="X1239">
        <f t="shared" si="134"/>
        <v>0.620267784574582</v>
      </c>
      <c r="AH1239" t="str">
        <f t="shared" si="140"/>
        <v>3rd Quality</v>
      </c>
      <c r="AJ1239">
        <f>((T1239-X1239)*2)/31.8</f>
        <v>27.9247154376521</v>
      </c>
      <c r="AK1239">
        <f t="shared" si="138"/>
        <v>451292.591891892</v>
      </c>
    </row>
    <row r="1240" spans="1:37">
      <c r="A1240" t="s">
        <v>1303</v>
      </c>
      <c r="B1240">
        <v>31</v>
      </c>
      <c r="C1240" t="s">
        <v>44</v>
      </c>
      <c r="D1240" t="s">
        <v>45</v>
      </c>
      <c r="E1240">
        <v>1237</v>
      </c>
      <c r="F1240">
        <v>15</v>
      </c>
      <c r="G1240">
        <v>25</v>
      </c>
      <c r="H1240">
        <v>5002.67</v>
      </c>
      <c r="I1240">
        <v>129308.82</v>
      </c>
      <c r="J1240">
        <v>113</v>
      </c>
      <c r="K1240">
        <v>0</v>
      </c>
      <c r="L1240">
        <v>13.6</v>
      </c>
      <c r="M1240">
        <v>48</v>
      </c>
      <c r="N1240" t="s">
        <v>61</v>
      </c>
      <c r="O1240" t="s">
        <v>47</v>
      </c>
      <c r="P1240" t="s">
        <v>48</v>
      </c>
      <c r="R1240">
        <f>SUMIF(A1240:A6239,"C01239",I1240:I6239)</f>
        <v>129308.82</v>
      </c>
      <c r="S1240" s="1">
        <v>2948.42</v>
      </c>
      <c r="T1240">
        <f t="shared" si="139"/>
        <v>1144.32584070796</v>
      </c>
      <c r="U1240">
        <f t="shared" si="136"/>
        <v>5424</v>
      </c>
      <c r="V1240">
        <f t="shared" si="135"/>
        <v>452</v>
      </c>
      <c r="W1240">
        <f t="shared" si="137"/>
        <v>44770.83</v>
      </c>
      <c r="X1240">
        <f t="shared" si="134"/>
        <v>0.247267958909942</v>
      </c>
      <c r="AH1240" t="str">
        <f t="shared" si="140"/>
        <v>1st Quality</v>
      </c>
      <c r="AJ1240">
        <f>((T1240-X1240)*2)/13.6</f>
        <v>168.246848933684</v>
      </c>
      <c r="AK1240">
        <f t="shared" si="138"/>
        <v>1415531.06495575</v>
      </c>
    </row>
    <row r="1241" spans="1:37">
      <c r="A1241" t="s">
        <v>1304</v>
      </c>
      <c r="B1241">
        <v>28</v>
      </c>
      <c r="C1241" t="s">
        <v>50</v>
      </c>
      <c r="D1241" t="s">
        <v>51</v>
      </c>
      <c r="E1241">
        <v>1013</v>
      </c>
      <c r="F1241">
        <v>19</v>
      </c>
      <c r="G1241">
        <v>20</v>
      </c>
      <c r="H1241">
        <v>3736.4</v>
      </c>
      <c r="I1241">
        <v>78643.72</v>
      </c>
      <c r="J1241">
        <v>165</v>
      </c>
      <c r="K1241">
        <v>3</v>
      </c>
      <c r="L1241">
        <v>18.9</v>
      </c>
      <c r="M1241">
        <v>47.5</v>
      </c>
      <c r="N1241" t="s">
        <v>63</v>
      </c>
      <c r="O1241" t="s">
        <v>47</v>
      </c>
      <c r="P1241" t="s">
        <v>66</v>
      </c>
      <c r="R1241">
        <f>SUMIF(A1241:A6240,"C01240",I1241:I6240)</f>
        <v>78643.72</v>
      </c>
      <c r="S1241" s="1">
        <v>11427.98</v>
      </c>
      <c r="T1241">
        <f t="shared" si="139"/>
        <v>476.628606060606</v>
      </c>
      <c r="U1241">
        <f t="shared" si="136"/>
        <v>7837.5</v>
      </c>
      <c r="V1241">
        <f>U1241*3</f>
        <v>23512.5</v>
      </c>
      <c r="W1241">
        <f t="shared" si="137"/>
        <v>27460.3733333333</v>
      </c>
      <c r="X1241">
        <f t="shared" si="134"/>
        <v>0.27111658280698</v>
      </c>
      <c r="AH1241" t="str">
        <f t="shared" si="140"/>
        <v>1st Quality</v>
      </c>
      <c r="AJ1241">
        <f>((T1241-X1241)*2)/18.9</f>
        <v>50.4081999447406</v>
      </c>
      <c r="AK1241">
        <f t="shared" si="138"/>
        <v>482824.777939394</v>
      </c>
    </row>
    <row r="1242" spans="1:37">
      <c r="A1242" t="s">
        <v>1305</v>
      </c>
      <c r="B1242">
        <v>19</v>
      </c>
      <c r="C1242" t="s">
        <v>50</v>
      </c>
      <c r="D1242" t="s">
        <v>60</v>
      </c>
      <c r="E1242">
        <v>1330</v>
      </c>
      <c r="F1242">
        <v>90</v>
      </c>
      <c r="G1242">
        <v>1</v>
      </c>
      <c r="H1242">
        <v>3170.7</v>
      </c>
      <c r="I1242">
        <v>2948.42</v>
      </c>
      <c r="J1242">
        <v>16</v>
      </c>
      <c r="K1242">
        <v>0</v>
      </c>
      <c r="L1242">
        <v>12.9</v>
      </c>
      <c r="M1242">
        <v>23.3</v>
      </c>
      <c r="N1242" t="s">
        <v>81</v>
      </c>
      <c r="O1242" t="s">
        <v>47</v>
      </c>
      <c r="P1242" t="s">
        <v>58</v>
      </c>
      <c r="R1242">
        <f>SUMIF(A1242:A6241,"C01241",I1242:I6241)</f>
        <v>2948.42</v>
      </c>
      <c r="S1242" s="1">
        <v>8294.1</v>
      </c>
      <c r="T1242">
        <f t="shared" si="139"/>
        <v>184.27625</v>
      </c>
      <c r="U1242">
        <f t="shared" si="136"/>
        <v>372.8</v>
      </c>
      <c r="V1242">
        <f t="shared" si="135"/>
        <v>31.0666666666667</v>
      </c>
      <c r="W1242">
        <f t="shared" si="137"/>
        <v>2040.04</v>
      </c>
      <c r="X1242">
        <f t="shared" si="134"/>
        <v>0.41946573311887</v>
      </c>
      <c r="AH1242" t="str">
        <f t="shared" si="140"/>
        <v>3rd Quality</v>
      </c>
      <c r="AJ1242">
        <f>((T1242-X1242)*2)/12.9</f>
        <v>28.5049277933149</v>
      </c>
      <c r="AK1242">
        <f t="shared" si="138"/>
        <v>245087.4125</v>
      </c>
    </row>
    <row r="1243" spans="1:37">
      <c r="A1243" t="s">
        <v>1306</v>
      </c>
      <c r="B1243">
        <v>39</v>
      </c>
      <c r="C1243" t="s">
        <v>44</v>
      </c>
      <c r="D1243" t="s">
        <v>60</v>
      </c>
      <c r="E1243">
        <v>806</v>
      </c>
      <c r="F1243">
        <v>54</v>
      </c>
      <c r="G1243">
        <v>8</v>
      </c>
      <c r="H1243">
        <v>1331.06</v>
      </c>
      <c r="I1243">
        <v>11427.98</v>
      </c>
      <c r="J1243">
        <v>31</v>
      </c>
      <c r="K1243">
        <v>1</v>
      </c>
      <c r="L1243">
        <v>26.4</v>
      </c>
      <c r="M1243">
        <v>46.5</v>
      </c>
      <c r="N1243" t="s">
        <v>81</v>
      </c>
      <c r="O1243" t="s">
        <v>75</v>
      </c>
      <c r="P1243" t="s">
        <v>58</v>
      </c>
      <c r="R1243">
        <f>SUMIF(A1243:A6242,"C01242",I1243:I6242)</f>
        <v>11427.98</v>
      </c>
      <c r="S1243" s="1">
        <v>126789.2</v>
      </c>
      <c r="T1243">
        <f t="shared" si="139"/>
        <v>368.644516129032</v>
      </c>
      <c r="U1243">
        <f t="shared" si="136"/>
        <v>1441.5</v>
      </c>
      <c r="V1243">
        <f>U1243*1</f>
        <v>1441.5</v>
      </c>
      <c r="W1243">
        <f t="shared" si="137"/>
        <v>4253.34666666667</v>
      </c>
      <c r="X1243">
        <f t="shared" si="134"/>
        <v>0.60553243279792</v>
      </c>
      <c r="AH1243" t="str">
        <f t="shared" si="140"/>
        <v>3rd Quality</v>
      </c>
      <c r="AJ1243">
        <f>((T1243-X1243)*2)/26.4</f>
        <v>27.8817411891086</v>
      </c>
      <c r="AK1243">
        <f t="shared" si="138"/>
        <v>297127.48</v>
      </c>
    </row>
    <row r="1244" spans="1:37">
      <c r="A1244" t="s">
        <v>1307</v>
      </c>
      <c r="B1244">
        <v>18</v>
      </c>
      <c r="C1244" t="s">
        <v>44</v>
      </c>
      <c r="D1244" t="s">
        <v>60</v>
      </c>
      <c r="E1244">
        <v>1233</v>
      </c>
      <c r="F1244">
        <v>59</v>
      </c>
      <c r="G1244">
        <v>5</v>
      </c>
      <c r="H1244">
        <v>1695.01</v>
      </c>
      <c r="I1244">
        <v>8294.1</v>
      </c>
      <c r="J1244">
        <v>34</v>
      </c>
      <c r="K1244">
        <v>1</v>
      </c>
      <c r="L1244">
        <v>30.1</v>
      </c>
      <c r="M1244">
        <v>50.1</v>
      </c>
      <c r="N1244" t="s">
        <v>46</v>
      </c>
      <c r="O1244" t="s">
        <v>53</v>
      </c>
      <c r="P1244" t="s">
        <v>58</v>
      </c>
      <c r="R1244">
        <f>SUMIF(A1244:A6243,"C01243",I1244:I6243)</f>
        <v>8294.1</v>
      </c>
      <c r="S1244" s="1">
        <v>11490.65</v>
      </c>
      <c r="T1244">
        <f t="shared" si="139"/>
        <v>243.944117647059</v>
      </c>
      <c r="U1244">
        <f t="shared" si="136"/>
        <v>1703.4</v>
      </c>
      <c r="V1244">
        <f>U1244*1</f>
        <v>1703.4</v>
      </c>
      <c r="W1244">
        <f t="shared" si="137"/>
        <v>3330.03666666667</v>
      </c>
      <c r="X1244">
        <f t="shared" si="134"/>
        <v>0.727429336700078</v>
      </c>
      <c r="AH1244" t="str">
        <f t="shared" si="140"/>
        <v>3rd Quality</v>
      </c>
      <c r="AJ1244">
        <f>((T1244-X1244)*2)/30.1</f>
        <v>16.1605772963694</v>
      </c>
      <c r="AK1244">
        <f t="shared" si="138"/>
        <v>300783.097058824</v>
      </c>
    </row>
    <row r="1245" spans="1:37">
      <c r="A1245" t="s">
        <v>1308</v>
      </c>
      <c r="B1245">
        <v>38</v>
      </c>
      <c r="C1245" t="s">
        <v>50</v>
      </c>
      <c r="D1245" t="s">
        <v>45</v>
      </c>
      <c r="E1245">
        <v>801</v>
      </c>
      <c r="F1245">
        <v>2</v>
      </c>
      <c r="G1245">
        <v>34</v>
      </c>
      <c r="H1245">
        <v>4181.52</v>
      </c>
      <c r="I1245">
        <v>126789.2</v>
      </c>
      <c r="J1245">
        <v>77</v>
      </c>
      <c r="K1245">
        <v>1</v>
      </c>
      <c r="L1245">
        <v>15.6</v>
      </c>
      <c r="M1245">
        <v>38.8</v>
      </c>
      <c r="N1245" t="s">
        <v>78</v>
      </c>
      <c r="O1245" t="s">
        <v>75</v>
      </c>
      <c r="P1245" t="s">
        <v>58</v>
      </c>
      <c r="R1245">
        <f>SUMIF(A1245:A6244,"C01244",I1245:I6244)</f>
        <v>126789.2</v>
      </c>
      <c r="S1245" s="1">
        <v>8614.87</v>
      </c>
      <c r="T1245">
        <f t="shared" si="139"/>
        <v>1646.61298701299</v>
      </c>
      <c r="U1245">
        <f t="shared" si="136"/>
        <v>2987.6</v>
      </c>
      <c r="V1245">
        <f>U1245*1</f>
        <v>2987.6</v>
      </c>
      <c r="W1245">
        <f t="shared" si="137"/>
        <v>43657.24</v>
      </c>
      <c r="X1245">
        <f t="shared" si="134"/>
        <v>0.191557137117603</v>
      </c>
      <c r="AH1245" t="str">
        <f t="shared" si="140"/>
        <v>2nd Quality</v>
      </c>
      <c r="AJ1245">
        <f>((T1245-X1245)*2)/15.6</f>
        <v>211.079670496907</v>
      </c>
      <c r="AK1245">
        <f t="shared" si="138"/>
        <v>1318937.0025974</v>
      </c>
    </row>
    <row r="1246" spans="1:37">
      <c r="A1246" t="s">
        <v>1309</v>
      </c>
      <c r="B1246">
        <v>18</v>
      </c>
      <c r="C1246" t="s">
        <v>50</v>
      </c>
      <c r="D1246" t="s">
        <v>60</v>
      </c>
      <c r="E1246">
        <v>435</v>
      </c>
      <c r="F1246">
        <v>85</v>
      </c>
      <c r="G1246">
        <v>11</v>
      </c>
      <c r="H1246">
        <v>947.36</v>
      </c>
      <c r="I1246">
        <v>11490.65</v>
      </c>
      <c r="J1246">
        <v>64</v>
      </c>
      <c r="K1246">
        <v>0</v>
      </c>
      <c r="L1246">
        <v>28.2</v>
      </c>
      <c r="M1246">
        <v>22.1</v>
      </c>
      <c r="N1246" t="s">
        <v>57</v>
      </c>
      <c r="O1246" t="s">
        <v>47</v>
      </c>
      <c r="P1246" t="s">
        <v>68</v>
      </c>
      <c r="R1246">
        <f>SUMIF(A1246:A6245,"C01245",I1246:I6245)</f>
        <v>11490.65</v>
      </c>
      <c r="S1246" s="1">
        <v>19158.53</v>
      </c>
      <c r="T1246">
        <f t="shared" si="139"/>
        <v>179.54140625</v>
      </c>
      <c r="U1246">
        <f t="shared" si="136"/>
        <v>1414.4</v>
      </c>
      <c r="V1246">
        <f t="shared" si="135"/>
        <v>117.866666666667</v>
      </c>
      <c r="W1246">
        <f t="shared" si="137"/>
        <v>4146.33666666667</v>
      </c>
      <c r="X1246">
        <f t="shared" si="134"/>
        <v>0.459170748184428</v>
      </c>
      <c r="AH1246" t="str">
        <f t="shared" si="140"/>
        <v>3rd Quality</v>
      </c>
      <c r="AJ1246">
        <f>((T1246-X1246)*2)/28.2</f>
        <v>12.7008677660862</v>
      </c>
      <c r="AK1246">
        <f t="shared" si="138"/>
        <v>78100.51171875</v>
      </c>
    </row>
    <row r="1247" spans="1:37">
      <c r="A1247" t="s">
        <v>1310</v>
      </c>
      <c r="B1247">
        <v>33</v>
      </c>
      <c r="C1247" t="s">
        <v>44</v>
      </c>
      <c r="D1247" t="s">
        <v>45</v>
      </c>
      <c r="E1247">
        <v>719</v>
      </c>
      <c r="F1247">
        <v>61</v>
      </c>
      <c r="G1247">
        <v>6</v>
      </c>
      <c r="H1247">
        <v>1372.11</v>
      </c>
      <c r="I1247">
        <v>8614.87</v>
      </c>
      <c r="J1247">
        <v>25</v>
      </c>
      <c r="K1247">
        <v>0</v>
      </c>
      <c r="L1247">
        <v>13.6</v>
      </c>
      <c r="M1247">
        <v>19.1</v>
      </c>
      <c r="N1247" t="s">
        <v>61</v>
      </c>
      <c r="O1247" t="s">
        <v>47</v>
      </c>
      <c r="P1247" t="s">
        <v>68</v>
      </c>
      <c r="R1247">
        <f>SUMIF(A1247:A6246,"C01246",I1247:I6246)</f>
        <v>8614.87</v>
      </c>
      <c r="S1247" s="1">
        <v>67744.94</v>
      </c>
      <c r="T1247">
        <f t="shared" si="139"/>
        <v>344.5948</v>
      </c>
      <c r="U1247">
        <f t="shared" si="136"/>
        <v>477.5</v>
      </c>
      <c r="V1247">
        <f t="shared" si="135"/>
        <v>39.7916666666667</v>
      </c>
      <c r="W1247">
        <f t="shared" si="137"/>
        <v>3329.32666666667</v>
      </c>
      <c r="X1247">
        <f t="shared" si="134"/>
        <v>0.524010465633222</v>
      </c>
      <c r="AH1247" t="str">
        <f t="shared" si="140"/>
        <v>3rd Quality</v>
      </c>
      <c r="AJ1247">
        <f>((T1247-X1247)*2)/13.6</f>
        <v>50.5986455197598</v>
      </c>
      <c r="AK1247">
        <f t="shared" si="138"/>
        <v>247763.6612</v>
      </c>
    </row>
    <row r="1248" spans="1:37">
      <c r="A1248" t="s">
        <v>1311</v>
      </c>
      <c r="B1248">
        <v>43</v>
      </c>
      <c r="C1248" t="s">
        <v>50</v>
      </c>
      <c r="D1248" t="s">
        <v>60</v>
      </c>
      <c r="E1248">
        <v>526</v>
      </c>
      <c r="F1248">
        <v>17</v>
      </c>
      <c r="G1248">
        <v>4</v>
      </c>
      <c r="H1248">
        <v>4718.79</v>
      </c>
      <c r="I1248">
        <v>19158.53</v>
      </c>
      <c r="J1248">
        <v>11</v>
      </c>
      <c r="K1248">
        <v>0</v>
      </c>
      <c r="L1248">
        <v>10.7</v>
      </c>
      <c r="M1248">
        <v>20.5</v>
      </c>
      <c r="N1248" t="s">
        <v>78</v>
      </c>
      <c r="O1248" t="s">
        <v>53</v>
      </c>
      <c r="P1248" t="s">
        <v>58</v>
      </c>
      <c r="R1248">
        <f>SUMIF(A1248:A6247,"C01247",I1248:I6247)</f>
        <v>19158.53</v>
      </c>
      <c r="S1248" s="1">
        <v>1350.58</v>
      </c>
      <c r="T1248">
        <f t="shared" si="139"/>
        <v>1741.68454545455</v>
      </c>
      <c r="U1248">
        <f t="shared" si="136"/>
        <v>225.5</v>
      </c>
      <c r="V1248">
        <f t="shared" si="135"/>
        <v>18.7916666666667</v>
      </c>
      <c r="W1248">
        <f t="shared" si="137"/>
        <v>7959.44</v>
      </c>
      <c r="X1248">
        <f t="shared" si="134"/>
        <v>0.111469253770564</v>
      </c>
      <c r="AH1248" t="str">
        <f t="shared" si="140"/>
        <v>2nd Quality</v>
      </c>
      <c r="AJ1248">
        <f>((T1248-X1248)*2)/10.7</f>
        <v>325.527677794538</v>
      </c>
      <c r="AK1248">
        <f t="shared" si="138"/>
        <v>916126.070909091</v>
      </c>
    </row>
    <row r="1249" spans="1:37">
      <c r="A1249" t="s">
        <v>1312</v>
      </c>
      <c r="B1249">
        <v>30</v>
      </c>
      <c r="C1249" t="s">
        <v>44</v>
      </c>
      <c r="D1249" t="s">
        <v>60</v>
      </c>
      <c r="E1249">
        <v>1165</v>
      </c>
      <c r="F1249">
        <v>1</v>
      </c>
      <c r="G1249">
        <v>25</v>
      </c>
      <c r="H1249">
        <v>3045.91</v>
      </c>
      <c r="I1249">
        <v>67744.94</v>
      </c>
      <c r="J1249">
        <v>106</v>
      </c>
      <c r="K1249">
        <v>1</v>
      </c>
      <c r="L1249">
        <v>12.4</v>
      </c>
      <c r="M1249">
        <v>50.5</v>
      </c>
      <c r="N1249" t="s">
        <v>81</v>
      </c>
      <c r="O1249" t="s">
        <v>47</v>
      </c>
      <c r="P1249" t="s">
        <v>68</v>
      </c>
      <c r="R1249">
        <f>SUMIF(A1249:A6248,"C01248",I1249:I6248)</f>
        <v>67744.94</v>
      </c>
      <c r="S1249" s="1">
        <v>1517.81</v>
      </c>
      <c r="T1249">
        <f t="shared" si="139"/>
        <v>639.10320754717</v>
      </c>
      <c r="U1249">
        <f t="shared" si="136"/>
        <v>5353</v>
      </c>
      <c r="V1249">
        <f>U1249*1</f>
        <v>5353</v>
      </c>
      <c r="W1249">
        <f t="shared" si="137"/>
        <v>23597.2833333333</v>
      </c>
      <c r="X1249">
        <f t="shared" si="134"/>
        <v>0.382480112675686</v>
      </c>
      <c r="AH1249" t="str">
        <f t="shared" si="140"/>
        <v>1st Quality</v>
      </c>
      <c r="AJ1249">
        <f>((T1249-X1249)*2)/12.4</f>
        <v>103.019472166854</v>
      </c>
      <c r="AK1249">
        <f t="shared" si="138"/>
        <v>744555.236792453</v>
      </c>
    </row>
    <row r="1250" spans="1:37">
      <c r="A1250" t="s">
        <v>1313</v>
      </c>
      <c r="B1250">
        <v>32</v>
      </c>
      <c r="C1250" t="s">
        <v>44</v>
      </c>
      <c r="D1250" t="s">
        <v>45</v>
      </c>
      <c r="E1250">
        <v>807</v>
      </c>
      <c r="F1250">
        <v>230</v>
      </c>
      <c r="G1250">
        <v>1</v>
      </c>
      <c r="H1250">
        <v>1528.92</v>
      </c>
      <c r="I1250">
        <v>1350.58</v>
      </c>
      <c r="J1250">
        <v>17</v>
      </c>
      <c r="K1250">
        <v>0</v>
      </c>
      <c r="L1250">
        <v>15.9</v>
      </c>
      <c r="M1250">
        <v>19.9</v>
      </c>
      <c r="N1250" t="s">
        <v>63</v>
      </c>
      <c r="O1250" t="s">
        <v>75</v>
      </c>
      <c r="P1250" t="s">
        <v>48</v>
      </c>
      <c r="R1250">
        <f>SUMIF(A1250:A6249,"C01249",I1250:I6249)</f>
        <v>1350.58</v>
      </c>
      <c r="S1250" s="1">
        <v>83722.94</v>
      </c>
      <c r="T1250">
        <f t="shared" si="139"/>
        <v>79.4458823529412</v>
      </c>
      <c r="U1250">
        <f t="shared" si="136"/>
        <v>338.3</v>
      </c>
      <c r="V1250">
        <f>U1250/12</f>
        <v>28.1916666666667</v>
      </c>
      <c r="W1250">
        <f t="shared" si="137"/>
        <v>960.166666666667</v>
      </c>
      <c r="X1250">
        <f t="shared" si="134"/>
        <v>0.527823561729848</v>
      </c>
      <c r="AH1250" t="str">
        <f t="shared" si="140"/>
        <v>3rd Quality</v>
      </c>
      <c r="AJ1250">
        <f>((T1250-X1250)*2)/15.9</f>
        <v>9.92679984795111</v>
      </c>
      <c r="AK1250">
        <f t="shared" si="138"/>
        <v>64112.8270588235</v>
      </c>
    </row>
    <row r="1251" spans="1:37">
      <c r="A1251" t="s">
        <v>1314</v>
      </c>
      <c r="B1251">
        <v>46</v>
      </c>
      <c r="C1251" t="s">
        <v>50</v>
      </c>
      <c r="D1251" t="s">
        <v>60</v>
      </c>
      <c r="E1251">
        <v>1175</v>
      </c>
      <c r="F1251">
        <v>154</v>
      </c>
      <c r="G1251">
        <v>1</v>
      </c>
      <c r="H1251">
        <v>1494.55</v>
      </c>
      <c r="I1251">
        <v>1517.81</v>
      </c>
      <c r="J1251">
        <v>9</v>
      </c>
      <c r="K1251">
        <v>0</v>
      </c>
      <c r="L1251">
        <v>12.8</v>
      </c>
      <c r="M1251">
        <v>6.2</v>
      </c>
      <c r="N1251" t="s">
        <v>52</v>
      </c>
      <c r="O1251" t="s">
        <v>75</v>
      </c>
      <c r="P1251" t="s">
        <v>68</v>
      </c>
      <c r="R1251">
        <f>SUMIF(A1251:A6250,"C01250",I1251:I6250)</f>
        <v>1517.81</v>
      </c>
      <c r="S1251" s="1">
        <v>88546.08</v>
      </c>
      <c r="T1251">
        <f t="shared" si="139"/>
        <v>168.645555555556</v>
      </c>
      <c r="U1251">
        <f t="shared" si="136"/>
        <v>55.8</v>
      </c>
      <c r="V1251">
        <f t="shared" si="135"/>
        <v>4.65</v>
      </c>
      <c r="W1251">
        <f t="shared" si="137"/>
        <v>1004.45333333333</v>
      </c>
      <c r="X1251">
        <f t="shared" si="134"/>
        <v>0.786189823023653</v>
      </c>
      <c r="AH1251" t="str">
        <f t="shared" si="140"/>
        <v>3rd Quality</v>
      </c>
      <c r="AJ1251">
        <f>((T1251-X1251)*2)/12.8</f>
        <v>26.2280258957082</v>
      </c>
      <c r="AK1251">
        <f t="shared" si="138"/>
        <v>198158.527777778</v>
      </c>
    </row>
    <row r="1252" spans="1:37">
      <c r="A1252" t="s">
        <v>1315</v>
      </c>
      <c r="B1252">
        <v>18</v>
      </c>
      <c r="C1252" t="s">
        <v>44</v>
      </c>
      <c r="D1252" t="s">
        <v>45</v>
      </c>
      <c r="E1252">
        <v>1185</v>
      </c>
      <c r="F1252">
        <v>2</v>
      </c>
      <c r="G1252">
        <v>28</v>
      </c>
      <c r="H1252">
        <v>2740.93</v>
      </c>
      <c r="I1252">
        <v>83722.94</v>
      </c>
      <c r="J1252">
        <v>62</v>
      </c>
      <c r="K1252">
        <v>3</v>
      </c>
      <c r="L1252">
        <v>12.2</v>
      </c>
      <c r="M1252">
        <v>62.9</v>
      </c>
      <c r="N1252" t="s">
        <v>78</v>
      </c>
      <c r="O1252" t="s">
        <v>47</v>
      </c>
      <c r="P1252" t="s">
        <v>66</v>
      </c>
      <c r="R1252">
        <f>SUMIF(A1252:A6251,"C01251",I1252:I6251)</f>
        <v>83722.94</v>
      </c>
      <c r="S1252" s="1">
        <v>48340.38</v>
      </c>
      <c r="T1252">
        <f t="shared" si="139"/>
        <v>1350.37</v>
      </c>
      <c r="U1252">
        <f t="shared" si="136"/>
        <v>3899.8</v>
      </c>
      <c r="V1252">
        <f>U1252*3</f>
        <v>11699.4</v>
      </c>
      <c r="W1252">
        <f t="shared" si="137"/>
        <v>28821.6233333333</v>
      </c>
      <c r="X1252">
        <f t="shared" si="134"/>
        <v>0.432335010379689</v>
      </c>
      <c r="AH1252" t="str">
        <f t="shared" si="140"/>
        <v>1st Quality</v>
      </c>
      <c r="AJ1252">
        <f>((T1252-X1252)*2)/12.2</f>
        <v>221.301256555675</v>
      </c>
      <c r="AK1252">
        <f t="shared" si="138"/>
        <v>1600188.45</v>
      </c>
    </row>
    <row r="1253" spans="1:37">
      <c r="A1253" t="s">
        <v>1316</v>
      </c>
      <c r="B1253">
        <v>30</v>
      </c>
      <c r="C1253" t="s">
        <v>50</v>
      </c>
      <c r="D1253" t="s">
        <v>45</v>
      </c>
      <c r="E1253">
        <v>949</v>
      </c>
      <c r="F1253">
        <v>9</v>
      </c>
      <c r="G1253">
        <v>22</v>
      </c>
      <c r="H1253">
        <v>3887.25</v>
      </c>
      <c r="I1253">
        <v>88546.08</v>
      </c>
      <c r="J1253">
        <v>159</v>
      </c>
      <c r="K1253">
        <v>1</v>
      </c>
      <c r="L1253">
        <v>2.1</v>
      </c>
      <c r="M1253">
        <v>15.9</v>
      </c>
      <c r="N1253" t="s">
        <v>63</v>
      </c>
      <c r="O1253" t="s">
        <v>47</v>
      </c>
      <c r="P1253" t="s">
        <v>58</v>
      </c>
      <c r="R1253">
        <f>SUMIF(A1253:A6252,"C01252",I1253:I6252)</f>
        <v>88546.08</v>
      </c>
      <c r="S1253" s="1">
        <v>139293.9</v>
      </c>
      <c r="T1253">
        <f t="shared" si="139"/>
        <v>556.89358490566</v>
      </c>
      <c r="U1253">
        <f t="shared" si="136"/>
        <v>2528.1</v>
      </c>
      <c r="V1253">
        <f>U1253*1</f>
        <v>2528.1</v>
      </c>
      <c r="W1253">
        <f t="shared" si="137"/>
        <v>30811.4433333333</v>
      </c>
      <c r="X1253">
        <f t="shared" si="134"/>
        <v>0.244131455399061</v>
      </c>
      <c r="AH1253" t="str">
        <f t="shared" si="140"/>
        <v>1st Quality</v>
      </c>
      <c r="AJ1253">
        <f>((T1253-X1253)*2)/2.1</f>
        <v>530.142336619296</v>
      </c>
      <c r="AK1253">
        <f t="shared" si="138"/>
        <v>528492.012075472</v>
      </c>
    </row>
    <row r="1254" spans="1:37">
      <c r="A1254" t="s">
        <v>1317</v>
      </c>
      <c r="B1254">
        <v>25</v>
      </c>
      <c r="C1254" t="s">
        <v>44</v>
      </c>
      <c r="D1254" t="s">
        <v>45</v>
      </c>
      <c r="E1254">
        <v>1382</v>
      </c>
      <c r="F1254">
        <v>6</v>
      </c>
      <c r="G1254">
        <v>24</v>
      </c>
      <c r="H1254">
        <v>2285.39</v>
      </c>
      <c r="I1254">
        <v>48340.38</v>
      </c>
      <c r="J1254">
        <v>205</v>
      </c>
      <c r="K1254">
        <v>2</v>
      </c>
      <c r="L1254">
        <v>6</v>
      </c>
      <c r="M1254">
        <v>35.1</v>
      </c>
      <c r="N1254" t="s">
        <v>61</v>
      </c>
      <c r="O1254" t="s">
        <v>47</v>
      </c>
      <c r="P1254" t="s">
        <v>66</v>
      </c>
      <c r="R1254">
        <f>SUMIF(A1254:A6253,"C01253",I1254:I6253)</f>
        <v>48340.38</v>
      </c>
      <c r="S1254" s="1">
        <v>99472.37</v>
      </c>
      <c r="T1254">
        <f t="shared" si="139"/>
        <v>235.806731707317</v>
      </c>
      <c r="U1254">
        <f t="shared" si="136"/>
        <v>7195.5</v>
      </c>
      <c r="V1254">
        <f>U1254*2</f>
        <v>14391</v>
      </c>
      <c r="W1254">
        <f t="shared" si="137"/>
        <v>16875.59</v>
      </c>
      <c r="X1254">
        <f t="shared" si="134"/>
        <v>0.604710793343806</v>
      </c>
      <c r="AH1254" t="str">
        <f t="shared" si="140"/>
        <v>1st Quality</v>
      </c>
      <c r="AJ1254">
        <f>((T1254-X1254)*2)/6</f>
        <v>78.4006736379911</v>
      </c>
      <c r="AK1254">
        <f t="shared" si="138"/>
        <v>325884.903219512</v>
      </c>
    </row>
    <row r="1255" spans="1:37">
      <c r="A1255" t="s">
        <v>1318</v>
      </c>
      <c r="B1255">
        <v>31</v>
      </c>
      <c r="C1255" t="s">
        <v>50</v>
      </c>
      <c r="D1255" t="s">
        <v>60</v>
      </c>
      <c r="E1255">
        <v>859</v>
      </c>
      <c r="F1255">
        <v>51</v>
      </c>
      <c r="G1255">
        <v>7</v>
      </c>
      <c r="H1255">
        <v>19261.11</v>
      </c>
      <c r="I1255">
        <v>139293.9</v>
      </c>
      <c r="J1255">
        <v>45</v>
      </c>
      <c r="K1255">
        <v>0</v>
      </c>
      <c r="L1255">
        <v>12.6</v>
      </c>
      <c r="M1255">
        <v>22.2</v>
      </c>
      <c r="N1255" t="s">
        <v>81</v>
      </c>
      <c r="O1255" t="s">
        <v>47</v>
      </c>
      <c r="P1255" t="s">
        <v>66</v>
      </c>
      <c r="R1255">
        <f>SUMIF(A1255:A6254,"C01255",I1255:I6254)</f>
        <v>99472.37</v>
      </c>
      <c r="S1255" s="1">
        <v>1139.3</v>
      </c>
      <c r="T1255">
        <f t="shared" si="139"/>
        <v>3095.42</v>
      </c>
      <c r="U1255">
        <f t="shared" si="136"/>
        <v>999</v>
      </c>
      <c r="V1255">
        <f t="shared" si="135"/>
        <v>83.25</v>
      </c>
      <c r="W1255">
        <f t="shared" si="137"/>
        <v>52852.0033333333</v>
      </c>
      <c r="X1255">
        <f t="shared" si="134"/>
        <v>0.0445976374154968</v>
      </c>
      <c r="AH1255" t="str">
        <f t="shared" si="140"/>
        <v>2nd Quality</v>
      </c>
      <c r="AJ1255">
        <f>((T1255-X1255)*2)/12.6</f>
        <v>491.329428946442</v>
      </c>
      <c r="AK1255">
        <f t="shared" si="138"/>
        <v>2658965.78</v>
      </c>
    </row>
    <row r="1256" spans="1:37">
      <c r="A1256" t="s">
        <v>1319</v>
      </c>
      <c r="B1256">
        <v>32</v>
      </c>
      <c r="C1256" t="s">
        <v>44</v>
      </c>
      <c r="D1256" t="s">
        <v>60</v>
      </c>
      <c r="E1256">
        <v>1123</v>
      </c>
      <c r="F1256">
        <v>1</v>
      </c>
      <c r="G1256">
        <v>26</v>
      </c>
      <c r="H1256">
        <v>3970.11</v>
      </c>
      <c r="I1256">
        <v>99472.37</v>
      </c>
      <c r="J1256">
        <v>134</v>
      </c>
      <c r="K1256">
        <v>3</v>
      </c>
      <c r="L1256">
        <v>16.3</v>
      </c>
      <c r="M1256">
        <v>11.3</v>
      </c>
      <c r="N1256" t="s">
        <v>61</v>
      </c>
      <c r="O1256" t="s">
        <v>47</v>
      </c>
      <c r="P1256" t="s">
        <v>68</v>
      </c>
      <c r="R1256">
        <f>SUMIF(A1256:A6255,"C01256",I1256:I6255)</f>
        <v>1139.3</v>
      </c>
      <c r="S1256" s="1">
        <v>3504.84</v>
      </c>
      <c r="T1256">
        <f t="shared" si="139"/>
        <v>742.331119402985</v>
      </c>
      <c r="U1256">
        <f t="shared" si="136"/>
        <v>1514.2</v>
      </c>
      <c r="V1256">
        <f>U1256*3</f>
        <v>4542.6</v>
      </c>
      <c r="W1256">
        <f t="shared" si="137"/>
        <v>34481.16</v>
      </c>
      <c r="X1256">
        <f t="shared" si="134"/>
        <v>0.282863698990708</v>
      </c>
      <c r="AH1256" t="str">
        <f t="shared" si="140"/>
        <v>1st Quality</v>
      </c>
      <c r="AJ1256">
        <f>((T1256-X1256)*2)/16.3</f>
        <v>91.0488657305514</v>
      </c>
      <c r="AK1256">
        <f t="shared" si="138"/>
        <v>833637.847089552</v>
      </c>
    </row>
    <row r="1257" spans="1:37">
      <c r="A1257" t="s">
        <v>1320</v>
      </c>
      <c r="B1257">
        <v>44</v>
      </c>
      <c r="C1257" t="s">
        <v>50</v>
      </c>
      <c r="D1257" t="s">
        <v>45</v>
      </c>
      <c r="E1257">
        <v>1063</v>
      </c>
      <c r="F1257">
        <v>175</v>
      </c>
      <c r="G1257">
        <v>2</v>
      </c>
      <c r="H1257">
        <v>626.48</v>
      </c>
      <c r="I1257">
        <v>1139.3</v>
      </c>
      <c r="J1257">
        <v>22</v>
      </c>
      <c r="K1257">
        <v>0</v>
      </c>
      <c r="L1257">
        <v>32.4</v>
      </c>
      <c r="M1257">
        <v>41.4</v>
      </c>
      <c r="N1257" t="s">
        <v>81</v>
      </c>
      <c r="O1257" t="s">
        <v>47</v>
      </c>
      <c r="P1257" t="s">
        <v>66</v>
      </c>
      <c r="R1257">
        <f>SUMIF(A1257:A6256,"C01257",I1257:I6256)</f>
        <v>3504.84</v>
      </c>
      <c r="S1257" s="1">
        <v>1263.27</v>
      </c>
      <c r="T1257">
        <f t="shared" si="139"/>
        <v>51.7863636363636</v>
      </c>
      <c r="U1257">
        <f t="shared" si="136"/>
        <v>910.8</v>
      </c>
      <c r="V1257">
        <f t="shared" si="135"/>
        <v>75.9</v>
      </c>
      <c r="W1257">
        <f t="shared" si="137"/>
        <v>588.926666666667</v>
      </c>
      <c r="X1257">
        <f t="shared" si="134"/>
        <v>1.69678202017622</v>
      </c>
      <c r="AH1257" t="str">
        <f t="shared" si="140"/>
        <v>3rd Quality</v>
      </c>
      <c r="AJ1257">
        <f>((T1257-X1257)*2)/32.4</f>
        <v>3.0919494824807</v>
      </c>
      <c r="AK1257">
        <f t="shared" si="138"/>
        <v>55048.9045454545</v>
      </c>
    </row>
    <row r="1258" spans="1:37">
      <c r="A1258" t="s">
        <v>1321</v>
      </c>
      <c r="B1258">
        <v>18</v>
      </c>
      <c r="C1258" t="s">
        <v>44</v>
      </c>
      <c r="D1258" t="s">
        <v>60</v>
      </c>
      <c r="E1258">
        <v>1145</v>
      </c>
      <c r="F1258">
        <v>85</v>
      </c>
      <c r="G1258">
        <v>3</v>
      </c>
      <c r="H1258">
        <v>1087</v>
      </c>
      <c r="I1258">
        <v>3504.84</v>
      </c>
      <c r="J1258">
        <v>20</v>
      </c>
      <c r="K1258">
        <v>0</v>
      </c>
      <c r="L1258">
        <v>25.8</v>
      </c>
      <c r="M1258">
        <v>25.8</v>
      </c>
      <c r="N1258" t="s">
        <v>78</v>
      </c>
      <c r="O1258" t="s">
        <v>47</v>
      </c>
      <c r="P1258" t="s">
        <v>66</v>
      </c>
      <c r="R1258">
        <f>SUMIF(A1258:A6257,"C01257",I1258:I6257)</f>
        <v>3504.84</v>
      </c>
      <c r="S1258" s="1">
        <v>103668.43</v>
      </c>
      <c r="T1258">
        <f t="shared" si="139"/>
        <v>175.242</v>
      </c>
      <c r="U1258">
        <f t="shared" si="136"/>
        <v>516</v>
      </c>
      <c r="V1258">
        <f t="shared" si="135"/>
        <v>43</v>
      </c>
      <c r="W1258">
        <f t="shared" si="137"/>
        <v>1530.94666666667</v>
      </c>
      <c r="X1258">
        <f t="shared" si="134"/>
        <v>1.05335786568537</v>
      </c>
      <c r="AH1258" t="str">
        <f t="shared" si="140"/>
        <v>3rd Quality</v>
      </c>
      <c r="AJ1258">
        <f>((T1258-X1258)*2)/25.8</f>
        <v>13.502995514288</v>
      </c>
      <c r="AK1258">
        <f t="shared" si="138"/>
        <v>200652.09</v>
      </c>
    </row>
    <row r="1259" spans="1:37">
      <c r="A1259" t="s">
        <v>1322</v>
      </c>
      <c r="B1259">
        <v>38</v>
      </c>
      <c r="C1259" t="s">
        <v>44</v>
      </c>
      <c r="D1259" t="s">
        <v>45</v>
      </c>
      <c r="E1259">
        <v>906</v>
      </c>
      <c r="F1259">
        <v>144</v>
      </c>
      <c r="G1259">
        <v>1</v>
      </c>
      <c r="H1259">
        <v>1240.51</v>
      </c>
      <c r="I1259">
        <v>1263.27</v>
      </c>
      <c r="J1259">
        <v>13</v>
      </c>
      <c r="K1259">
        <v>0</v>
      </c>
      <c r="L1259">
        <v>21.2</v>
      </c>
      <c r="M1259">
        <v>46.2</v>
      </c>
      <c r="N1259" t="s">
        <v>57</v>
      </c>
      <c r="O1259" t="s">
        <v>47</v>
      </c>
      <c r="P1259" t="s">
        <v>58</v>
      </c>
      <c r="R1259">
        <f>SUMIF(A1259:A6258,"C01258",I1259:I6258)</f>
        <v>1263.27</v>
      </c>
      <c r="S1259" s="1">
        <v>1066.75</v>
      </c>
      <c r="T1259">
        <f t="shared" si="139"/>
        <v>97.1746153846154</v>
      </c>
      <c r="U1259">
        <f t="shared" si="136"/>
        <v>600.6</v>
      </c>
      <c r="V1259">
        <f t="shared" si="135"/>
        <v>50.05</v>
      </c>
      <c r="W1259">
        <f t="shared" si="137"/>
        <v>834.926666666667</v>
      </c>
      <c r="X1259">
        <f t="shared" si="134"/>
        <v>0.730344777551168</v>
      </c>
      <c r="AH1259" t="str">
        <f t="shared" si="140"/>
        <v>3rd Quality</v>
      </c>
      <c r="AJ1259">
        <f>((T1259-X1259)*2)/21.2</f>
        <v>9.09851609500606</v>
      </c>
      <c r="AK1259">
        <f t="shared" si="138"/>
        <v>88040.2015384615</v>
      </c>
    </row>
    <row r="1260" spans="1:37">
      <c r="A1260" t="s">
        <v>1323</v>
      </c>
      <c r="B1260">
        <v>51</v>
      </c>
      <c r="C1260" t="s">
        <v>44</v>
      </c>
      <c r="D1260" t="s">
        <v>45</v>
      </c>
      <c r="E1260">
        <v>836</v>
      </c>
      <c r="F1260">
        <v>75</v>
      </c>
      <c r="G1260">
        <v>9</v>
      </c>
      <c r="H1260">
        <v>10930.49</v>
      </c>
      <c r="I1260">
        <v>103668.43</v>
      </c>
      <c r="J1260">
        <v>27</v>
      </c>
      <c r="K1260">
        <v>1</v>
      </c>
      <c r="L1260">
        <v>0.5</v>
      </c>
      <c r="M1260">
        <v>28.3</v>
      </c>
      <c r="N1260" t="s">
        <v>81</v>
      </c>
      <c r="O1260" t="s">
        <v>47</v>
      </c>
      <c r="P1260" t="s">
        <v>58</v>
      </c>
      <c r="R1260">
        <f>SUMIF(A1260:A6259,"C01259",I1260:I6259)</f>
        <v>103668.43</v>
      </c>
      <c r="S1260" s="1">
        <v>108772.17</v>
      </c>
      <c r="T1260">
        <f t="shared" si="139"/>
        <v>3839.57148148148</v>
      </c>
      <c r="U1260">
        <f t="shared" si="136"/>
        <v>764.1</v>
      </c>
      <c r="V1260">
        <f>U1260*1</f>
        <v>764.1</v>
      </c>
      <c r="W1260">
        <f t="shared" si="137"/>
        <v>38199.9733333333</v>
      </c>
      <c r="X1260">
        <f t="shared" si="134"/>
        <v>0.0764833049570513</v>
      </c>
      <c r="AH1260" t="str">
        <f t="shared" si="140"/>
        <v>3rd Quality</v>
      </c>
      <c r="AJ1260">
        <f>((T1260-X1260)*2)/0.5</f>
        <v>15357.9799927061</v>
      </c>
      <c r="AK1260">
        <f t="shared" si="138"/>
        <v>3209881.75851852</v>
      </c>
    </row>
    <row r="1261" spans="1:37">
      <c r="A1261" t="s">
        <v>1324</v>
      </c>
      <c r="B1261">
        <v>27</v>
      </c>
      <c r="C1261" t="s">
        <v>44</v>
      </c>
      <c r="D1261" t="s">
        <v>60</v>
      </c>
      <c r="E1261">
        <v>1269</v>
      </c>
      <c r="F1261">
        <v>268</v>
      </c>
      <c r="G1261">
        <v>1</v>
      </c>
      <c r="H1261">
        <v>1160</v>
      </c>
      <c r="I1261">
        <v>1066.75</v>
      </c>
      <c r="J1261">
        <v>4</v>
      </c>
      <c r="K1261">
        <v>0</v>
      </c>
      <c r="L1261">
        <v>26</v>
      </c>
      <c r="M1261">
        <v>17.4</v>
      </c>
      <c r="N1261" t="s">
        <v>78</v>
      </c>
      <c r="O1261" t="s">
        <v>75</v>
      </c>
      <c r="P1261" t="s">
        <v>68</v>
      </c>
      <c r="R1261">
        <f>SUMIF(A1261:A6260,"C01260",I1261:I6260)</f>
        <v>1066.75</v>
      </c>
      <c r="S1261" s="1">
        <v>8636.67</v>
      </c>
      <c r="T1261">
        <f t="shared" si="139"/>
        <v>266.6875</v>
      </c>
      <c r="U1261">
        <f t="shared" si="136"/>
        <v>69.6</v>
      </c>
      <c r="V1261">
        <f t="shared" si="135"/>
        <v>5.8</v>
      </c>
      <c r="W1261">
        <f t="shared" si="137"/>
        <v>742.583333333333</v>
      </c>
      <c r="X1261">
        <f t="shared" si="134"/>
        <v>1.09396551724138</v>
      </c>
      <c r="AH1261" t="str">
        <f t="shared" si="140"/>
        <v>3rd Quality</v>
      </c>
      <c r="AJ1261">
        <f>((T1261-X1261)*2)/26</f>
        <v>20.4302718832891</v>
      </c>
      <c r="AK1261">
        <f t="shared" si="138"/>
        <v>338426.4375</v>
      </c>
    </row>
    <row r="1262" spans="1:37">
      <c r="A1262" t="s">
        <v>1325</v>
      </c>
      <c r="B1262">
        <v>36</v>
      </c>
      <c r="C1262" t="s">
        <v>44</v>
      </c>
      <c r="D1262" t="s">
        <v>60</v>
      </c>
      <c r="E1262">
        <v>1353</v>
      </c>
      <c r="F1262">
        <v>18</v>
      </c>
      <c r="G1262">
        <v>16</v>
      </c>
      <c r="H1262">
        <v>7488.14</v>
      </c>
      <c r="I1262">
        <v>108772.17</v>
      </c>
      <c r="J1262">
        <v>73</v>
      </c>
      <c r="K1262">
        <v>0</v>
      </c>
      <c r="L1262">
        <v>10.4</v>
      </c>
      <c r="M1262">
        <v>29.3</v>
      </c>
      <c r="N1262" t="s">
        <v>78</v>
      </c>
      <c r="O1262" t="s">
        <v>47</v>
      </c>
      <c r="P1262" t="s">
        <v>58</v>
      </c>
      <c r="R1262">
        <f>SUMIF(A1262:A6261,"C01261",I1262:I6261)</f>
        <v>108772.17</v>
      </c>
      <c r="S1262" s="1">
        <v>9305.35</v>
      </c>
      <c r="T1262">
        <f t="shared" si="139"/>
        <v>1490.0297260274</v>
      </c>
      <c r="U1262">
        <f t="shared" si="136"/>
        <v>2138.9</v>
      </c>
      <c r="V1262">
        <f t="shared" si="135"/>
        <v>178.241666666667</v>
      </c>
      <c r="W1262">
        <f t="shared" si="137"/>
        <v>38753.77</v>
      </c>
      <c r="X1262">
        <f t="shared" si="134"/>
        <v>0.180685724358786</v>
      </c>
      <c r="AH1262" t="str">
        <f t="shared" si="140"/>
        <v>2nd Quality</v>
      </c>
      <c r="AJ1262">
        <f>((T1262-X1262)*2)/10.4</f>
        <v>286.509430827508</v>
      </c>
      <c r="AK1262">
        <f t="shared" si="138"/>
        <v>2016010.21931507</v>
      </c>
    </row>
    <row r="1263" spans="1:37">
      <c r="A1263" t="s">
        <v>1326</v>
      </c>
      <c r="B1263">
        <v>23</v>
      </c>
      <c r="C1263" t="s">
        <v>44</v>
      </c>
      <c r="D1263" t="s">
        <v>60</v>
      </c>
      <c r="E1263">
        <v>441</v>
      </c>
      <c r="F1263">
        <v>8</v>
      </c>
      <c r="G1263">
        <v>5</v>
      </c>
      <c r="H1263">
        <v>1721.34</v>
      </c>
      <c r="I1263">
        <v>8636.67</v>
      </c>
      <c r="J1263">
        <v>32</v>
      </c>
      <c r="K1263">
        <v>0</v>
      </c>
      <c r="L1263">
        <v>21.3</v>
      </c>
      <c r="M1263">
        <v>42.2</v>
      </c>
      <c r="N1263" t="s">
        <v>46</v>
      </c>
      <c r="O1263" t="s">
        <v>47</v>
      </c>
      <c r="P1263" t="s">
        <v>68</v>
      </c>
      <c r="R1263">
        <f>SUMIF(A1263:A6262,"C01262",I1263:I6262)</f>
        <v>8636.67</v>
      </c>
      <c r="S1263" s="1">
        <v>1876.85</v>
      </c>
      <c r="T1263">
        <f t="shared" si="139"/>
        <v>269.8959375</v>
      </c>
      <c r="U1263">
        <f t="shared" si="136"/>
        <v>1350.4</v>
      </c>
      <c r="V1263">
        <f t="shared" si="135"/>
        <v>112.533333333333</v>
      </c>
      <c r="W1263">
        <f t="shared" si="137"/>
        <v>3453.00333333333</v>
      </c>
      <c r="X1263">
        <f t="shared" ref="X1263:X1326" si="141">E1263/H1263</f>
        <v>0.256195754470355</v>
      </c>
      <c r="AH1263" t="str">
        <f t="shared" si="140"/>
        <v>3rd Quality</v>
      </c>
      <c r="AJ1263">
        <f>((T1263-X1263)*2)/21.3</f>
        <v>25.3182856099089</v>
      </c>
      <c r="AK1263">
        <f t="shared" si="138"/>
        <v>119024.1084375</v>
      </c>
    </row>
    <row r="1264" spans="1:37">
      <c r="A1264" t="s">
        <v>1327</v>
      </c>
      <c r="B1264">
        <v>53</v>
      </c>
      <c r="C1264" t="s">
        <v>44</v>
      </c>
      <c r="D1264" t="s">
        <v>60</v>
      </c>
      <c r="E1264">
        <v>1436</v>
      </c>
      <c r="F1264">
        <v>9</v>
      </c>
      <c r="G1264">
        <v>11</v>
      </c>
      <c r="H1264">
        <v>840.32</v>
      </c>
      <c r="I1264">
        <v>9305.35</v>
      </c>
      <c r="J1264">
        <v>29</v>
      </c>
      <c r="K1264">
        <v>1</v>
      </c>
      <c r="L1264">
        <v>23.1</v>
      </c>
      <c r="M1264">
        <v>14.5</v>
      </c>
      <c r="N1264" t="s">
        <v>81</v>
      </c>
      <c r="O1264" t="s">
        <v>53</v>
      </c>
      <c r="P1264" t="s">
        <v>66</v>
      </c>
      <c r="R1264">
        <f>SUMIF(A1264:A6263,"C01263",I1264:I6263)</f>
        <v>9305.35</v>
      </c>
      <c r="S1264" s="1">
        <v>18498.34</v>
      </c>
      <c r="T1264">
        <f t="shared" si="139"/>
        <v>320.874137931035</v>
      </c>
      <c r="U1264">
        <f t="shared" si="136"/>
        <v>420.5</v>
      </c>
      <c r="V1264">
        <f>U1264*1</f>
        <v>420.5</v>
      </c>
      <c r="W1264">
        <f t="shared" si="137"/>
        <v>3382.22333333333</v>
      </c>
      <c r="X1264">
        <f t="shared" si="141"/>
        <v>1.70887281035796</v>
      </c>
      <c r="AH1264" t="str">
        <f t="shared" si="140"/>
        <v>3rd Quality</v>
      </c>
      <c r="AJ1264">
        <f>((T1264-X1264)*2)/23.1</f>
        <v>27.6333562875045</v>
      </c>
      <c r="AK1264">
        <f t="shared" si="138"/>
        <v>460775.262068966</v>
      </c>
    </row>
    <row r="1265" spans="1:37">
      <c r="A1265" t="s">
        <v>1328</v>
      </c>
      <c r="B1265">
        <v>18</v>
      </c>
      <c r="C1265" t="s">
        <v>44</v>
      </c>
      <c r="D1265" t="s">
        <v>51</v>
      </c>
      <c r="E1265">
        <v>1354</v>
      </c>
      <c r="F1265">
        <v>152</v>
      </c>
      <c r="G1265">
        <v>1</v>
      </c>
      <c r="H1265">
        <v>1840.6</v>
      </c>
      <c r="I1265">
        <v>1876.85</v>
      </c>
      <c r="J1265">
        <v>12</v>
      </c>
      <c r="K1265">
        <v>0</v>
      </c>
      <c r="L1265">
        <v>21.8</v>
      </c>
      <c r="M1265">
        <v>33.2</v>
      </c>
      <c r="N1265" t="s">
        <v>78</v>
      </c>
      <c r="O1265" t="s">
        <v>47</v>
      </c>
      <c r="P1265" t="s">
        <v>66</v>
      </c>
      <c r="R1265">
        <f>SUMIF(A1265:A6264,"C01264",I1265:I6264)</f>
        <v>1876.85</v>
      </c>
      <c r="S1265" s="1">
        <v>4427.68</v>
      </c>
      <c r="T1265">
        <f t="shared" si="139"/>
        <v>156.404166666667</v>
      </c>
      <c r="U1265">
        <f t="shared" si="136"/>
        <v>398.4</v>
      </c>
      <c r="V1265">
        <f t="shared" si="135"/>
        <v>33.2</v>
      </c>
      <c r="W1265">
        <f t="shared" si="137"/>
        <v>1239.48333333333</v>
      </c>
      <c r="X1265">
        <f t="shared" si="141"/>
        <v>0.735629685971966</v>
      </c>
      <c r="AH1265" t="str">
        <f t="shared" si="140"/>
        <v>3rd Quality</v>
      </c>
      <c r="AJ1265">
        <f>((T1265-X1265)*2)/21.8</f>
        <v>14.2815171541922</v>
      </c>
      <c r="AK1265">
        <f t="shared" si="138"/>
        <v>211771.241666667</v>
      </c>
    </row>
    <row r="1266" spans="1:37">
      <c r="A1266" t="s">
        <v>1329</v>
      </c>
      <c r="B1266">
        <v>31</v>
      </c>
      <c r="C1266" t="s">
        <v>44</v>
      </c>
      <c r="D1266" t="s">
        <v>60</v>
      </c>
      <c r="E1266">
        <v>1007</v>
      </c>
      <c r="F1266">
        <v>16</v>
      </c>
      <c r="G1266">
        <v>2</v>
      </c>
      <c r="H1266">
        <v>8737.04</v>
      </c>
      <c r="I1266">
        <v>18498.34</v>
      </c>
      <c r="J1266">
        <v>8</v>
      </c>
      <c r="K1266">
        <v>0</v>
      </c>
      <c r="L1266">
        <v>0</v>
      </c>
      <c r="M1266">
        <v>64</v>
      </c>
      <c r="N1266" t="s">
        <v>46</v>
      </c>
      <c r="O1266" t="s">
        <v>53</v>
      </c>
      <c r="P1266" t="s">
        <v>68</v>
      </c>
      <c r="R1266">
        <f>SUMIF(A1266:A6265,"C01265",I1266:I6265)</f>
        <v>18498.34</v>
      </c>
      <c r="S1266" s="1">
        <v>61452.48</v>
      </c>
      <c r="T1266">
        <f t="shared" si="139"/>
        <v>2312.2925</v>
      </c>
      <c r="U1266">
        <f t="shared" si="136"/>
        <v>512</v>
      </c>
      <c r="V1266">
        <f t="shared" si="135"/>
        <v>42.6666666666667</v>
      </c>
      <c r="W1266">
        <f t="shared" si="137"/>
        <v>9078.79333333333</v>
      </c>
      <c r="X1266">
        <f t="shared" si="141"/>
        <v>0.115256425517109</v>
      </c>
      <c r="AH1266" t="str">
        <f t="shared" si="140"/>
        <v>2nd Quality</v>
      </c>
      <c r="AJ1266">
        <f>((T1266-X1266)*2)</f>
        <v>4624.35448714897</v>
      </c>
      <c r="AK1266">
        <f t="shared" si="138"/>
        <v>2328478.5475</v>
      </c>
    </row>
    <row r="1267" spans="1:37">
      <c r="A1267" t="s">
        <v>1330</v>
      </c>
      <c r="B1267">
        <v>33</v>
      </c>
      <c r="C1267" t="s">
        <v>50</v>
      </c>
      <c r="D1267" t="s">
        <v>45</v>
      </c>
      <c r="E1267">
        <v>942</v>
      </c>
      <c r="F1267">
        <v>127</v>
      </c>
      <c r="G1267">
        <v>5</v>
      </c>
      <c r="H1267">
        <v>852.08</v>
      </c>
      <c r="I1267">
        <v>4427.68</v>
      </c>
      <c r="J1267">
        <v>43</v>
      </c>
      <c r="K1267">
        <v>1</v>
      </c>
      <c r="L1267">
        <v>25.6</v>
      </c>
      <c r="M1267">
        <v>32.7</v>
      </c>
      <c r="N1267" t="s">
        <v>57</v>
      </c>
      <c r="O1267" t="s">
        <v>75</v>
      </c>
      <c r="P1267" t="s">
        <v>48</v>
      </c>
      <c r="R1267">
        <f>SUMIF(A1267:A6266,"C01266",I1267:I6266)</f>
        <v>4427.68</v>
      </c>
      <c r="S1267" s="1">
        <v>1600.09</v>
      </c>
      <c r="T1267">
        <f t="shared" si="139"/>
        <v>102.969302325581</v>
      </c>
      <c r="U1267">
        <f t="shared" si="136"/>
        <v>1406.1</v>
      </c>
      <c r="V1267">
        <f>U1267*1</f>
        <v>1406.1</v>
      </c>
      <c r="W1267">
        <f t="shared" si="137"/>
        <v>1760.25333333333</v>
      </c>
      <c r="X1267">
        <f t="shared" si="141"/>
        <v>1.10552999718336</v>
      </c>
      <c r="AH1267" t="str">
        <f t="shared" si="140"/>
        <v>3rd Quality</v>
      </c>
      <c r="AJ1267">
        <f>((T1267-X1267)*2)/25.6</f>
        <v>7.95810721315607</v>
      </c>
      <c r="AK1267">
        <f t="shared" si="138"/>
        <v>96997.0827906977</v>
      </c>
    </row>
    <row r="1268" spans="1:37">
      <c r="A1268" t="s">
        <v>1331</v>
      </c>
      <c r="B1268">
        <v>18</v>
      </c>
      <c r="C1268" t="s">
        <v>101</v>
      </c>
      <c r="D1268" t="s">
        <v>45</v>
      </c>
      <c r="E1268">
        <v>869</v>
      </c>
      <c r="F1268">
        <v>13</v>
      </c>
      <c r="G1268">
        <v>29</v>
      </c>
      <c r="H1268">
        <v>2033.05</v>
      </c>
      <c r="I1268">
        <v>61452.48</v>
      </c>
      <c r="J1268">
        <v>92</v>
      </c>
      <c r="K1268">
        <v>0</v>
      </c>
      <c r="L1268">
        <v>13.5</v>
      </c>
      <c r="M1268">
        <v>27.3</v>
      </c>
      <c r="N1268" t="s">
        <v>52</v>
      </c>
      <c r="O1268" t="s">
        <v>47</v>
      </c>
      <c r="P1268" t="s">
        <v>48</v>
      </c>
      <c r="R1268">
        <f>SUMIF(A1268:A6267,"C01267",I1268:I6267)</f>
        <v>61452.48</v>
      </c>
      <c r="S1268" s="1">
        <v>13581.56</v>
      </c>
      <c r="T1268">
        <f t="shared" si="139"/>
        <v>667.961739130435</v>
      </c>
      <c r="U1268">
        <f t="shared" si="136"/>
        <v>2511.6</v>
      </c>
      <c r="V1268">
        <f t="shared" si="135"/>
        <v>209.3</v>
      </c>
      <c r="W1268">
        <f t="shared" si="137"/>
        <v>21162.1766666667</v>
      </c>
      <c r="X1268">
        <f t="shared" si="141"/>
        <v>0.427436610019429</v>
      </c>
      <c r="AH1268" t="str">
        <f t="shared" si="140"/>
        <v>2nd Quality</v>
      </c>
      <c r="AJ1268">
        <f>((T1268-X1268)*2)/13.5</f>
        <v>98.8939707437653</v>
      </c>
      <c r="AK1268">
        <f t="shared" si="138"/>
        <v>580458.751304348</v>
      </c>
    </row>
    <row r="1269" spans="1:37">
      <c r="A1269" t="s">
        <v>1332</v>
      </c>
      <c r="B1269">
        <v>18</v>
      </c>
      <c r="C1269" t="s">
        <v>44</v>
      </c>
      <c r="D1269" t="s">
        <v>45</v>
      </c>
      <c r="E1269">
        <v>925</v>
      </c>
      <c r="F1269">
        <v>365</v>
      </c>
      <c r="G1269">
        <v>1</v>
      </c>
      <c r="H1269">
        <v>1735.46</v>
      </c>
      <c r="I1269">
        <v>1600.09</v>
      </c>
      <c r="J1269">
        <v>17</v>
      </c>
      <c r="K1269">
        <v>0</v>
      </c>
      <c r="L1269">
        <v>18.7</v>
      </c>
      <c r="M1269">
        <v>66.4</v>
      </c>
      <c r="N1269" t="s">
        <v>46</v>
      </c>
      <c r="O1269" t="s">
        <v>47</v>
      </c>
      <c r="P1269" t="s">
        <v>58</v>
      </c>
      <c r="R1269">
        <f>SUMIF(A1269:A6268,"C01268",I1269:I6268)</f>
        <v>1600.09</v>
      </c>
      <c r="S1269" s="1">
        <v>51107.8</v>
      </c>
      <c r="T1269">
        <f t="shared" si="139"/>
        <v>94.1229411764706</v>
      </c>
      <c r="U1269">
        <f t="shared" si="136"/>
        <v>1128.8</v>
      </c>
      <c r="V1269">
        <f t="shared" si="135"/>
        <v>94.0666666666667</v>
      </c>
      <c r="W1269">
        <f t="shared" si="137"/>
        <v>1112.18333333333</v>
      </c>
      <c r="X1269">
        <f t="shared" si="141"/>
        <v>0.532999896281101</v>
      </c>
      <c r="AH1269" t="str">
        <f t="shared" si="140"/>
        <v>3rd Quality</v>
      </c>
      <c r="AJ1269">
        <f>((T1269-X1269)*2)/18.7</f>
        <v>10.0096193882556</v>
      </c>
      <c r="AK1269">
        <f t="shared" si="138"/>
        <v>87063.7205882353</v>
      </c>
    </row>
    <row r="1270" spans="1:37">
      <c r="A1270" t="s">
        <v>1333</v>
      </c>
      <c r="B1270">
        <v>25</v>
      </c>
      <c r="C1270" t="s">
        <v>50</v>
      </c>
      <c r="D1270" t="s">
        <v>45</v>
      </c>
      <c r="E1270">
        <v>562</v>
      </c>
      <c r="F1270">
        <v>27</v>
      </c>
      <c r="G1270">
        <v>2</v>
      </c>
      <c r="H1270">
        <v>6926.92</v>
      </c>
      <c r="I1270">
        <v>13581.56</v>
      </c>
      <c r="J1270">
        <v>22</v>
      </c>
      <c r="K1270">
        <v>1</v>
      </c>
      <c r="L1270">
        <v>13.7</v>
      </c>
      <c r="M1270">
        <v>6.7</v>
      </c>
      <c r="N1270" t="s">
        <v>52</v>
      </c>
      <c r="O1270" t="s">
        <v>53</v>
      </c>
      <c r="P1270" t="s">
        <v>66</v>
      </c>
      <c r="R1270">
        <f>SUMIF(A1270:A6269,"C01269",I1270:I6269)</f>
        <v>13581.56</v>
      </c>
      <c r="S1270" s="1">
        <v>1978.46</v>
      </c>
      <c r="T1270">
        <f t="shared" si="139"/>
        <v>617.343636363636</v>
      </c>
      <c r="U1270">
        <f t="shared" si="136"/>
        <v>147.4</v>
      </c>
      <c r="V1270">
        <f>U1270*1</f>
        <v>147.4</v>
      </c>
      <c r="W1270">
        <f t="shared" si="137"/>
        <v>6836.49333333333</v>
      </c>
      <c r="X1270">
        <f t="shared" si="141"/>
        <v>0.0811327400922777</v>
      </c>
      <c r="AH1270" t="str">
        <f t="shared" si="140"/>
        <v>2nd Quality</v>
      </c>
      <c r="AJ1270">
        <f>((T1270-X1270)*2)/13.7</f>
        <v>90.1113143975976</v>
      </c>
      <c r="AK1270">
        <f t="shared" si="138"/>
        <v>346947.123636364</v>
      </c>
    </row>
    <row r="1271" spans="1:37">
      <c r="A1271" t="s">
        <v>1334</v>
      </c>
      <c r="B1271">
        <v>29</v>
      </c>
      <c r="C1271" t="s">
        <v>50</v>
      </c>
      <c r="D1271" t="s">
        <v>45</v>
      </c>
      <c r="E1271">
        <v>796</v>
      </c>
      <c r="F1271">
        <v>6</v>
      </c>
      <c r="G1271">
        <v>6</v>
      </c>
      <c r="H1271">
        <v>8318.37</v>
      </c>
      <c r="I1271">
        <v>51107.8</v>
      </c>
      <c r="J1271">
        <v>36</v>
      </c>
      <c r="K1271">
        <v>0</v>
      </c>
      <c r="L1271">
        <v>11.3</v>
      </c>
      <c r="M1271">
        <v>20.4</v>
      </c>
      <c r="N1271" t="s">
        <v>57</v>
      </c>
      <c r="O1271" t="s">
        <v>47</v>
      </c>
      <c r="P1271" t="s">
        <v>58</v>
      </c>
      <c r="R1271">
        <f>SUMIF(A1271:A6270,"C01270",I1271:I6270)</f>
        <v>51107.8</v>
      </c>
      <c r="S1271" s="1">
        <v>6440.58</v>
      </c>
      <c r="T1271">
        <f t="shared" si="139"/>
        <v>1419.66111111111</v>
      </c>
      <c r="U1271">
        <f t="shared" si="136"/>
        <v>734.4</v>
      </c>
      <c r="V1271">
        <f t="shared" si="135"/>
        <v>61.2</v>
      </c>
      <c r="W1271">
        <f t="shared" si="137"/>
        <v>19809.0566666667</v>
      </c>
      <c r="X1271">
        <f t="shared" si="141"/>
        <v>0.0956918242396046</v>
      </c>
      <c r="AH1271" t="str">
        <f t="shared" si="140"/>
        <v>2nd Quality</v>
      </c>
      <c r="AJ1271">
        <f>((T1271-X1271)*2)/11.3</f>
        <v>251.250516687942</v>
      </c>
      <c r="AK1271">
        <f t="shared" si="138"/>
        <v>1130050.24444444</v>
      </c>
    </row>
    <row r="1272" spans="1:37">
      <c r="A1272" t="s">
        <v>1335</v>
      </c>
      <c r="B1272">
        <v>34</v>
      </c>
      <c r="C1272" t="s">
        <v>44</v>
      </c>
      <c r="D1272" t="s">
        <v>45</v>
      </c>
      <c r="E1272">
        <v>1402</v>
      </c>
      <c r="F1272">
        <v>365</v>
      </c>
      <c r="G1272">
        <v>1</v>
      </c>
      <c r="H1272">
        <v>1969.65</v>
      </c>
      <c r="I1272">
        <v>1978.46</v>
      </c>
      <c r="J1272">
        <v>6</v>
      </c>
      <c r="K1272">
        <v>0</v>
      </c>
      <c r="L1272">
        <v>11.6</v>
      </c>
      <c r="M1272">
        <v>39.4</v>
      </c>
      <c r="N1272" t="s">
        <v>52</v>
      </c>
      <c r="O1272" t="s">
        <v>47</v>
      </c>
      <c r="P1272" t="s">
        <v>48</v>
      </c>
      <c r="R1272">
        <f>SUMIF(A1272:A6271,"C01271",I1272:I6271)</f>
        <v>1978.46</v>
      </c>
      <c r="S1272" s="1">
        <v>9364.9</v>
      </c>
      <c r="T1272">
        <f t="shared" si="139"/>
        <v>329.743333333333</v>
      </c>
      <c r="U1272">
        <f t="shared" si="136"/>
        <v>236.4</v>
      </c>
      <c r="V1272">
        <f t="shared" si="135"/>
        <v>19.7</v>
      </c>
      <c r="W1272">
        <f t="shared" si="137"/>
        <v>1316.37</v>
      </c>
      <c r="X1272">
        <f t="shared" si="141"/>
        <v>0.711801589114817</v>
      </c>
      <c r="AH1272" t="str">
        <f t="shared" si="140"/>
        <v>3rd Quality</v>
      </c>
      <c r="AJ1272">
        <f>((T1272-X1272)*2)/11.6</f>
        <v>56.7295744386583</v>
      </c>
      <c r="AK1272">
        <f t="shared" si="138"/>
        <v>462300.153333333</v>
      </c>
    </row>
    <row r="1273" spans="1:37">
      <c r="A1273" t="s">
        <v>1336</v>
      </c>
      <c r="B1273">
        <v>18</v>
      </c>
      <c r="C1273" t="s">
        <v>50</v>
      </c>
      <c r="D1273" t="s">
        <v>45</v>
      </c>
      <c r="E1273">
        <v>950</v>
      </c>
      <c r="F1273">
        <v>75</v>
      </c>
      <c r="G1273">
        <v>6</v>
      </c>
      <c r="H1273">
        <v>1126.35</v>
      </c>
      <c r="I1273">
        <v>6440.58</v>
      </c>
      <c r="J1273">
        <v>44</v>
      </c>
      <c r="K1273">
        <v>1</v>
      </c>
      <c r="L1273">
        <v>0</v>
      </c>
      <c r="M1273">
        <v>17.3</v>
      </c>
      <c r="N1273" t="s">
        <v>81</v>
      </c>
      <c r="O1273" t="s">
        <v>75</v>
      </c>
      <c r="P1273" t="s">
        <v>58</v>
      </c>
      <c r="R1273">
        <f>SUMIF(A1273:A6272,"C01272",I1273:I6272)</f>
        <v>6440.58</v>
      </c>
      <c r="S1273" s="1">
        <v>71124.17</v>
      </c>
      <c r="T1273">
        <f t="shared" si="139"/>
        <v>146.376818181818</v>
      </c>
      <c r="U1273">
        <f t="shared" si="136"/>
        <v>761.2</v>
      </c>
      <c r="V1273">
        <f>U1273*1</f>
        <v>761.2</v>
      </c>
      <c r="W1273">
        <f t="shared" si="137"/>
        <v>2522.64333333333</v>
      </c>
      <c r="X1273">
        <f t="shared" si="141"/>
        <v>0.84343232565366</v>
      </c>
      <c r="AH1273" t="str">
        <f t="shared" si="140"/>
        <v>3rd Quality</v>
      </c>
      <c r="AJ1273">
        <f>((T1273-X1273)*2)</f>
        <v>291.066771712329</v>
      </c>
      <c r="AK1273">
        <f t="shared" si="138"/>
        <v>139057.977272727</v>
      </c>
    </row>
    <row r="1274" spans="1:37">
      <c r="A1274" t="s">
        <v>1337</v>
      </c>
      <c r="B1274">
        <v>41</v>
      </c>
      <c r="C1274" t="s">
        <v>44</v>
      </c>
      <c r="D1274" t="s">
        <v>60</v>
      </c>
      <c r="E1274">
        <v>766</v>
      </c>
      <c r="F1274">
        <v>26</v>
      </c>
      <c r="G1274">
        <v>7</v>
      </c>
      <c r="H1274">
        <v>1208.94</v>
      </c>
      <c r="I1274">
        <v>9364.9</v>
      </c>
      <c r="J1274">
        <v>33</v>
      </c>
      <c r="K1274">
        <v>0</v>
      </c>
      <c r="L1274">
        <v>23.4</v>
      </c>
      <c r="M1274">
        <v>3.9</v>
      </c>
      <c r="N1274" t="s">
        <v>78</v>
      </c>
      <c r="O1274" t="s">
        <v>47</v>
      </c>
      <c r="P1274" t="s">
        <v>48</v>
      </c>
      <c r="R1274">
        <f>SUMIF(A1274:A6273,"C01273",I1274:I6273)</f>
        <v>9364.9</v>
      </c>
      <c r="S1274" s="1">
        <v>43231.85</v>
      </c>
      <c r="T1274">
        <f t="shared" si="139"/>
        <v>283.784848484848</v>
      </c>
      <c r="U1274">
        <f t="shared" si="136"/>
        <v>128.7</v>
      </c>
      <c r="V1274">
        <f t="shared" si="135"/>
        <v>10.725</v>
      </c>
      <c r="W1274">
        <f t="shared" si="137"/>
        <v>3524.94666666667</v>
      </c>
      <c r="X1274">
        <f t="shared" si="141"/>
        <v>0.633612917100931</v>
      </c>
      <c r="AH1274" t="str">
        <f t="shared" si="140"/>
        <v>3rd Quality</v>
      </c>
      <c r="AJ1274">
        <f>((T1274-X1274)*2)/23.4</f>
        <v>24.2009603049356</v>
      </c>
      <c r="AK1274">
        <f t="shared" si="138"/>
        <v>217379.193939394</v>
      </c>
    </row>
    <row r="1275" spans="1:37">
      <c r="A1275" t="s">
        <v>1338</v>
      </c>
      <c r="B1275">
        <v>29</v>
      </c>
      <c r="C1275" t="s">
        <v>44</v>
      </c>
      <c r="D1275" t="s">
        <v>45</v>
      </c>
      <c r="E1275">
        <v>610</v>
      </c>
      <c r="F1275">
        <v>64</v>
      </c>
      <c r="G1275">
        <v>6</v>
      </c>
      <c r="H1275">
        <v>12974.42</v>
      </c>
      <c r="I1275">
        <v>71124.17</v>
      </c>
      <c r="J1275">
        <v>59</v>
      </c>
      <c r="K1275">
        <v>0</v>
      </c>
      <c r="L1275">
        <v>0</v>
      </c>
      <c r="M1275">
        <v>17.1</v>
      </c>
      <c r="N1275" t="s">
        <v>61</v>
      </c>
      <c r="O1275" t="s">
        <v>47</v>
      </c>
      <c r="P1275" t="s">
        <v>58</v>
      </c>
      <c r="R1275">
        <f>SUMIF(A1275:A6274,"C01274",I1275:I6274)</f>
        <v>71124.17</v>
      </c>
      <c r="S1275" s="1">
        <v>4506.4</v>
      </c>
      <c r="T1275">
        <f t="shared" si="139"/>
        <v>1205.49440677966</v>
      </c>
      <c r="U1275">
        <f t="shared" si="136"/>
        <v>1008.9</v>
      </c>
      <c r="V1275">
        <f t="shared" si="135"/>
        <v>84.075</v>
      </c>
      <c r="W1275">
        <f t="shared" si="137"/>
        <v>28033.1966666667</v>
      </c>
      <c r="X1275">
        <f t="shared" si="141"/>
        <v>0.0470155891361618</v>
      </c>
      <c r="AH1275" t="str">
        <f t="shared" si="140"/>
        <v>2nd Quality</v>
      </c>
      <c r="AJ1275">
        <f>((T1275-X1275)*2)</f>
        <v>2410.89478238105</v>
      </c>
      <c r="AK1275">
        <f t="shared" si="138"/>
        <v>735351.588135593</v>
      </c>
    </row>
    <row r="1276" spans="1:37">
      <c r="A1276" t="s">
        <v>1339</v>
      </c>
      <c r="B1276">
        <v>35</v>
      </c>
      <c r="C1276" t="s">
        <v>44</v>
      </c>
      <c r="D1276" t="s">
        <v>45</v>
      </c>
      <c r="E1276">
        <v>1211</v>
      </c>
      <c r="F1276">
        <v>2</v>
      </c>
      <c r="G1276">
        <v>17</v>
      </c>
      <c r="H1276">
        <v>2282.99</v>
      </c>
      <c r="I1276">
        <v>43231.85</v>
      </c>
      <c r="J1276">
        <v>143</v>
      </c>
      <c r="K1276">
        <v>3</v>
      </c>
      <c r="L1276">
        <v>12.6</v>
      </c>
      <c r="M1276">
        <v>24.3</v>
      </c>
      <c r="N1276" t="s">
        <v>46</v>
      </c>
      <c r="O1276" t="s">
        <v>47</v>
      </c>
      <c r="P1276" t="s">
        <v>48</v>
      </c>
      <c r="R1276">
        <f>SUMIF(A1276:A6275,"C01275",I1276:I6275)</f>
        <v>43231.85</v>
      </c>
      <c r="S1276" s="1">
        <v>46745.55</v>
      </c>
      <c r="T1276">
        <f t="shared" si="139"/>
        <v>302.320629370629</v>
      </c>
      <c r="U1276">
        <f t="shared" si="136"/>
        <v>3474.9</v>
      </c>
      <c r="V1276">
        <f>U1276*3</f>
        <v>10424.7</v>
      </c>
      <c r="W1276">
        <f t="shared" si="137"/>
        <v>15171.9466666667</v>
      </c>
      <c r="X1276">
        <f t="shared" si="141"/>
        <v>0.530444723805185</v>
      </c>
      <c r="AH1276" t="str">
        <f t="shared" si="140"/>
        <v>2nd Quality</v>
      </c>
      <c r="AJ1276">
        <f>((T1276-X1276)*2)/12.6</f>
        <v>47.9032039121943</v>
      </c>
      <c r="AK1276">
        <f t="shared" si="138"/>
        <v>366110.282167832</v>
      </c>
    </row>
    <row r="1277" spans="1:37">
      <c r="A1277" t="s">
        <v>1340</v>
      </c>
      <c r="B1277">
        <v>30</v>
      </c>
      <c r="C1277" t="s">
        <v>44</v>
      </c>
      <c r="D1277" t="s">
        <v>60</v>
      </c>
      <c r="E1277">
        <v>912</v>
      </c>
      <c r="F1277">
        <v>27</v>
      </c>
      <c r="G1277">
        <v>4</v>
      </c>
      <c r="H1277">
        <v>1055.17</v>
      </c>
      <c r="I1277">
        <v>4506.4</v>
      </c>
      <c r="J1277">
        <v>35</v>
      </c>
      <c r="K1277">
        <v>1</v>
      </c>
      <c r="L1277">
        <v>33.1</v>
      </c>
      <c r="M1277">
        <v>10.6</v>
      </c>
      <c r="N1277" t="s">
        <v>61</v>
      </c>
      <c r="O1277" t="s">
        <v>53</v>
      </c>
      <c r="P1277" t="s">
        <v>58</v>
      </c>
      <c r="R1277">
        <f>SUMIF(A1277:A6276,"C01276",I1277:I6276)</f>
        <v>4506.4</v>
      </c>
      <c r="S1277" s="1">
        <v>53286.32</v>
      </c>
      <c r="T1277">
        <f t="shared" si="139"/>
        <v>128.754285714286</v>
      </c>
      <c r="U1277">
        <f t="shared" si="136"/>
        <v>371</v>
      </c>
      <c r="V1277">
        <f>U1277*1</f>
        <v>371</v>
      </c>
      <c r="W1277">
        <f t="shared" si="137"/>
        <v>1854.19</v>
      </c>
      <c r="X1277">
        <f t="shared" si="141"/>
        <v>0.86431570268298</v>
      </c>
      <c r="AH1277" t="str">
        <f t="shared" si="140"/>
        <v>3rd Quality</v>
      </c>
      <c r="AJ1277">
        <f>((T1277-X1277)*2)/33.1</f>
        <v>7.72749063514218</v>
      </c>
      <c r="AK1277">
        <f t="shared" si="138"/>
        <v>117423.908571429</v>
      </c>
    </row>
    <row r="1278" spans="1:37">
      <c r="A1278" t="s">
        <v>1341</v>
      </c>
      <c r="B1278">
        <v>24</v>
      </c>
      <c r="C1278" t="s">
        <v>50</v>
      </c>
      <c r="D1278" t="s">
        <v>45</v>
      </c>
      <c r="E1278">
        <v>1001</v>
      </c>
      <c r="F1278">
        <v>3</v>
      </c>
      <c r="G1278">
        <v>23</v>
      </c>
      <c r="H1278">
        <v>1986.56</v>
      </c>
      <c r="I1278">
        <v>46745.55</v>
      </c>
      <c r="J1278">
        <v>101</v>
      </c>
      <c r="K1278">
        <v>2</v>
      </c>
      <c r="L1278">
        <v>1.8</v>
      </c>
      <c r="M1278">
        <v>35.3</v>
      </c>
      <c r="N1278" t="s">
        <v>78</v>
      </c>
      <c r="O1278" t="s">
        <v>53</v>
      </c>
      <c r="P1278" t="s">
        <v>58</v>
      </c>
      <c r="R1278">
        <f>SUMIF(A1278:A6277,"C01277",I1278:I6277)</f>
        <v>46745.55</v>
      </c>
      <c r="S1278" s="1">
        <v>3625.75</v>
      </c>
      <c r="T1278">
        <f t="shared" si="139"/>
        <v>462.827227722772</v>
      </c>
      <c r="U1278">
        <f t="shared" si="136"/>
        <v>3565.3</v>
      </c>
      <c r="V1278">
        <f>U1278*2</f>
        <v>7130.6</v>
      </c>
      <c r="W1278">
        <f t="shared" si="137"/>
        <v>16244.37</v>
      </c>
      <c r="X1278">
        <f t="shared" si="141"/>
        <v>0.503886114690722</v>
      </c>
      <c r="AH1278" t="str">
        <f t="shared" si="140"/>
        <v>1st Quality</v>
      </c>
      <c r="AJ1278">
        <f>((T1278-X1278)*2)/1.8</f>
        <v>513.692601786757</v>
      </c>
      <c r="AK1278">
        <f t="shared" si="138"/>
        <v>463290.054950495</v>
      </c>
    </row>
    <row r="1279" spans="1:37">
      <c r="A1279" t="s">
        <v>1342</v>
      </c>
      <c r="B1279">
        <v>41</v>
      </c>
      <c r="C1279" t="s">
        <v>50</v>
      </c>
      <c r="D1279" t="s">
        <v>60</v>
      </c>
      <c r="E1279">
        <v>804</v>
      </c>
      <c r="F1279">
        <v>18</v>
      </c>
      <c r="G1279">
        <v>25</v>
      </c>
      <c r="H1279">
        <v>2340.73</v>
      </c>
      <c r="I1279">
        <v>53286.32</v>
      </c>
      <c r="J1279">
        <v>158</v>
      </c>
      <c r="K1279">
        <v>0</v>
      </c>
      <c r="L1279">
        <v>13.5</v>
      </c>
      <c r="M1279">
        <v>50.8</v>
      </c>
      <c r="N1279" t="s">
        <v>46</v>
      </c>
      <c r="O1279" t="s">
        <v>47</v>
      </c>
      <c r="P1279" t="s">
        <v>58</v>
      </c>
      <c r="R1279">
        <f>SUMIF(A1279:A6278,"C01278",I1279:I6278)</f>
        <v>53286.32</v>
      </c>
      <c r="S1279" s="1">
        <v>10915.19</v>
      </c>
      <c r="T1279">
        <f t="shared" si="139"/>
        <v>337.255189873418</v>
      </c>
      <c r="U1279">
        <f t="shared" si="136"/>
        <v>8026.4</v>
      </c>
      <c r="V1279">
        <f t="shared" ref="V1279:V1342" si="142">U1279/12</f>
        <v>668.866666666667</v>
      </c>
      <c r="W1279">
        <f t="shared" si="137"/>
        <v>18542.6833333333</v>
      </c>
      <c r="X1279">
        <f t="shared" si="141"/>
        <v>0.343482588765043</v>
      </c>
      <c r="AH1279" t="str">
        <f t="shared" si="140"/>
        <v>2nd Quality</v>
      </c>
      <c r="AJ1279">
        <f>((T1279-X1279)*2)/13.5</f>
        <v>49.9128455236523</v>
      </c>
      <c r="AK1279">
        <f t="shared" si="138"/>
        <v>271153.172658228</v>
      </c>
    </row>
    <row r="1280" spans="1:37">
      <c r="A1280" t="s">
        <v>1343</v>
      </c>
      <c r="B1280">
        <v>47</v>
      </c>
      <c r="C1280" t="s">
        <v>50</v>
      </c>
      <c r="D1280" t="s">
        <v>60</v>
      </c>
      <c r="E1280">
        <v>407</v>
      </c>
      <c r="F1280">
        <v>116</v>
      </c>
      <c r="G1280">
        <v>2</v>
      </c>
      <c r="H1280">
        <v>1785.49</v>
      </c>
      <c r="I1280">
        <v>3625.75</v>
      </c>
      <c r="J1280">
        <v>13</v>
      </c>
      <c r="K1280">
        <v>0</v>
      </c>
      <c r="L1280">
        <v>23.1</v>
      </c>
      <c r="M1280">
        <v>36.3</v>
      </c>
      <c r="N1280" t="s">
        <v>46</v>
      </c>
      <c r="O1280" t="s">
        <v>47</v>
      </c>
      <c r="P1280" t="s">
        <v>58</v>
      </c>
      <c r="R1280">
        <f>SUMIF(A1280:A6279,"C01279",I1280:I6279)</f>
        <v>3625.75</v>
      </c>
      <c r="S1280" s="1">
        <v>10967.98</v>
      </c>
      <c r="T1280">
        <f t="shared" si="139"/>
        <v>278.903846153846</v>
      </c>
      <c r="U1280">
        <f t="shared" si="136"/>
        <v>471.9</v>
      </c>
      <c r="V1280">
        <f t="shared" si="142"/>
        <v>39.325</v>
      </c>
      <c r="W1280">
        <f t="shared" si="137"/>
        <v>1804.08</v>
      </c>
      <c r="X1280">
        <f t="shared" si="141"/>
        <v>0.227948630347972</v>
      </c>
      <c r="AH1280" t="str">
        <f t="shared" si="140"/>
        <v>3rd Quality</v>
      </c>
      <c r="AJ1280">
        <f>((T1280-X1280)*2)/23.1</f>
        <v>24.1277833353678</v>
      </c>
      <c r="AK1280">
        <f t="shared" si="138"/>
        <v>113513.865384615</v>
      </c>
    </row>
    <row r="1281" spans="1:37">
      <c r="A1281" t="s">
        <v>1344</v>
      </c>
      <c r="B1281">
        <v>48</v>
      </c>
      <c r="C1281" t="s">
        <v>44</v>
      </c>
      <c r="D1281" t="s">
        <v>60</v>
      </c>
      <c r="E1281">
        <v>690</v>
      </c>
      <c r="F1281">
        <v>58</v>
      </c>
      <c r="G1281">
        <v>1</v>
      </c>
      <c r="H1281">
        <v>12113.11</v>
      </c>
      <c r="I1281">
        <v>10915.19</v>
      </c>
      <c r="J1281">
        <v>12</v>
      </c>
      <c r="K1281">
        <v>0</v>
      </c>
      <c r="L1281">
        <v>8.4</v>
      </c>
      <c r="M1281">
        <v>5.5</v>
      </c>
      <c r="N1281" t="s">
        <v>78</v>
      </c>
      <c r="O1281" t="s">
        <v>75</v>
      </c>
      <c r="P1281" t="s">
        <v>58</v>
      </c>
      <c r="R1281">
        <f>SUMIF(A1281:A6280,"C01280",I1281:I6280)</f>
        <v>10915.19</v>
      </c>
      <c r="S1281" s="1">
        <v>9686.83</v>
      </c>
      <c r="T1281">
        <f t="shared" si="139"/>
        <v>909.599166666667</v>
      </c>
      <c r="U1281">
        <f t="shared" si="136"/>
        <v>66</v>
      </c>
      <c r="V1281">
        <f t="shared" si="142"/>
        <v>5.5</v>
      </c>
      <c r="W1281">
        <f t="shared" si="137"/>
        <v>7676.43333333333</v>
      </c>
      <c r="X1281">
        <f t="shared" si="141"/>
        <v>0.0569630755437703</v>
      </c>
      <c r="AH1281" t="str">
        <f t="shared" si="140"/>
        <v>3rd Quality</v>
      </c>
      <c r="AJ1281">
        <f>((T1281-X1281)*2)/8.4</f>
        <v>216.557667521696</v>
      </c>
      <c r="AK1281">
        <f t="shared" si="138"/>
        <v>627623.425</v>
      </c>
    </row>
    <row r="1282" spans="1:37">
      <c r="A1282" t="s">
        <v>1345</v>
      </c>
      <c r="B1282">
        <v>38</v>
      </c>
      <c r="C1282" t="s">
        <v>44</v>
      </c>
      <c r="D1282" t="s">
        <v>45</v>
      </c>
      <c r="E1282">
        <v>1016</v>
      </c>
      <c r="F1282">
        <v>11</v>
      </c>
      <c r="G1282">
        <v>10</v>
      </c>
      <c r="H1282">
        <v>993.78</v>
      </c>
      <c r="I1282">
        <v>10967.98</v>
      </c>
      <c r="J1282">
        <v>43</v>
      </c>
      <c r="K1282">
        <v>1</v>
      </c>
      <c r="L1282">
        <v>24.3</v>
      </c>
      <c r="M1282">
        <v>9.4</v>
      </c>
      <c r="N1282" t="s">
        <v>63</v>
      </c>
      <c r="O1282" t="s">
        <v>53</v>
      </c>
      <c r="P1282" t="s">
        <v>68</v>
      </c>
      <c r="R1282">
        <f>SUMIF(A1282:A6281,"C01281",I1282:I6281)</f>
        <v>10967.98</v>
      </c>
      <c r="S1282" s="1">
        <v>8227.11</v>
      </c>
      <c r="T1282">
        <f t="shared" si="139"/>
        <v>255.069302325581</v>
      </c>
      <c r="U1282">
        <f t="shared" si="136"/>
        <v>404.2</v>
      </c>
      <c r="V1282">
        <f>U1282*1</f>
        <v>404.2</v>
      </c>
      <c r="W1282">
        <f t="shared" si="137"/>
        <v>3987.58666666667</v>
      </c>
      <c r="X1282">
        <f t="shared" si="141"/>
        <v>1.02235907343678</v>
      </c>
      <c r="AH1282" t="str">
        <f t="shared" si="140"/>
        <v>3rd Quality</v>
      </c>
      <c r="AJ1282">
        <f>((T1282-X1282)*2)/24.3</f>
        <v>20.9092134363905</v>
      </c>
      <c r="AK1282">
        <f t="shared" si="138"/>
        <v>259150.411162791</v>
      </c>
    </row>
    <row r="1283" spans="1:37">
      <c r="A1283" t="s">
        <v>1346</v>
      </c>
      <c r="B1283">
        <v>21</v>
      </c>
      <c r="C1283" t="s">
        <v>44</v>
      </c>
      <c r="D1283" t="s">
        <v>45</v>
      </c>
      <c r="E1283">
        <v>601</v>
      </c>
      <c r="F1283">
        <v>127</v>
      </c>
      <c r="G1283">
        <v>6</v>
      </c>
      <c r="H1283">
        <v>1702.05</v>
      </c>
      <c r="I1283">
        <v>9686.83</v>
      </c>
      <c r="J1283">
        <v>31</v>
      </c>
      <c r="K1283">
        <v>1</v>
      </c>
      <c r="L1283">
        <v>7.5</v>
      </c>
      <c r="M1283">
        <v>15.9</v>
      </c>
      <c r="N1283" t="s">
        <v>61</v>
      </c>
      <c r="O1283" t="s">
        <v>53</v>
      </c>
      <c r="P1283" t="s">
        <v>54</v>
      </c>
      <c r="R1283">
        <f>SUMIF(A1283:A6282,"C01282",I1283:I6282)</f>
        <v>9686.83</v>
      </c>
      <c r="S1283" s="1">
        <v>17405.98</v>
      </c>
      <c r="T1283">
        <f t="shared" si="139"/>
        <v>312.478387096774</v>
      </c>
      <c r="U1283">
        <f t="shared" ref="U1283:U1346" si="143">J1283*M1283</f>
        <v>492.9</v>
      </c>
      <c r="V1283">
        <f>U1283*1</f>
        <v>492.9</v>
      </c>
      <c r="W1283">
        <f t="shared" ref="W1283:W1346" si="144">(H1283+I1283+1)/3</f>
        <v>3796.62666666667</v>
      </c>
      <c r="X1283">
        <f t="shared" si="141"/>
        <v>0.353103610352222</v>
      </c>
      <c r="AH1283" t="str">
        <f t="shared" si="140"/>
        <v>3rd Quality</v>
      </c>
      <c r="AJ1283">
        <f>((T1283-X1283)*2)/7.5</f>
        <v>83.2334089297125</v>
      </c>
      <c r="AK1283">
        <f t="shared" ref="AK1283:AK1346" si="145">I1283/J1283*E1283</f>
        <v>187799.510645161</v>
      </c>
    </row>
    <row r="1284" spans="1:37">
      <c r="A1284" t="s">
        <v>1347</v>
      </c>
      <c r="B1284">
        <v>28</v>
      </c>
      <c r="C1284" t="s">
        <v>50</v>
      </c>
      <c r="D1284" t="s">
        <v>60</v>
      </c>
      <c r="E1284">
        <v>922</v>
      </c>
      <c r="F1284">
        <v>25</v>
      </c>
      <c r="G1284">
        <v>6</v>
      </c>
      <c r="H1284">
        <v>1405.07</v>
      </c>
      <c r="I1284">
        <v>8227.11</v>
      </c>
      <c r="J1284">
        <v>23</v>
      </c>
      <c r="K1284">
        <v>1</v>
      </c>
      <c r="L1284">
        <v>22.5</v>
      </c>
      <c r="M1284">
        <v>45.7</v>
      </c>
      <c r="N1284" t="s">
        <v>78</v>
      </c>
      <c r="O1284" t="s">
        <v>47</v>
      </c>
      <c r="P1284" t="s">
        <v>58</v>
      </c>
      <c r="R1284">
        <f>SUMIF(A1284:A6283,"C01283",I1284:I6283)</f>
        <v>8227.11</v>
      </c>
      <c r="S1284" s="1">
        <v>1606.77</v>
      </c>
      <c r="T1284">
        <f t="shared" si="139"/>
        <v>357.700434782609</v>
      </c>
      <c r="U1284">
        <f t="shared" si="143"/>
        <v>1051.1</v>
      </c>
      <c r="V1284">
        <f>U1284*1</f>
        <v>1051.1</v>
      </c>
      <c r="W1284">
        <f t="shared" si="144"/>
        <v>3211.06</v>
      </c>
      <c r="X1284">
        <f t="shared" si="141"/>
        <v>0.656195065014554</v>
      </c>
      <c r="AH1284" t="str">
        <f t="shared" si="140"/>
        <v>3rd Quality</v>
      </c>
      <c r="AJ1284">
        <f>((T1284-X1284)*2)/22.5</f>
        <v>31.7372657526751</v>
      </c>
      <c r="AK1284">
        <f t="shared" si="145"/>
        <v>329799.800869565</v>
      </c>
    </row>
    <row r="1285" spans="1:37">
      <c r="A1285" t="s">
        <v>1348</v>
      </c>
      <c r="B1285">
        <v>24</v>
      </c>
      <c r="C1285" t="s">
        <v>50</v>
      </c>
      <c r="D1285" t="s">
        <v>45</v>
      </c>
      <c r="E1285">
        <v>1308</v>
      </c>
      <c r="F1285">
        <v>19</v>
      </c>
      <c r="G1285">
        <v>3</v>
      </c>
      <c r="H1285">
        <v>5617.59</v>
      </c>
      <c r="I1285">
        <v>17405.98</v>
      </c>
      <c r="J1285">
        <v>21</v>
      </c>
      <c r="K1285">
        <v>1</v>
      </c>
      <c r="L1285">
        <v>5.9</v>
      </c>
      <c r="M1285">
        <v>44.1</v>
      </c>
      <c r="N1285" t="s">
        <v>63</v>
      </c>
      <c r="O1285" t="s">
        <v>47</v>
      </c>
      <c r="P1285" t="s">
        <v>48</v>
      </c>
      <c r="R1285">
        <f>SUMIF(A1285:A6284,"C01284",I1285:I6284)</f>
        <v>17405.98</v>
      </c>
      <c r="S1285" s="1">
        <v>8110.11</v>
      </c>
      <c r="T1285">
        <f t="shared" si="139"/>
        <v>828.85619047619</v>
      </c>
      <c r="U1285">
        <f t="shared" si="143"/>
        <v>926.1</v>
      </c>
      <c r="V1285">
        <f>U1285*1</f>
        <v>926.1</v>
      </c>
      <c r="W1285">
        <f t="shared" si="144"/>
        <v>7674.85666666667</v>
      </c>
      <c r="X1285">
        <f t="shared" si="141"/>
        <v>0.232840061307429</v>
      </c>
      <c r="AH1285" t="str">
        <f t="shared" si="140"/>
        <v>2nd Quality</v>
      </c>
      <c r="AJ1285">
        <f>((T1285-X1285)*2)/5.9</f>
        <v>280.889271327079</v>
      </c>
      <c r="AK1285">
        <f t="shared" si="145"/>
        <v>1084143.89714286</v>
      </c>
    </row>
    <row r="1286" spans="1:37">
      <c r="A1286" t="s">
        <v>1349</v>
      </c>
      <c r="B1286">
        <v>28</v>
      </c>
      <c r="C1286" t="s">
        <v>50</v>
      </c>
      <c r="D1286" t="s">
        <v>45</v>
      </c>
      <c r="E1286">
        <v>576</v>
      </c>
      <c r="F1286">
        <v>359</v>
      </c>
      <c r="G1286">
        <v>1</v>
      </c>
      <c r="H1286">
        <v>1816.59</v>
      </c>
      <c r="I1286">
        <v>1606.77</v>
      </c>
      <c r="J1286">
        <v>10</v>
      </c>
      <c r="K1286">
        <v>0</v>
      </c>
      <c r="L1286">
        <v>24.3</v>
      </c>
      <c r="M1286">
        <v>29.7</v>
      </c>
      <c r="N1286" t="s">
        <v>63</v>
      </c>
      <c r="O1286" t="s">
        <v>47</v>
      </c>
      <c r="P1286" t="s">
        <v>58</v>
      </c>
      <c r="R1286">
        <f>SUMIF(A1286:A6285,"C01285",I1286:I6285)</f>
        <v>1606.77</v>
      </c>
      <c r="S1286" s="1">
        <v>7608.54</v>
      </c>
      <c r="T1286">
        <f t="shared" si="139"/>
        <v>160.677</v>
      </c>
      <c r="U1286">
        <f t="shared" si="143"/>
        <v>297</v>
      </c>
      <c r="V1286">
        <f t="shared" si="142"/>
        <v>24.75</v>
      </c>
      <c r="W1286">
        <f t="shared" si="144"/>
        <v>1141.45333333333</v>
      </c>
      <c r="X1286">
        <f t="shared" si="141"/>
        <v>0.317077601440061</v>
      </c>
      <c r="AH1286" t="str">
        <f t="shared" si="140"/>
        <v>3rd Quality</v>
      </c>
      <c r="AJ1286">
        <f>((T1286-X1286)*2)/24.3</f>
        <v>13.1983475225152</v>
      </c>
      <c r="AK1286">
        <f t="shared" si="145"/>
        <v>92549.952</v>
      </c>
    </row>
    <row r="1287" spans="1:37">
      <c r="A1287" t="s">
        <v>1350</v>
      </c>
      <c r="B1287">
        <v>18</v>
      </c>
      <c r="C1287" t="s">
        <v>50</v>
      </c>
      <c r="D1287" t="s">
        <v>60</v>
      </c>
      <c r="E1287">
        <v>1297</v>
      </c>
      <c r="F1287">
        <v>267</v>
      </c>
      <c r="G1287">
        <v>3</v>
      </c>
      <c r="H1287">
        <v>2676.43</v>
      </c>
      <c r="I1287">
        <v>8110.11</v>
      </c>
      <c r="J1287">
        <v>16</v>
      </c>
      <c r="K1287">
        <v>0</v>
      </c>
      <c r="L1287">
        <v>23.7</v>
      </c>
      <c r="M1287">
        <v>21.4</v>
      </c>
      <c r="N1287" t="s">
        <v>61</v>
      </c>
      <c r="O1287" t="s">
        <v>53</v>
      </c>
      <c r="P1287" t="s">
        <v>68</v>
      </c>
      <c r="R1287">
        <f>SUMIF(A1287:A6286,"C01286",I1287:I6286)</f>
        <v>8110.11</v>
      </c>
      <c r="S1287" s="1">
        <v>29580.99</v>
      </c>
      <c r="T1287">
        <f t="shared" si="139"/>
        <v>506.881875</v>
      </c>
      <c r="U1287">
        <f t="shared" si="143"/>
        <v>342.4</v>
      </c>
      <c r="V1287">
        <f t="shared" si="142"/>
        <v>28.5333333333333</v>
      </c>
      <c r="W1287">
        <f t="shared" si="144"/>
        <v>3595.84666666667</v>
      </c>
      <c r="X1287">
        <f t="shared" si="141"/>
        <v>0.484600755483984</v>
      </c>
      <c r="AH1287" t="str">
        <f t="shared" si="140"/>
        <v>3rd Quality</v>
      </c>
      <c r="AJ1287">
        <f>((T1287-X1287)*2)/23.7</f>
        <v>42.73394719363</v>
      </c>
      <c r="AK1287">
        <f t="shared" si="145"/>
        <v>657425.791875</v>
      </c>
    </row>
    <row r="1288" spans="1:37">
      <c r="A1288" t="s">
        <v>1351</v>
      </c>
      <c r="B1288">
        <v>48</v>
      </c>
      <c r="C1288" t="s">
        <v>44</v>
      </c>
      <c r="D1288" t="s">
        <v>51</v>
      </c>
      <c r="E1288">
        <v>522</v>
      </c>
      <c r="F1288">
        <v>26</v>
      </c>
      <c r="G1288">
        <v>11</v>
      </c>
      <c r="H1288">
        <v>657.77</v>
      </c>
      <c r="I1288">
        <v>7608.54</v>
      </c>
      <c r="J1288">
        <v>41</v>
      </c>
      <c r="K1288">
        <v>0</v>
      </c>
      <c r="L1288">
        <v>18.4</v>
      </c>
      <c r="M1288">
        <v>13</v>
      </c>
      <c r="N1288" t="s">
        <v>52</v>
      </c>
      <c r="O1288" t="s">
        <v>53</v>
      </c>
      <c r="P1288" t="s">
        <v>68</v>
      </c>
      <c r="R1288">
        <f>SUMIF(A1288:A6287,"C01287",I1288:I6287)</f>
        <v>7608.54</v>
      </c>
      <c r="S1288" s="1">
        <v>10797.49</v>
      </c>
      <c r="T1288">
        <f t="shared" si="139"/>
        <v>185.574146341463</v>
      </c>
      <c r="U1288">
        <f t="shared" si="143"/>
        <v>533</v>
      </c>
      <c r="V1288">
        <f t="shared" si="142"/>
        <v>44.4166666666667</v>
      </c>
      <c r="W1288">
        <f t="shared" si="144"/>
        <v>2755.77</v>
      </c>
      <c r="X1288">
        <f t="shared" si="141"/>
        <v>0.793590464752117</v>
      </c>
      <c r="AH1288" t="str">
        <f t="shared" si="140"/>
        <v>3rd Quality</v>
      </c>
      <c r="AJ1288">
        <f>((T1288-X1288)*2)/18.4</f>
        <v>20.0848430300773</v>
      </c>
      <c r="AK1288">
        <f t="shared" si="145"/>
        <v>96869.7043902439</v>
      </c>
    </row>
    <row r="1289" spans="1:37">
      <c r="A1289" t="s">
        <v>1352</v>
      </c>
      <c r="B1289">
        <v>33</v>
      </c>
      <c r="C1289" t="s">
        <v>50</v>
      </c>
      <c r="D1289" t="s">
        <v>45</v>
      </c>
      <c r="E1289">
        <v>899</v>
      </c>
      <c r="F1289">
        <v>23</v>
      </c>
      <c r="G1289">
        <v>11</v>
      </c>
      <c r="H1289">
        <v>2892.39</v>
      </c>
      <c r="I1289">
        <v>29580.99</v>
      </c>
      <c r="J1289">
        <v>78</v>
      </c>
      <c r="K1289">
        <v>1</v>
      </c>
      <c r="L1289">
        <v>8.7</v>
      </c>
      <c r="M1289">
        <v>62.5</v>
      </c>
      <c r="N1289" t="s">
        <v>61</v>
      </c>
      <c r="O1289" t="s">
        <v>75</v>
      </c>
      <c r="P1289" t="s">
        <v>58</v>
      </c>
      <c r="R1289">
        <f>SUMIF(A1289:A6288,"C01288",I1289:I6288)</f>
        <v>29580.99</v>
      </c>
      <c r="S1289" s="1">
        <v>25307.52</v>
      </c>
      <c r="T1289">
        <f t="shared" si="139"/>
        <v>379.243461538462</v>
      </c>
      <c r="U1289">
        <f t="shared" si="143"/>
        <v>4875</v>
      </c>
      <c r="V1289">
        <f>U1289*1</f>
        <v>4875</v>
      </c>
      <c r="W1289">
        <f t="shared" si="144"/>
        <v>10824.7933333333</v>
      </c>
      <c r="X1289">
        <f t="shared" si="141"/>
        <v>0.310815623066046</v>
      </c>
      <c r="AH1289" t="str">
        <f t="shared" si="140"/>
        <v>2nd Quality</v>
      </c>
      <c r="AJ1289">
        <f>((T1289-X1289)*2)/8.7</f>
        <v>87.1109530839991</v>
      </c>
      <c r="AK1289">
        <f t="shared" si="145"/>
        <v>340939.871923077</v>
      </c>
    </row>
    <row r="1290" spans="1:37">
      <c r="A1290" t="s">
        <v>1353</v>
      </c>
      <c r="B1290">
        <v>25</v>
      </c>
      <c r="C1290" t="s">
        <v>56</v>
      </c>
      <c r="D1290" t="s">
        <v>51</v>
      </c>
      <c r="E1290">
        <v>1078</v>
      </c>
      <c r="F1290">
        <v>102</v>
      </c>
      <c r="G1290">
        <v>11</v>
      </c>
      <c r="H1290">
        <v>1070.48</v>
      </c>
      <c r="I1290">
        <v>10797.49</v>
      </c>
      <c r="J1290">
        <v>103</v>
      </c>
      <c r="K1290">
        <v>0</v>
      </c>
      <c r="L1290">
        <v>10.8</v>
      </c>
      <c r="M1290">
        <v>16</v>
      </c>
      <c r="N1290" t="s">
        <v>46</v>
      </c>
      <c r="O1290" t="s">
        <v>53</v>
      </c>
      <c r="P1290" t="s">
        <v>58</v>
      </c>
      <c r="R1290">
        <f>SUMIF(A1290:A6289,"C01289",I1290:I6289)</f>
        <v>10797.49</v>
      </c>
      <c r="S1290" s="1">
        <v>14353.95</v>
      </c>
      <c r="T1290">
        <f t="shared" si="139"/>
        <v>104.83</v>
      </c>
      <c r="U1290">
        <f t="shared" si="143"/>
        <v>1648</v>
      </c>
      <c r="V1290">
        <f t="shared" si="142"/>
        <v>137.333333333333</v>
      </c>
      <c r="W1290">
        <f t="shared" si="144"/>
        <v>3956.32333333333</v>
      </c>
      <c r="X1290">
        <f t="shared" si="141"/>
        <v>1.00702488603243</v>
      </c>
      <c r="AH1290" t="str">
        <f t="shared" si="140"/>
        <v>3rd Quality</v>
      </c>
      <c r="AJ1290">
        <f>((T1290-X1290)*2)/10.8</f>
        <v>19.226476872957</v>
      </c>
      <c r="AK1290">
        <f t="shared" si="145"/>
        <v>113006.74</v>
      </c>
    </row>
    <row r="1291" spans="1:37">
      <c r="A1291" t="s">
        <v>1354</v>
      </c>
      <c r="B1291">
        <v>39</v>
      </c>
      <c r="C1291" t="s">
        <v>50</v>
      </c>
      <c r="D1291" t="s">
        <v>60</v>
      </c>
      <c r="E1291">
        <v>622</v>
      </c>
      <c r="F1291">
        <v>25</v>
      </c>
      <c r="G1291">
        <v>5</v>
      </c>
      <c r="H1291">
        <v>5076.55</v>
      </c>
      <c r="I1291">
        <v>25307.52</v>
      </c>
      <c r="J1291">
        <v>55</v>
      </c>
      <c r="K1291">
        <v>1</v>
      </c>
      <c r="L1291">
        <v>15.9</v>
      </c>
      <c r="M1291">
        <v>14.4</v>
      </c>
      <c r="N1291" t="s">
        <v>63</v>
      </c>
      <c r="O1291" t="s">
        <v>75</v>
      </c>
      <c r="P1291" t="s">
        <v>58</v>
      </c>
      <c r="R1291">
        <f>SUMIF(A1291:A6290,"C01290",I1291:I6290)</f>
        <v>25307.52</v>
      </c>
      <c r="S1291" s="1">
        <v>51349.97</v>
      </c>
      <c r="T1291">
        <f t="shared" si="139"/>
        <v>460.136727272727</v>
      </c>
      <c r="U1291">
        <f t="shared" si="143"/>
        <v>792</v>
      </c>
      <c r="V1291">
        <f>U1291*1</f>
        <v>792</v>
      </c>
      <c r="W1291">
        <f t="shared" si="144"/>
        <v>10128.3566666667</v>
      </c>
      <c r="X1291">
        <f t="shared" si="141"/>
        <v>0.122524155184131</v>
      </c>
      <c r="AH1291" t="str">
        <f t="shared" si="140"/>
        <v>2nd Quality</v>
      </c>
      <c r="AJ1291">
        <f>((T1291-X1291)*2)/15.9</f>
        <v>57.8634217757916</v>
      </c>
      <c r="AK1291">
        <f t="shared" si="145"/>
        <v>286205.044363636</v>
      </c>
    </row>
    <row r="1292" spans="1:37">
      <c r="A1292" t="s">
        <v>1355</v>
      </c>
      <c r="B1292">
        <v>28</v>
      </c>
      <c r="C1292" t="s">
        <v>44</v>
      </c>
      <c r="D1292" t="s">
        <v>60</v>
      </c>
      <c r="E1292">
        <v>621</v>
      </c>
      <c r="F1292">
        <v>31</v>
      </c>
      <c r="G1292">
        <v>10</v>
      </c>
      <c r="H1292">
        <v>1422.91</v>
      </c>
      <c r="I1292">
        <v>14353.95</v>
      </c>
      <c r="J1292">
        <v>78</v>
      </c>
      <c r="K1292">
        <v>0</v>
      </c>
      <c r="L1292">
        <v>21.5</v>
      </c>
      <c r="M1292">
        <v>14.4</v>
      </c>
      <c r="N1292" t="s">
        <v>81</v>
      </c>
      <c r="O1292" t="s">
        <v>47</v>
      </c>
      <c r="P1292" t="s">
        <v>68</v>
      </c>
      <c r="R1292">
        <f>SUMIF(A1292:A6291,"C01291",I1292:I6291)</f>
        <v>14353.95</v>
      </c>
      <c r="S1292" s="1">
        <v>32483.2</v>
      </c>
      <c r="T1292">
        <f t="shared" si="139"/>
        <v>184.025</v>
      </c>
      <c r="U1292">
        <f t="shared" si="143"/>
        <v>1123.2</v>
      </c>
      <c r="V1292">
        <f t="shared" si="142"/>
        <v>93.6</v>
      </c>
      <c r="W1292">
        <f t="shared" si="144"/>
        <v>5259.28666666667</v>
      </c>
      <c r="X1292">
        <f t="shared" si="141"/>
        <v>0.436429570387445</v>
      </c>
      <c r="AH1292" t="str">
        <f t="shared" si="140"/>
        <v>3rd Quality</v>
      </c>
      <c r="AJ1292">
        <f>((T1292-X1292)*2)/21.5</f>
        <v>17.0780065515919</v>
      </c>
      <c r="AK1292">
        <f t="shared" si="145"/>
        <v>114279.525</v>
      </c>
    </row>
    <row r="1293" spans="1:37">
      <c r="A1293" t="s">
        <v>1356</v>
      </c>
      <c r="B1293">
        <v>33</v>
      </c>
      <c r="C1293" t="s">
        <v>50</v>
      </c>
      <c r="D1293" t="s">
        <v>45</v>
      </c>
      <c r="E1293">
        <v>861</v>
      </c>
      <c r="F1293">
        <v>9</v>
      </c>
      <c r="G1293">
        <v>4</v>
      </c>
      <c r="H1293">
        <v>13028.05</v>
      </c>
      <c r="I1293">
        <v>51349.97</v>
      </c>
      <c r="J1293">
        <v>37</v>
      </c>
      <c r="K1293">
        <v>1</v>
      </c>
      <c r="L1293">
        <v>0</v>
      </c>
      <c r="M1293">
        <v>8.2</v>
      </c>
      <c r="N1293" t="s">
        <v>61</v>
      </c>
      <c r="O1293" t="s">
        <v>53</v>
      </c>
      <c r="P1293" t="s">
        <v>68</v>
      </c>
      <c r="R1293">
        <f>SUMIF(A1293:A6292,"C01292",I1293:I6292)</f>
        <v>51349.97</v>
      </c>
      <c r="S1293" s="1">
        <v>5947.25</v>
      </c>
      <c r="T1293">
        <f t="shared" si="139"/>
        <v>1387.83702702703</v>
      </c>
      <c r="U1293">
        <f t="shared" si="143"/>
        <v>303.4</v>
      </c>
      <c r="V1293">
        <f>U1293*1</f>
        <v>303.4</v>
      </c>
      <c r="W1293">
        <f t="shared" si="144"/>
        <v>21459.6733333333</v>
      </c>
      <c r="X1293">
        <f t="shared" si="141"/>
        <v>0.0660881712919432</v>
      </c>
      <c r="AH1293" t="str">
        <f t="shared" si="140"/>
        <v>2nd Quality</v>
      </c>
      <c r="AJ1293">
        <f>((T1293-X1293)*2)</f>
        <v>2775.54187771148</v>
      </c>
      <c r="AK1293">
        <f t="shared" si="145"/>
        <v>1194927.68027027</v>
      </c>
    </row>
    <row r="1294" spans="1:37">
      <c r="A1294" t="s">
        <v>1357</v>
      </c>
      <c r="B1294">
        <v>23</v>
      </c>
      <c r="C1294" t="s">
        <v>50</v>
      </c>
      <c r="D1294" t="s">
        <v>45</v>
      </c>
      <c r="E1294">
        <v>392</v>
      </c>
      <c r="F1294">
        <v>72</v>
      </c>
      <c r="G1294">
        <v>4</v>
      </c>
      <c r="H1294">
        <v>8539.71</v>
      </c>
      <c r="I1294">
        <v>32483.2</v>
      </c>
      <c r="J1294">
        <v>22</v>
      </c>
      <c r="K1294">
        <v>0</v>
      </c>
      <c r="L1294">
        <v>0</v>
      </c>
      <c r="M1294">
        <v>39.3</v>
      </c>
      <c r="N1294" t="s">
        <v>57</v>
      </c>
      <c r="O1294" t="s">
        <v>47</v>
      </c>
      <c r="P1294" t="s">
        <v>58</v>
      </c>
      <c r="R1294">
        <f>SUMIF(A1294:A6293,"C01293",I1294:I6293)</f>
        <v>32483.2</v>
      </c>
      <c r="S1294" s="1">
        <v>20194.67</v>
      </c>
      <c r="T1294">
        <f t="shared" ref="T1294:T1357" si="146">I1294/J1294</f>
        <v>1476.50909090909</v>
      </c>
      <c r="U1294">
        <f t="shared" si="143"/>
        <v>864.6</v>
      </c>
      <c r="V1294">
        <f t="shared" si="142"/>
        <v>72.05</v>
      </c>
      <c r="W1294">
        <f t="shared" si="144"/>
        <v>13674.6366666667</v>
      </c>
      <c r="X1294">
        <f t="shared" si="141"/>
        <v>0.0459031981179689</v>
      </c>
      <c r="AH1294" t="str">
        <f t="shared" ref="AH1294:AH1357" si="147">IF(AND(W1294&gt;=12550,B1294&lt;=33,E1294&gt;=915),"1st Quality",IF(AND(W1294&gt;=6275,B1294&lt;=43,E1294&gt;=457),"2nd Quality","3rd Quality"))</f>
        <v>3rd Quality</v>
      </c>
      <c r="AJ1294">
        <f>((T1294-X1294)*2)</f>
        <v>2952.92637542194</v>
      </c>
      <c r="AK1294">
        <f t="shared" si="145"/>
        <v>578791.563636364</v>
      </c>
    </row>
    <row r="1295" spans="1:37">
      <c r="A1295" t="s">
        <v>1358</v>
      </c>
      <c r="B1295">
        <v>22</v>
      </c>
      <c r="C1295" t="s">
        <v>44</v>
      </c>
      <c r="D1295" t="s">
        <v>45</v>
      </c>
      <c r="E1295">
        <v>1379</v>
      </c>
      <c r="F1295">
        <v>15</v>
      </c>
      <c r="G1295">
        <v>4</v>
      </c>
      <c r="H1295">
        <v>1519.7</v>
      </c>
      <c r="I1295">
        <v>5947.25</v>
      </c>
      <c r="J1295">
        <v>40</v>
      </c>
      <c r="K1295">
        <v>0</v>
      </c>
      <c r="L1295">
        <v>23.6</v>
      </c>
      <c r="M1295">
        <v>44.3</v>
      </c>
      <c r="N1295" t="s">
        <v>78</v>
      </c>
      <c r="O1295" t="s">
        <v>47</v>
      </c>
      <c r="P1295" t="s">
        <v>66</v>
      </c>
      <c r="R1295">
        <f>SUMIF(A1295:A6294,"C01294",I1295:I6294)</f>
        <v>5947.25</v>
      </c>
      <c r="S1295" s="1">
        <v>13720.28</v>
      </c>
      <c r="T1295">
        <f t="shared" si="146"/>
        <v>148.68125</v>
      </c>
      <c r="U1295">
        <f t="shared" si="143"/>
        <v>1772</v>
      </c>
      <c r="V1295">
        <f t="shared" si="142"/>
        <v>147.666666666667</v>
      </c>
      <c r="W1295">
        <f t="shared" si="144"/>
        <v>2489.31666666667</v>
      </c>
      <c r="X1295">
        <f t="shared" si="141"/>
        <v>0.907415937356057</v>
      </c>
      <c r="AH1295" t="str">
        <f t="shared" si="147"/>
        <v>3rd Quality</v>
      </c>
      <c r="AJ1295">
        <f>((T1295-X1295)*2)/23.6</f>
        <v>12.5232062764952</v>
      </c>
      <c r="AK1295">
        <f t="shared" si="145"/>
        <v>205031.44375</v>
      </c>
    </row>
    <row r="1296" spans="1:37">
      <c r="A1296" t="s">
        <v>1359</v>
      </c>
      <c r="B1296">
        <v>44</v>
      </c>
      <c r="C1296" t="s">
        <v>44</v>
      </c>
      <c r="D1296" t="s">
        <v>45</v>
      </c>
      <c r="E1296">
        <v>651</v>
      </c>
      <c r="F1296">
        <v>13</v>
      </c>
      <c r="G1296">
        <v>7</v>
      </c>
      <c r="H1296">
        <v>3021.05</v>
      </c>
      <c r="I1296">
        <v>20194.67</v>
      </c>
      <c r="J1296">
        <v>40</v>
      </c>
      <c r="K1296">
        <v>1</v>
      </c>
      <c r="L1296">
        <v>22.8</v>
      </c>
      <c r="M1296">
        <v>22.7</v>
      </c>
      <c r="N1296" t="s">
        <v>78</v>
      </c>
      <c r="O1296" t="s">
        <v>47</v>
      </c>
      <c r="P1296" t="s">
        <v>66</v>
      </c>
      <c r="R1296">
        <f>SUMIF(A1296:A6295,"C01295",I1296:I6295)</f>
        <v>20194.67</v>
      </c>
      <c r="S1296" s="1">
        <v>276437.6</v>
      </c>
      <c r="T1296">
        <f t="shared" si="146"/>
        <v>504.86675</v>
      </c>
      <c r="U1296">
        <f t="shared" si="143"/>
        <v>908</v>
      </c>
      <c r="V1296">
        <f>U1296*1</f>
        <v>908</v>
      </c>
      <c r="W1296">
        <f t="shared" si="144"/>
        <v>7738.90666666667</v>
      </c>
      <c r="X1296">
        <f t="shared" si="141"/>
        <v>0.215487992585359</v>
      </c>
      <c r="AH1296" t="str">
        <f t="shared" si="147"/>
        <v>3rd Quality</v>
      </c>
      <c r="AJ1296">
        <f>((T1296-X1296)*2)/22.8</f>
        <v>44.2676545620539</v>
      </c>
      <c r="AK1296">
        <f t="shared" si="145"/>
        <v>328668.25425</v>
      </c>
    </row>
    <row r="1297" spans="1:37">
      <c r="A1297" t="s">
        <v>1360</v>
      </c>
      <c r="B1297">
        <v>40</v>
      </c>
      <c r="C1297" t="s">
        <v>50</v>
      </c>
      <c r="D1297" t="s">
        <v>51</v>
      </c>
      <c r="E1297">
        <v>1220</v>
      </c>
      <c r="F1297">
        <v>67</v>
      </c>
      <c r="G1297">
        <v>10</v>
      </c>
      <c r="H1297">
        <v>1459.73</v>
      </c>
      <c r="I1297">
        <v>13720.28</v>
      </c>
      <c r="J1297">
        <v>68</v>
      </c>
      <c r="K1297">
        <v>0</v>
      </c>
      <c r="L1297">
        <v>33.6</v>
      </c>
      <c r="M1297">
        <v>35.9</v>
      </c>
      <c r="N1297" t="s">
        <v>52</v>
      </c>
      <c r="O1297" t="s">
        <v>47</v>
      </c>
      <c r="P1297" t="s">
        <v>58</v>
      </c>
      <c r="R1297">
        <f>SUMIF(A1297:A6296,"C01296",I1297:I6296)</f>
        <v>13720.28</v>
      </c>
      <c r="S1297" s="1">
        <v>126118.43</v>
      </c>
      <c r="T1297">
        <f t="shared" si="146"/>
        <v>201.768823529412</v>
      </c>
      <c r="U1297">
        <f t="shared" si="143"/>
        <v>2441.2</v>
      </c>
      <c r="V1297">
        <f t="shared" si="142"/>
        <v>203.433333333333</v>
      </c>
      <c r="W1297">
        <f t="shared" si="144"/>
        <v>5060.33666666667</v>
      </c>
      <c r="X1297">
        <f t="shared" si="141"/>
        <v>0.835770998746344</v>
      </c>
      <c r="AH1297" t="str">
        <f t="shared" si="147"/>
        <v>3rd Quality</v>
      </c>
      <c r="AJ1297">
        <f>((T1297-X1297)*2)/33.6</f>
        <v>11.960300745873</v>
      </c>
      <c r="AK1297">
        <f t="shared" si="145"/>
        <v>246157.964705882</v>
      </c>
    </row>
    <row r="1298" spans="1:37">
      <c r="A1298" t="s">
        <v>1361</v>
      </c>
      <c r="B1298">
        <v>47</v>
      </c>
      <c r="C1298" t="s">
        <v>44</v>
      </c>
      <c r="D1298" t="s">
        <v>51</v>
      </c>
      <c r="E1298">
        <v>684</v>
      </c>
      <c r="F1298">
        <v>1</v>
      </c>
      <c r="G1298">
        <v>28</v>
      </c>
      <c r="H1298">
        <v>9939.29</v>
      </c>
      <c r="I1298">
        <v>276437.6</v>
      </c>
      <c r="J1298">
        <v>65</v>
      </c>
      <c r="K1298">
        <v>4</v>
      </c>
      <c r="L1298">
        <v>8.4</v>
      </c>
      <c r="M1298">
        <v>19.6</v>
      </c>
      <c r="N1298" t="s">
        <v>63</v>
      </c>
      <c r="O1298" t="s">
        <v>47</v>
      </c>
      <c r="P1298" t="s">
        <v>58</v>
      </c>
      <c r="R1298">
        <f>SUMIF(A1298:A6297,"C01297",I1298:I6297)</f>
        <v>276437.6</v>
      </c>
      <c r="S1298" s="1">
        <v>1706.74</v>
      </c>
      <c r="T1298">
        <f t="shared" si="146"/>
        <v>4252.88615384615</v>
      </c>
      <c r="U1298">
        <f t="shared" si="143"/>
        <v>1274</v>
      </c>
      <c r="V1298">
        <f>U1298*4</f>
        <v>5096</v>
      </c>
      <c r="W1298">
        <f t="shared" si="144"/>
        <v>95459.2966666666</v>
      </c>
      <c r="X1298">
        <f t="shared" si="141"/>
        <v>0.0688177928202115</v>
      </c>
      <c r="AH1298" t="str">
        <f t="shared" si="147"/>
        <v>3rd Quality</v>
      </c>
      <c r="AJ1298">
        <f>((T1298-X1298)*2)/8.4</f>
        <v>1012.57555620317</v>
      </c>
      <c r="AK1298">
        <f t="shared" si="145"/>
        <v>2908974.12923077</v>
      </c>
    </row>
    <row r="1299" spans="1:37">
      <c r="A1299" t="s">
        <v>1362</v>
      </c>
      <c r="B1299">
        <v>30</v>
      </c>
      <c r="C1299" t="s">
        <v>50</v>
      </c>
      <c r="D1299" t="s">
        <v>45</v>
      </c>
      <c r="E1299">
        <v>1251</v>
      </c>
      <c r="F1299">
        <v>11</v>
      </c>
      <c r="G1299">
        <v>25</v>
      </c>
      <c r="H1299">
        <v>5174.33</v>
      </c>
      <c r="I1299">
        <v>126118.43</v>
      </c>
      <c r="J1299">
        <v>158</v>
      </c>
      <c r="K1299">
        <v>2</v>
      </c>
      <c r="L1299">
        <v>11.7</v>
      </c>
      <c r="M1299">
        <v>20.2</v>
      </c>
      <c r="N1299" t="s">
        <v>57</v>
      </c>
      <c r="O1299" t="s">
        <v>47</v>
      </c>
      <c r="P1299" t="s">
        <v>66</v>
      </c>
      <c r="R1299">
        <f>SUMIF(A1299:A6298,"C01298",I1299:I6298)</f>
        <v>126118.43</v>
      </c>
      <c r="S1299" s="1">
        <v>15927.17</v>
      </c>
      <c r="T1299">
        <f t="shared" si="146"/>
        <v>798.217911392405</v>
      </c>
      <c r="U1299">
        <f t="shared" si="143"/>
        <v>3191.6</v>
      </c>
      <c r="V1299">
        <f>U1299*2</f>
        <v>6383.2</v>
      </c>
      <c r="W1299">
        <f t="shared" si="144"/>
        <v>43764.5866666667</v>
      </c>
      <c r="X1299">
        <f t="shared" si="141"/>
        <v>0.241770432113916</v>
      </c>
      <c r="AH1299" t="str">
        <f t="shared" si="147"/>
        <v>1st Quality</v>
      </c>
      <c r="AJ1299">
        <f>((T1299-X1299)*2)/11.7</f>
        <v>136.40617794193</v>
      </c>
      <c r="AK1299">
        <f t="shared" si="145"/>
        <v>998570.607151899</v>
      </c>
    </row>
    <row r="1300" spans="1:37">
      <c r="A1300" t="s">
        <v>1363</v>
      </c>
      <c r="B1300">
        <v>32</v>
      </c>
      <c r="C1300" t="s">
        <v>44</v>
      </c>
      <c r="D1300" t="s">
        <v>45</v>
      </c>
      <c r="E1300">
        <v>570</v>
      </c>
      <c r="F1300">
        <v>61</v>
      </c>
      <c r="G1300">
        <v>2</v>
      </c>
      <c r="H1300">
        <v>866.81</v>
      </c>
      <c r="I1300">
        <v>1706.74</v>
      </c>
      <c r="J1300">
        <v>12</v>
      </c>
      <c r="K1300">
        <v>0</v>
      </c>
      <c r="L1300">
        <v>28.7</v>
      </c>
      <c r="M1300">
        <v>24</v>
      </c>
      <c r="N1300" t="s">
        <v>61</v>
      </c>
      <c r="O1300" t="s">
        <v>53</v>
      </c>
      <c r="P1300" t="s">
        <v>68</v>
      </c>
      <c r="R1300">
        <f>SUMIF(A1300:A6299,"C01299",I1300:I6299)</f>
        <v>1706.74</v>
      </c>
      <c r="S1300" s="1">
        <v>91924.28</v>
      </c>
      <c r="T1300">
        <f t="shared" si="146"/>
        <v>142.228333333333</v>
      </c>
      <c r="U1300">
        <f t="shared" si="143"/>
        <v>288</v>
      </c>
      <c r="V1300">
        <f t="shared" si="142"/>
        <v>24</v>
      </c>
      <c r="W1300">
        <f t="shared" si="144"/>
        <v>858.183333333333</v>
      </c>
      <c r="X1300">
        <f t="shared" si="141"/>
        <v>0.657583553489231</v>
      </c>
      <c r="AH1300" t="str">
        <f t="shared" si="147"/>
        <v>3rd Quality</v>
      </c>
      <c r="AJ1300">
        <f>((T1300-X1300)*2)/28.7</f>
        <v>9.8655574759473</v>
      </c>
      <c r="AK1300">
        <f t="shared" si="145"/>
        <v>81070.15</v>
      </c>
    </row>
    <row r="1301" spans="1:37">
      <c r="A1301" t="s">
        <v>1364</v>
      </c>
      <c r="B1301">
        <v>39</v>
      </c>
      <c r="C1301" t="s">
        <v>44</v>
      </c>
      <c r="D1301" t="s">
        <v>45</v>
      </c>
      <c r="E1301">
        <v>1136</v>
      </c>
      <c r="F1301">
        <v>28</v>
      </c>
      <c r="G1301">
        <v>12</v>
      </c>
      <c r="H1301">
        <v>1508.16</v>
      </c>
      <c r="I1301">
        <v>15927.17</v>
      </c>
      <c r="J1301">
        <v>31</v>
      </c>
      <c r="K1301">
        <v>2</v>
      </c>
      <c r="L1301">
        <v>27.7</v>
      </c>
      <c r="M1301">
        <v>10.3</v>
      </c>
      <c r="N1301" t="s">
        <v>78</v>
      </c>
      <c r="O1301" t="s">
        <v>47</v>
      </c>
      <c r="P1301" t="s">
        <v>58</v>
      </c>
      <c r="R1301">
        <f>SUMIF(A1301:A6300,"C01300",I1301:I6300)</f>
        <v>15927.17</v>
      </c>
      <c r="S1301" s="1">
        <v>46545.88</v>
      </c>
      <c r="T1301">
        <f t="shared" si="146"/>
        <v>513.779677419355</v>
      </c>
      <c r="U1301">
        <f t="shared" si="143"/>
        <v>319.3</v>
      </c>
      <c r="V1301">
        <f>U1301*2</f>
        <v>638.6</v>
      </c>
      <c r="W1301">
        <f t="shared" si="144"/>
        <v>5812.11</v>
      </c>
      <c r="X1301">
        <f t="shared" si="141"/>
        <v>0.753235730956928</v>
      </c>
      <c r="AH1301" t="str">
        <f t="shared" si="147"/>
        <v>3rd Quality</v>
      </c>
      <c r="AJ1301">
        <f>((T1301-X1301)*2)/27.7</f>
        <v>37.0416203385125</v>
      </c>
      <c r="AK1301">
        <f t="shared" si="145"/>
        <v>583653.713548387</v>
      </c>
    </row>
    <row r="1302" spans="1:37">
      <c r="A1302" t="s">
        <v>1365</v>
      </c>
      <c r="B1302">
        <v>26</v>
      </c>
      <c r="C1302" t="s">
        <v>44</v>
      </c>
      <c r="D1302" t="s">
        <v>60</v>
      </c>
      <c r="E1302">
        <v>1156</v>
      </c>
      <c r="F1302">
        <v>4</v>
      </c>
      <c r="G1302">
        <v>31</v>
      </c>
      <c r="H1302">
        <v>2834.22</v>
      </c>
      <c r="I1302">
        <v>91924.28</v>
      </c>
      <c r="J1302">
        <v>258</v>
      </c>
      <c r="K1302">
        <v>5</v>
      </c>
      <c r="L1302">
        <v>21.3</v>
      </c>
      <c r="M1302">
        <v>27.2</v>
      </c>
      <c r="N1302" t="s">
        <v>61</v>
      </c>
      <c r="O1302" t="s">
        <v>75</v>
      </c>
      <c r="P1302" t="s">
        <v>68</v>
      </c>
      <c r="R1302">
        <f>SUMIF(A1302:A6301,"C01301",I1302:I6301)</f>
        <v>91924.28</v>
      </c>
      <c r="S1302" s="1">
        <v>3912.5</v>
      </c>
      <c r="T1302">
        <f t="shared" si="146"/>
        <v>356.295658914729</v>
      </c>
      <c r="U1302">
        <f t="shared" si="143"/>
        <v>7017.6</v>
      </c>
      <c r="V1302">
        <f>U1302*5</f>
        <v>35088</v>
      </c>
      <c r="W1302">
        <f t="shared" si="144"/>
        <v>31586.5</v>
      </c>
      <c r="X1302">
        <f t="shared" si="141"/>
        <v>0.407872359943829</v>
      </c>
      <c r="AH1302" t="str">
        <f t="shared" si="147"/>
        <v>1st Quality</v>
      </c>
      <c r="AJ1302">
        <f>((T1302-X1302)*2)/21.3</f>
        <v>33.4166935732193</v>
      </c>
      <c r="AK1302">
        <f t="shared" si="145"/>
        <v>411877.781705426</v>
      </c>
    </row>
    <row r="1303" spans="1:37">
      <c r="A1303" t="s">
        <v>1366</v>
      </c>
      <c r="B1303">
        <v>19</v>
      </c>
      <c r="C1303" t="s">
        <v>50</v>
      </c>
      <c r="D1303" t="s">
        <v>60</v>
      </c>
      <c r="E1303">
        <v>1159</v>
      </c>
      <c r="F1303">
        <v>16</v>
      </c>
      <c r="G1303">
        <v>5</v>
      </c>
      <c r="H1303">
        <v>10445.08</v>
      </c>
      <c r="I1303">
        <v>46545.88</v>
      </c>
      <c r="J1303">
        <v>39</v>
      </c>
      <c r="K1303">
        <v>1</v>
      </c>
      <c r="L1303">
        <v>12.6</v>
      </c>
      <c r="M1303">
        <v>32.7</v>
      </c>
      <c r="N1303" t="s">
        <v>57</v>
      </c>
      <c r="O1303" t="s">
        <v>75</v>
      </c>
      <c r="P1303" t="s">
        <v>58</v>
      </c>
      <c r="R1303">
        <f>SUMIF(A1303:A6302,"C01302",I1303:I6302)</f>
        <v>46545.88</v>
      </c>
      <c r="S1303" s="1">
        <v>14905.58</v>
      </c>
      <c r="T1303">
        <f t="shared" si="146"/>
        <v>1193.4841025641</v>
      </c>
      <c r="U1303">
        <f t="shared" si="143"/>
        <v>1275.3</v>
      </c>
      <c r="V1303">
        <f>U1303*1</f>
        <v>1275.3</v>
      </c>
      <c r="W1303">
        <f t="shared" si="144"/>
        <v>18997.32</v>
      </c>
      <c r="X1303">
        <f t="shared" si="141"/>
        <v>0.110961332991226</v>
      </c>
      <c r="AH1303" t="str">
        <f t="shared" si="147"/>
        <v>1st Quality</v>
      </c>
      <c r="AJ1303">
        <f>((T1303-X1303)*2)/12.6</f>
        <v>189.424308131922</v>
      </c>
      <c r="AK1303">
        <f t="shared" si="145"/>
        <v>1383248.07487179</v>
      </c>
    </row>
    <row r="1304" spans="1:37">
      <c r="A1304" t="s">
        <v>1367</v>
      </c>
      <c r="B1304">
        <v>38</v>
      </c>
      <c r="C1304" t="s">
        <v>101</v>
      </c>
      <c r="D1304" t="s">
        <v>60</v>
      </c>
      <c r="E1304">
        <v>429</v>
      </c>
      <c r="F1304">
        <v>12</v>
      </c>
      <c r="G1304">
        <v>4</v>
      </c>
      <c r="H1304">
        <v>1052.19</v>
      </c>
      <c r="I1304">
        <v>3912.5</v>
      </c>
      <c r="J1304">
        <v>11</v>
      </c>
      <c r="K1304">
        <v>0</v>
      </c>
      <c r="L1304">
        <v>42.8</v>
      </c>
      <c r="M1304">
        <v>23.5</v>
      </c>
      <c r="N1304" t="s">
        <v>46</v>
      </c>
      <c r="O1304" t="s">
        <v>75</v>
      </c>
      <c r="P1304" t="s">
        <v>48</v>
      </c>
      <c r="R1304">
        <f>SUMIF(A1304:A6303,"C01303",I1304:I6303)</f>
        <v>3912.5</v>
      </c>
      <c r="S1304" s="1">
        <v>1684.78</v>
      </c>
      <c r="T1304">
        <f t="shared" si="146"/>
        <v>355.681818181818</v>
      </c>
      <c r="U1304">
        <f t="shared" si="143"/>
        <v>258.5</v>
      </c>
      <c r="V1304">
        <f t="shared" si="142"/>
        <v>21.5416666666667</v>
      </c>
      <c r="W1304">
        <f t="shared" si="144"/>
        <v>1655.23</v>
      </c>
      <c r="X1304">
        <f t="shared" si="141"/>
        <v>0.40772103897585</v>
      </c>
      <c r="AH1304" t="str">
        <f t="shared" si="147"/>
        <v>3rd Quality</v>
      </c>
      <c r="AJ1304">
        <f>((T1304-X1304)*2)/42.8</f>
        <v>16.6015933244319</v>
      </c>
      <c r="AK1304">
        <f t="shared" si="145"/>
        <v>152587.5</v>
      </c>
    </row>
    <row r="1305" spans="1:37">
      <c r="A1305" t="s">
        <v>1368</v>
      </c>
      <c r="B1305">
        <v>28</v>
      </c>
      <c r="C1305" t="s">
        <v>44</v>
      </c>
      <c r="D1305" t="s">
        <v>45</v>
      </c>
      <c r="E1305">
        <v>533</v>
      </c>
      <c r="F1305">
        <v>61</v>
      </c>
      <c r="G1305">
        <v>12</v>
      </c>
      <c r="H1305">
        <v>1157.81</v>
      </c>
      <c r="I1305">
        <v>14905.58</v>
      </c>
      <c r="J1305">
        <v>30</v>
      </c>
      <c r="K1305">
        <v>2</v>
      </c>
      <c r="L1305">
        <v>25.8</v>
      </c>
      <c r="M1305">
        <v>10.8</v>
      </c>
      <c r="N1305" t="s">
        <v>78</v>
      </c>
      <c r="O1305" t="s">
        <v>75</v>
      </c>
      <c r="P1305" t="s">
        <v>68</v>
      </c>
      <c r="R1305">
        <f>SUMIF(A1305:A6304,"C01304",I1305:I6304)</f>
        <v>14905.58</v>
      </c>
      <c r="S1305" s="1">
        <v>3139.98</v>
      </c>
      <c r="T1305">
        <f t="shared" si="146"/>
        <v>496.852666666667</v>
      </c>
      <c r="U1305">
        <f t="shared" si="143"/>
        <v>324</v>
      </c>
      <c r="V1305">
        <f>U1305*2</f>
        <v>648</v>
      </c>
      <c r="W1305">
        <f t="shared" si="144"/>
        <v>5354.79666666667</v>
      </c>
      <c r="X1305">
        <f t="shared" si="141"/>
        <v>0.46035187120512</v>
      </c>
      <c r="AH1305" t="str">
        <f t="shared" si="147"/>
        <v>3rd Quality</v>
      </c>
      <c r="AJ1305">
        <f>((T1305-X1305)*2)/25.8</f>
        <v>38.480024402749</v>
      </c>
      <c r="AK1305">
        <f t="shared" si="145"/>
        <v>264822.471333333</v>
      </c>
    </row>
    <row r="1306" spans="1:37">
      <c r="A1306" t="s">
        <v>1369</v>
      </c>
      <c r="B1306">
        <v>31</v>
      </c>
      <c r="C1306" t="s">
        <v>50</v>
      </c>
      <c r="D1306" t="s">
        <v>60</v>
      </c>
      <c r="E1306">
        <v>1319</v>
      </c>
      <c r="F1306">
        <v>68</v>
      </c>
      <c r="G1306">
        <v>3</v>
      </c>
      <c r="H1306">
        <v>503.13</v>
      </c>
      <c r="I1306">
        <v>1684.78</v>
      </c>
      <c r="J1306">
        <v>32</v>
      </c>
      <c r="K1306">
        <v>0</v>
      </c>
      <c r="L1306">
        <v>17.9</v>
      </c>
      <c r="M1306">
        <v>11.5</v>
      </c>
      <c r="N1306" t="s">
        <v>61</v>
      </c>
      <c r="O1306" t="s">
        <v>75</v>
      </c>
      <c r="P1306" t="s">
        <v>48</v>
      </c>
      <c r="R1306">
        <f>SUMIF(A1306:A6305,"C01305",I1306:I6305)</f>
        <v>1684.78</v>
      </c>
      <c r="S1306" s="1">
        <v>98397.84</v>
      </c>
      <c r="T1306">
        <f t="shared" si="146"/>
        <v>52.649375</v>
      </c>
      <c r="U1306">
        <f t="shared" si="143"/>
        <v>368</v>
      </c>
      <c r="V1306">
        <f t="shared" si="142"/>
        <v>30.6666666666667</v>
      </c>
      <c r="W1306">
        <f t="shared" si="144"/>
        <v>729.636666666667</v>
      </c>
      <c r="X1306">
        <f t="shared" si="141"/>
        <v>2.62158885377537</v>
      </c>
      <c r="AH1306" t="str">
        <f t="shared" si="147"/>
        <v>3rd Quality</v>
      </c>
      <c r="AJ1306">
        <f>((T1306-X1306)*2)/17.9</f>
        <v>5.58969677611448</v>
      </c>
      <c r="AK1306">
        <f t="shared" si="145"/>
        <v>69444.525625</v>
      </c>
    </row>
    <row r="1307" spans="1:37">
      <c r="A1307" t="s">
        <v>1370</v>
      </c>
      <c r="B1307">
        <v>49</v>
      </c>
      <c r="C1307" t="s">
        <v>50</v>
      </c>
      <c r="D1307" t="s">
        <v>51</v>
      </c>
      <c r="E1307">
        <v>748</v>
      </c>
      <c r="F1307">
        <v>365</v>
      </c>
      <c r="G1307">
        <v>1</v>
      </c>
      <c r="H1307">
        <v>2808.68</v>
      </c>
      <c r="I1307">
        <v>3139.98</v>
      </c>
      <c r="J1307">
        <v>10</v>
      </c>
      <c r="K1307">
        <v>0</v>
      </c>
      <c r="L1307">
        <v>11.2</v>
      </c>
      <c r="M1307">
        <v>23.4</v>
      </c>
      <c r="N1307" t="s">
        <v>52</v>
      </c>
      <c r="O1307" t="s">
        <v>47</v>
      </c>
      <c r="P1307" t="s">
        <v>58</v>
      </c>
      <c r="R1307">
        <f>SUMIF(A1307:A6306,"C01306",I1307:I6306)</f>
        <v>3139.98</v>
      </c>
      <c r="S1307" s="1">
        <v>1869.74</v>
      </c>
      <c r="T1307">
        <f t="shared" si="146"/>
        <v>313.998</v>
      </c>
      <c r="U1307">
        <f t="shared" si="143"/>
        <v>234</v>
      </c>
      <c r="V1307">
        <f t="shared" si="142"/>
        <v>19.5</v>
      </c>
      <c r="W1307">
        <f t="shared" si="144"/>
        <v>1983.22</v>
      </c>
      <c r="X1307">
        <f t="shared" si="141"/>
        <v>0.266317273594714</v>
      </c>
      <c r="AH1307" t="str">
        <f t="shared" si="147"/>
        <v>3rd Quality</v>
      </c>
      <c r="AJ1307">
        <f>((T1307-X1307)*2)/11.2</f>
        <v>56.0235147725724</v>
      </c>
      <c r="AK1307">
        <f t="shared" si="145"/>
        <v>234870.504</v>
      </c>
    </row>
    <row r="1308" spans="1:37">
      <c r="A1308" t="s">
        <v>1371</v>
      </c>
      <c r="B1308">
        <v>27</v>
      </c>
      <c r="C1308" t="s">
        <v>44</v>
      </c>
      <c r="D1308" t="s">
        <v>45</v>
      </c>
      <c r="E1308">
        <v>1245</v>
      </c>
      <c r="F1308">
        <v>115</v>
      </c>
      <c r="G1308">
        <v>7</v>
      </c>
      <c r="H1308">
        <v>13752.42</v>
      </c>
      <c r="I1308">
        <v>98397.84</v>
      </c>
      <c r="J1308">
        <v>27</v>
      </c>
      <c r="K1308">
        <v>1</v>
      </c>
      <c r="L1308">
        <v>11.7</v>
      </c>
      <c r="M1308">
        <v>8.1</v>
      </c>
      <c r="N1308" t="s">
        <v>63</v>
      </c>
      <c r="O1308" t="s">
        <v>75</v>
      </c>
      <c r="P1308" t="s">
        <v>48</v>
      </c>
      <c r="R1308">
        <f>SUMIF(A1308:A6307,"C01307",I1308:I6307)</f>
        <v>98397.84</v>
      </c>
      <c r="S1308" s="1">
        <v>77474.17</v>
      </c>
      <c r="T1308">
        <f t="shared" si="146"/>
        <v>3644.36444444444</v>
      </c>
      <c r="U1308">
        <f t="shared" si="143"/>
        <v>218.7</v>
      </c>
      <c r="V1308">
        <f>U1308*1</f>
        <v>218.7</v>
      </c>
      <c r="W1308">
        <f t="shared" si="144"/>
        <v>37383.7533333333</v>
      </c>
      <c r="X1308">
        <f t="shared" si="141"/>
        <v>0.090529521349697</v>
      </c>
      <c r="AH1308" t="str">
        <f t="shared" si="147"/>
        <v>1st Quality</v>
      </c>
      <c r="AJ1308">
        <f>((T1308-X1308)*2)/11.7</f>
        <v>622.952805969759</v>
      </c>
      <c r="AK1308">
        <f t="shared" si="145"/>
        <v>4537233.73333333</v>
      </c>
    </row>
    <row r="1309" spans="1:37">
      <c r="A1309" t="s">
        <v>1372</v>
      </c>
      <c r="B1309">
        <v>37</v>
      </c>
      <c r="C1309" t="s">
        <v>44</v>
      </c>
      <c r="D1309" t="s">
        <v>45</v>
      </c>
      <c r="E1309">
        <v>1277</v>
      </c>
      <c r="F1309">
        <v>31</v>
      </c>
      <c r="G1309">
        <v>4</v>
      </c>
      <c r="H1309">
        <v>496.08</v>
      </c>
      <c r="I1309">
        <v>1869.74</v>
      </c>
      <c r="J1309">
        <v>32</v>
      </c>
      <c r="K1309">
        <v>0</v>
      </c>
      <c r="L1309">
        <v>27.3</v>
      </c>
      <c r="M1309">
        <v>36.4</v>
      </c>
      <c r="N1309" t="s">
        <v>61</v>
      </c>
      <c r="O1309" t="s">
        <v>47</v>
      </c>
      <c r="P1309" t="s">
        <v>58</v>
      </c>
      <c r="R1309">
        <f>SUMIF(A1309:A6308,"C01308",I1309:I6308)</f>
        <v>1869.74</v>
      </c>
      <c r="S1309" s="1">
        <v>5204.41</v>
      </c>
      <c r="T1309">
        <f t="shared" si="146"/>
        <v>58.429375</v>
      </c>
      <c r="U1309">
        <f t="shared" si="143"/>
        <v>1164.8</v>
      </c>
      <c r="V1309">
        <f t="shared" si="142"/>
        <v>97.0666666666667</v>
      </c>
      <c r="W1309">
        <f t="shared" si="144"/>
        <v>788.94</v>
      </c>
      <c r="X1309">
        <f t="shared" si="141"/>
        <v>2.57418158361555</v>
      </c>
      <c r="AH1309" t="str">
        <f t="shared" si="147"/>
        <v>3rd Quality</v>
      </c>
      <c r="AJ1309">
        <f>((T1309-X1309)*2)/27.3</f>
        <v>4.09195556163989</v>
      </c>
      <c r="AK1309">
        <f t="shared" si="145"/>
        <v>74614.311875</v>
      </c>
    </row>
    <row r="1310" spans="1:37">
      <c r="A1310" t="s">
        <v>1373</v>
      </c>
      <c r="B1310">
        <v>32</v>
      </c>
      <c r="C1310" t="s">
        <v>44</v>
      </c>
      <c r="D1310" t="s">
        <v>60</v>
      </c>
      <c r="E1310">
        <v>1126</v>
      </c>
      <c r="F1310">
        <v>15</v>
      </c>
      <c r="G1310">
        <v>21</v>
      </c>
      <c r="H1310">
        <v>3414.83</v>
      </c>
      <c r="I1310">
        <v>77474.17</v>
      </c>
      <c r="J1310">
        <v>175</v>
      </c>
      <c r="K1310">
        <v>1</v>
      </c>
      <c r="L1310">
        <v>9</v>
      </c>
      <c r="M1310">
        <v>36.3</v>
      </c>
      <c r="N1310" t="s">
        <v>57</v>
      </c>
      <c r="O1310" t="s">
        <v>47</v>
      </c>
      <c r="P1310" t="s">
        <v>68</v>
      </c>
      <c r="R1310">
        <f>SUMIF(A1310:A6309,"C01309",I1310:I6309)</f>
        <v>77474.17</v>
      </c>
      <c r="S1310" s="1">
        <v>19273.13</v>
      </c>
      <c r="T1310">
        <f t="shared" si="146"/>
        <v>442.709542857143</v>
      </c>
      <c r="U1310">
        <f t="shared" si="143"/>
        <v>6352.5</v>
      </c>
      <c r="V1310">
        <f>U1310*1</f>
        <v>6352.5</v>
      </c>
      <c r="W1310">
        <f t="shared" si="144"/>
        <v>26963.3333333333</v>
      </c>
      <c r="X1310">
        <f t="shared" si="141"/>
        <v>0.329738230014378</v>
      </c>
      <c r="AH1310" t="str">
        <f t="shared" si="147"/>
        <v>1st Quality</v>
      </c>
      <c r="AJ1310">
        <f>((T1310-X1310)*2)/9</f>
        <v>98.306623250473</v>
      </c>
      <c r="AK1310">
        <f t="shared" si="145"/>
        <v>498490.945257143</v>
      </c>
    </row>
    <row r="1311" spans="1:37">
      <c r="A1311" t="s">
        <v>1374</v>
      </c>
      <c r="B1311">
        <v>34</v>
      </c>
      <c r="C1311" t="s">
        <v>50</v>
      </c>
      <c r="D1311" t="s">
        <v>60</v>
      </c>
      <c r="E1311">
        <v>563</v>
      </c>
      <c r="F1311">
        <v>79</v>
      </c>
      <c r="G1311">
        <v>2</v>
      </c>
      <c r="H1311">
        <v>2511.59</v>
      </c>
      <c r="I1311">
        <v>5204.41</v>
      </c>
      <c r="J1311">
        <v>18</v>
      </c>
      <c r="K1311">
        <v>1</v>
      </c>
      <c r="L1311">
        <v>11.3</v>
      </c>
      <c r="M1311">
        <v>42.8</v>
      </c>
      <c r="N1311" t="s">
        <v>52</v>
      </c>
      <c r="O1311" t="s">
        <v>47</v>
      </c>
      <c r="P1311" t="s">
        <v>48</v>
      </c>
      <c r="R1311">
        <f>SUMIF(A1311:A6310,"C01310",I1311:I6310)</f>
        <v>5204.41</v>
      </c>
      <c r="S1311" s="1">
        <v>1321.33</v>
      </c>
      <c r="T1311">
        <f t="shared" si="146"/>
        <v>289.133888888889</v>
      </c>
      <c r="U1311">
        <f t="shared" si="143"/>
        <v>770.4</v>
      </c>
      <c r="V1311">
        <f>U1311*1</f>
        <v>770.4</v>
      </c>
      <c r="W1311">
        <f t="shared" si="144"/>
        <v>2572.33333333333</v>
      </c>
      <c r="X1311">
        <f t="shared" si="141"/>
        <v>0.224160790574895</v>
      </c>
      <c r="AH1311" t="str">
        <f t="shared" si="147"/>
        <v>3rd Quality</v>
      </c>
      <c r="AJ1311">
        <f>((T1311-X1311)*2)/11.3</f>
        <v>51.1344651501441</v>
      </c>
      <c r="AK1311">
        <f t="shared" si="145"/>
        <v>162782.379444444</v>
      </c>
    </row>
    <row r="1312" spans="1:37">
      <c r="A1312" t="s">
        <v>1375</v>
      </c>
      <c r="B1312">
        <v>18</v>
      </c>
      <c r="C1312" t="s">
        <v>44</v>
      </c>
      <c r="D1312" t="s">
        <v>45</v>
      </c>
      <c r="E1312">
        <v>735</v>
      </c>
      <c r="F1312">
        <v>17</v>
      </c>
      <c r="G1312">
        <v>9</v>
      </c>
      <c r="H1312">
        <v>1917.69</v>
      </c>
      <c r="I1312">
        <v>19273.13</v>
      </c>
      <c r="J1312">
        <v>68</v>
      </c>
      <c r="K1312">
        <v>0</v>
      </c>
      <c r="L1312">
        <v>32.1</v>
      </c>
      <c r="M1312">
        <v>24.7</v>
      </c>
      <c r="N1312" t="s">
        <v>46</v>
      </c>
      <c r="O1312" t="s">
        <v>53</v>
      </c>
      <c r="P1312" t="s">
        <v>48</v>
      </c>
      <c r="R1312">
        <f>SUMIF(A1312:A6311,"C01311",I1312:I6311)</f>
        <v>19273.13</v>
      </c>
      <c r="S1312" s="1">
        <v>27768.57</v>
      </c>
      <c r="T1312">
        <f t="shared" si="146"/>
        <v>283.428382352941</v>
      </c>
      <c r="U1312">
        <f t="shared" si="143"/>
        <v>1679.6</v>
      </c>
      <c r="V1312">
        <f t="shared" si="142"/>
        <v>139.966666666667</v>
      </c>
      <c r="W1312">
        <f t="shared" si="144"/>
        <v>7063.94</v>
      </c>
      <c r="X1312">
        <f t="shared" si="141"/>
        <v>0.383273626081379</v>
      </c>
      <c r="AH1312" t="str">
        <f t="shared" si="147"/>
        <v>2nd Quality</v>
      </c>
      <c r="AJ1312">
        <f>((T1312-X1312)*2)/32.1</f>
        <v>17.635209266471</v>
      </c>
      <c r="AK1312">
        <f t="shared" si="145"/>
        <v>208319.861029412</v>
      </c>
    </row>
    <row r="1313" spans="1:37">
      <c r="A1313" t="s">
        <v>1376</v>
      </c>
      <c r="B1313">
        <v>39</v>
      </c>
      <c r="C1313" t="s">
        <v>44</v>
      </c>
      <c r="D1313" t="s">
        <v>51</v>
      </c>
      <c r="E1313">
        <v>451</v>
      </c>
      <c r="F1313">
        <v>179</v>
      </c>
      <c r="G1313">
        <v>1</v>
      </c>
      <c r="H1313">
        <v>1305.94</v>
      </c>
      <c r="I1313">
        <v>1321.33</v>
      </c>
      <c r="J1313">
        <v>15</v>
      </c>
      <c r="K1313">
        <v>0</v>
      </c>
      <c r="L1313">
        <v>27.7</v>
      </c>
      <c r="M1313">
        <v>37.9</v>
      </c>
      <c r="N1313" t="s">
        <v>46</v>
      </c>
      <c r="O1313" t="s">
        <v>75</v>
      </c>
      <c r="P1313" t="s">
        <v>58</v>
      </c>
      <c r="R1313">
        <f>SUMIF(A1313:A6312,"C01312",I1313:I6312)</f>
        <v>1321.33</v>
      </c>
      <c r="S1313" s="1">
        <v>65918.67</v>
      </c>
      <c r="T1313">
        <f t="shared" si="146"/>
        <v>88.0886666666667</v>
      </c>
      <c r="U1313">
        <f t="shared" si="143"/>
        <v>568.5</v>
      </c>
      <c r="V1313">
        <f t="shared" si="142"/>
        <v>47.375</v>
      </c>
      <c r="W1313">
        <f t="shared" si="144"/>
        <v>876.09</v>
      </c>
      <c r="X1313">
        <f t="shared" si="141"/>
        <v>0.345345115395807</v>
      </c>
      <c r="AH1313" t="str">
        <f t="shared" si="147"/>
        <v>3rd Quality</v>
      </c>
      <c r="AJ1313">
        <f>((T1313-X1313)*2)/27.7</f>
        <v>6.33525787373797</v>
      </c>
      <c r="AK1313">
        <f t="shared" si="145"/>
        <v>39727.9886666667</v>
      </c>
    </row>
    <row r="1314" spans="1:37">
      <c r="A1314" t="s">
        <v>1377</v>
      </c>
      <c r="B1314">
        <v>51</v>
      </c>
      <c r="C1314" t="s">
        <v>50</v>
      </c>
      <c r="D1314" t="s">
        <v>60</v>
      </c>
      <c r="E1314">
        <v>376</v>
      </c>
      <c r="F1314">
        <v>103</v>
      </c>
      <c r="G1314">
        <v>2</v>
      </c>
      <c r="H1314">
        <v>13797.62</v>
      </c>
      <c r="I1314">
        <v>27768.57</v>
      </c>
      <c r="J1314">
        <v>27</v>
      </c>
      <c r="K1314">
        <v>0</v>
      </c>
      <c r="L1314">
        <v>4.4</v>
      </c>
      <c r="M1314">
        <v>43.4</v>
      </c>
      <c r="N1314" t="s">
        <v>52</v>
      </c>
      <c r="O1314" t="s">
        <v>53</v>
      </c>
      <c r="P1314" t="s">
        <v>68</v>
      </c>
      <c r="R1314">
        <f>SUMIF(A1314:A6313,"C01313",I1314:I6313)</f>
        <v>27768.57</v>
      </c>
      <c r="S1314" s="1">
        <v>109992.5</v>
      </c>
      <c r="T1314">
        <f t="shared" si="146"/>
        <v>1028.46555555556</v>
      </c>
      <c r="U1314">
        <f t="shared" si="143"/>
        <v>1171.8</v>
      </c>
      <c r="V1314">
        <f t="shared" si="142"/>
        <v>97.65</v>
      </c>
      <c r="W1314">
        <f t="shared" si="144"/>
        <v>13855.73</v>
      </c>
      <c r="X1314">
        <f t="shared" si="141"/>
        <v>0.0272510766349559</v>
      </c>
      <c r="AH1314" t="str">
        <f t="shared" si="147"/>
        <v>3rd Quality</v>
      </c>
      <c r="AJ1314">
        <f>((T1314-X1314)*2)/4.4</f>
        <v>467.47195658133</v>
      </c>
      <c r="AK1314">
        <f t="shared" si="145"/>
        <v>386703.048888889</v>
      </c>
    </row>
    <row r="1315" spans="1:37">
      <c r="A1315" t="s">
        <v>1378</v>
      </c>
      <c r="B1315">
        <v>48</v>
      </c>
      <c r="C1315" t="s">
        <v>50</v>
      </c>
      <c r="D1315" t="s">
        <v>51</v>
      </c>
      <c r="E1315">
        <v>1293</v>
      </c>
      <c r="F1315">
        <v>7</v>
      </c>
      <c r="G1315">
        <v>23</v>
      </c>
      <c r="H1315">
        <v>3218.41</v>
      </c>
      <c r="I1315">
        <v>65918.67</v>
      </c>
      <c r="J1315">
        <v>122</v>
      </c>
      <c r="K1315">
        <v>1</v>
      </c>
      <c r="L1315">
        <v>7.5</v>
      </c>
      <c r="M1315">
        <v>26.6</v>
      </c>
      <c r="N1315" t="s">
        <v>81</v>
      </c>
      <c r="O1315" t="s">
        <v>47</v>
      </c>
      <c r="P1315" t="s">
        <v>58</v>
      </c>
      <c r="R1315">
        <f>SUMIF(A1315:A6314,"C01314",I1315:I6314)</f>
        <v>65918.67</v>
      </c>
      <c r="S1315" s="1">
        <v>1870.05</v>
      </c>
      <c r="T1315">
        <f t="shared" si="146"/>
        <v>540.316967213115</v>
      </c>
      <c r="U1315">
        <f t="shared" si="143"/>
        <v>3245.2</v>
      </c>
      <c r="V1315">
        <f>U1315*1</f>
        <v>3245.2</v>
      </c>
      <c r="W1315">
        <f t="shared" si="144"/>
        <v>23046.0266666667</v>
      </c>
      <c r="X1315">
        <f t="shared" si="141"/>
        <v>0.401751175269776</v>
      </c>
      <c r="AH1315" t="str">
        <f t="shared" si="147"/>
        <v>3rd Quality</v>
      </c>
      <c r="AJ1315">
        <f>((T1315-X1315)*2)/7.5</f>
        <v>143.977390943425</v>
      </c>
      <c r="AK1315">
        <f t="shared" si="145"/>
        <v>698629.838606557</v>
      </c>
    </row>
    <row r="1316" spans="1:37">
      <c r="A1316" t="s">
        <v>1379</v>
      </c>
      <c r="B1316">
        <v>31</v>
      </c>
      <c r="C1316" t="s">
        <v>50</v>
      </c>
      <c r="D1316" t="s">
        <v>51</v>
      </c>
      <c r="E1316">
        <v>890</v>
      </c>
      <c r="F1316">
        <v>8</v>
      </c>
      <c r="G1316">
        <v>32</v>
      </c>
      <c r="H1316">
        <v>3709.32</v>
      </c>
      <c r="I1316">
        <v>109992.5</v>
      </c>
      <c r="J1316">
        <v>264</v>
      </c>
      <c r="K1316">
        <v>4</v>
      </c>
      <c r="L1316">
        <v>17.9</v>
      </c>
      <c r="M1316">
        <v>35.5</v>
      </c>
      <c r="N1316" t="s">
        <v>78</v>
      </c>
      <c r="O1316" t="s">
        <v>75</v>
      </c>
      <c r="P1316" t="s">
        <v>66</v>
      </c>
      <c r="R1316">
        <f>SUMIF(A1316:A6315,"C01315",I1316:I6315)</f>
        <v>109992.5</v>
      </c>
      <c r="S1316" s="1">
        <v>6323.27</v>
      </c>
      <c r="T1316">
        <f t="shared" si="146"/>
        <v>416.638257575758</v>
      </c>
      <c r="U1316">
        <f t="shared" si="143"/>
        <v>9372</v>
      </c>
      <c r="V1316">
        <f>U1316*4</f>
        <v>37488</v>
      </c>
      <c r="W1316">
        <f t="shared" si="144"/>
        <v>37900.94</v>
      </c>
      <c r="X1316">
        <f t="shared" si="141"/>
        <v>0.239936160805754</v>
      </c>
      <c r="AH1316" t="str">
        <f t="shared" si="147"/>
        <v>2nd Quality</v>
      </c>
      <c r="AJ1316">
        <f>((T1316-X1316)*2)/17.9</f>
        <v>46.5249521134025</v>
      </c>
      <c r="AK1316">
        <f t="shared" si="145"/>
        <v>370808.049242424</v>
      </c>
    </row>
    <row r="1317" spans="1:37">
      <c r="A1317" t="s">
        <v>1380</v>
      </c>
      <c r="B1317">
        <v>54</v>
      </c>
      <c r="C1317" t="s">
        <v>50</v>
      </c>
      <c r="D1317" t="s">
        <v>60</v>
      </c>
      <c r="E1317">
        <v>1221</v>
      </c>
      <c r="F1317">
        <v>101</v>
      </c>
      <c r="G1317">
        <v>3</v>
      </c>
      <c r="H1317">
        <v>599.34</v>
      </c>
      <c r="I1317">
        <v>1870.05</v>
      </c>
      <c r="J1317">
        <v>21</v>
      </c>
      <c r="K1317">
        <v>1</v>
      </c>
      <c r="L1317">
        <v>36.3</v>
      </c>
      <c r="M1317">
        <v>41</v>
      </c>
      <c r="N1317" t="s">
        <v>78</v>
      </c>
      <c r="O1317" t="s">
        <v>47</v>
      </c>
      <c r="P1317" t="s">
        <v>66</v>
      </c>
      <c r="R1317">
        <f>SUMIF(A1317:A6316,"C01316",I1317:I6316)</f>
        <v>1870.05</v>
      </c>
      <c r="S1317" s="1">
        <v>33147.08</v>
      </c>
      <c r="T1317">
        <f t="shared" si="146"/>
        <v>89.05</v>
      </c>
      <c r="U1317">
        <f t="shared" si="143"/>
        <v>861</v>
      </c>
      <c r="V1317">
        <f>U1317*1</f>
        <v>861</v>
      </c>
      <c r="W1317">
        <f t="shared" si="144"/>
        <v>823.463333333333</v>
      </c>
      <c r="X1317">
        <f t="shared" si="141"/>
        <v>2.03724096506157</v>
      </c>
      <c r="AH1317" t="str">
        <f t="shared" si="147"/>
        <v>3rd Quality</v>
      </c>
      <c r="AJ1317">
        <f>((T1317-X1317)*2)/36.3</f>
        <v>4.79409140688366</v>
      </c>
      <c r="AK1317">
        <f t="shared" si="145"/>
        <v>108730.05</v>
      </c>
    </row>
    <row r="1318" spans="1:37">
      <c r="A1318" t="s">
        <v>1381</v>
      </c>
      <c r="B1318">
        <v>46</v>
      </c>
      <c r="C1318" t="s">
        <v>44</v>
      </c>
      <c r="D1318" t="s">
        <v>45</v>
      </c>
      <c r="E1318">
        <v>540</v>
      </c>
      <c r="F1318">
        <v>24</v>
      </c>
      <c r="G1318">
        <v>3</v>
      </c>
      <c r="H1318">
        <v>1884.44</v>
      </c>
      <c r="I1318">
        <v>6323.27</v>
      </c>
      <c r="J1318">
        <v>21</v>
      </c>
      <c r="K1318">
        <v>0</v>
      </c>
      <c r="L1318">
        <v>0</v>
      </c>
      <c r="M1318">
        <v>22.8</v>
      </c>
      <c r="N1318" t="s">
        <v>52</v>
      </c>
      <c r="O1318" t="s">
        <v>75</v>
      </c>
      <c r="P1318" t="s">
        <v>54</v>
      </c>
      <c r="R1318">
        <f>SUMIF(A1318:A6317,"C01317",I1318:I6317)</f>
        <v>6323.27</v>
      </c>
      <c r="S1318" s="1">
        <v>3697.83</v>
      </c>
      <c r="T1318">
        <f t="shared" si="146"/>
        <v>301.108095238095</v>
      </c>
      <c r="U1318">
        <f t="shared" si="143"/>
        <v>478.8</v>
      </c>
      <c r="V1318">
        <f t="shared" si="142"/>
        <v>39.9</v>
      </c>
      <c r="W1318">
        <f t="shared" si="144"/>
        <v>2736.23666666667</v>
      </c>
      <c r="X1318">
        <f t="shared" si="141"/>
        <v>0.286557279616226</v>
      </c>
      <c r="AH1318" t="str">
        <f t="shared" si="147"/>
        <v>3rd Quality</v>
      </c>
      <c r="AJ1318">
        <f>((T1318-X1318)*2)</f>
        <v>601.643075916958</v>
      </c>
      <c r="AK1318">
        <f t="shared" si="145"/>
        <v>162598.371428571</v>
      </c>
    </row>
    <row r="1319" spans="1:37">
      <c r="A1319" t="s">
        <v>1382</v>
      </c>
      <c r="B1319">
        <v>32</v>
      </c>
      <c r="C1319" t="s">
        <v>50</v>
      </c>
      <c r="D1319" t="s">
        <v>60</v>
      </c>
      <c r="E1319">
        <v>542</v>
      </c>
      <c r="F1319">
        <v>3</v>
      </c>
      <c r="G1319">
        <v>14</v>
      </c>
      <c r="H1319">
        <v>2381.58</v>
      </c>
      <c r="I1319">
        <v>33147.08</v>
      </c>
      <c r="J1319">
        <v>79</v>
      </c>
      <c r="K1319">
        <v>0</v>
      </c>
      <c r="L1319">
        <v>13.8</v>
      </c>
      <c r="M1319">
        <v>51.5</v>
      </c>
      <c r="N1319" t="s">
        <v>52</v>
      </c>
      <c r="O1319" t="s">
        <v>47</v>
      </c>
      <c r="P1319" t="s">
        <v>58</v>
      </c>
      <c r="R1319">
        <f>SUMIF(A1319:A6318,"C01318",I1319:I6318)</f>
        <v>33147.08</v>
      </c>
      <c r="S1319" s="1">
        <v>4603.29</v>
      </c>
      <c r="T1319">
        <f t="shared" si="146"/>
        <v>419.583291139241</v>
      </c>
      <c r="U1319">
        <f t="shared" si="143"/>
        <v>4068.5</v>
      </c>
      <c r="V1319">
        <f t="shared" si="142"/>
        <v>339.041666666667</v>
      </c>
      <c r="W1319">
        <f t="shared" si="144"/>
        <v>11843.22</v>
      </c>
      <c r="X1319">
        <f t="shared" si="141"/>
        <v>0.227580009909388</v>
      </c>
      <c r="AH1319" t="str">
        <f t="shared" si="147"/>
        <v>2nd Quality</v>
      </c>
      <c r="AJ1319">
        <f>((T1319-X1319)*2)/13.8</f>
        <v>60.7761900187437</v>
      </c>
      <c r="AK1319">
        <f t="shared" si="145"/>
        <v>227414.143797468</v>
      </c>
    </row>
    <row r="1320" spans="1:37">
      <c r="A1320" t="s">
        <v>1383</v>
      </c>
      <c r="B1320">
        <v>51</v>
      </c>
      <c r="C1320" t="s">
        <v>44</v>
      </c>
      <c r="D1320" t="s">
        <v>60</v>
      </c>
      <c r="E1320">
        <v>984</v>
      </c>
      <c r="F1320">
        <v>196</v>
      </c>
      <c r="G1320">
        <v>4</v>
      </c>
      <c r="H1320">
        <v>1042.25</v>
      </c>
      <c r="I1320">
        <v>3697.83</v>
      </c>
      <c r="J1320">
        <v>47</v>
      </c>
      <c r="K1320">
        <v>0</v>
      </c>
      <c r="L1320">
        <v>32.5</v>
      </c>
      <c r="M1320">
        <v>25.9</v>
      </c>
      <c r="N1320" t="s">
        <v>57</v>
      </c>
      <c r="O1320" t="s">
        <v>47</v>
      </c>
      <c r="P1320" t="s">
        <v>68</v>
      </c>
      <c r="R1320">
        <f>SUMIF(A1320:A6319,"C01319",I1320:I6319)</f>
        <v>3697.83</v>
      </c>
      <c r="S1320" s="1">
        <v>77502.45</v>
      </c>
      <c r="T1320">
        <f t="shared" si="146"/>
        <v>78.6772340425532</v>
      </c>
      <c r="U1320">
        <f t="shared" si="143"/>
        <v>1217.3</v>
      </c>
      <c r="V1320">
        <f t="shared" si="142"/>
        <v>101.441666666667</v>
      </c>
      <c r="W1320">
        <f t="shared" si="144"/>
        <v>1580.36</v>
      </c>
      <c r="X1320">
        <f t="shared" si="141"/>
        <v>0.944111297673303</v>
      </c>
      <c r="AH1320" t="str">
        <f t="shared" si="147"/>
        <v>3rd Quality</v>
      </c>
      <c r="AJ1320">
        <f>((T1320-X1320)*2)/32.5</f>
        <v>4.7835767843003</v>
      </c>
      <c r="AK1320">
        <f t="shared" si="145"/>
        <v>77418.3982978724</v>
      </c>
    </row>
    <row r="1321" spans="1:37">
      <c r="A1321" t="s">
        <v>1384</v>
      </c>
      <c r="B1321">
        <v>32</v>
      </c>
      <c r="C1321" t="s">
        <v>50</v>
      </c>
      <c r="D1321" t="s">
        <v>45</v>
      </c>
      <c r="E1321">
        <v>946</v>
      </c>
      <c r="F1321">
        <v>58</v>
      </c>
      <c r="G1321">
        <v>6</v>
      </c>
      <c r="H1321">
        <v>786.17</v>
      </c>
      <c r="I1321">
        <v>4603.29</v>
      </c>
      <c r="J1321">
        <v>33</v>
      </c>
      <c r="K1321">
        <v>0</v>
      </c>
      <c r="L1321">
        <v>30.3</v>
      </c>
      <c r="M1321">
        <v>15.9</v>
      </c>
      <c r="N1321" t="s">
        <v>81</v>
      </c>
      <c r="O1321" t="s">
        <v>47</v>
      </c>
      <c r="P1321" t="s">
        <v>58</v>
      </c>
      <c r="R1321">
        <f>SUMIF(A1321:A6320,"C01320",I1321:I6320)</f>
        <v>4603.29</v>
      </c>
      <c r="S1321" s="1">
        <v>25103.22</v>
      </c>
      <c r="T1321">
        <f t="shared" si="146"/>
        <v>139.493636363636</v>
      </c>
      <c r="U1321">
        <f t="shared" si="143"/>
        <v>524.7</v>
      </c>
      <c r="V1321">
        <f t="shared" si="142"/>
        <v>43.725</v>
      </c>
      <c r="W1321">
        <f t="shared" si="144"/>
        <v>1796.82</v>
      </c>
      <c r="X1321">
        <f t="shared" si="141"/>
        <v>1.20330208479082</v>
      </c>
      <c r="AH1321" t="str">
        <f t="shared" si="147"/>
        <v>3rd Quality</v>
      </c>
      <c r="AJ1321">
        <f>((T1321-X1321)*2)/30.3</f>
        <v>9.12807486989077</v>
      </c>
      <c r="AK1321">
        <f t="shared" si="145"/>
        <v>131960.98</v>
      </c>
    </row>
    <row r="1322" spans="1:37">
      <c r="A1322" t="s">
        <v>1385</v>
      </c>
      <c r="B1322">
        <v>38</v>
      </c>
      <c r="C1322" t="s">
        <v>50</v>
      </c>
      <c r="D1322" t="s">
        <v>45</v>
      </c>
      <c r="E1322">
        <v>821</v>
      </c>
      <c r="F1322">
        <v>6</v>
      </c>
      <c r="G1322">
        <v>7</v>
      </c>
      <c r="H1322">
        <v>12162.58</v>
      </c>
      <c r="I1322">
        <v>77502.45</v>
      </c>
      <c r="J1322">
        <v>44</v>
      </c>
      <c r="K1322">
        <v>0</v>
      </c>
      <c r="L1322">
        <v>0</v>
      </c>
      <c r="M1322">
        <v>8.9</v>
      </c>
      <c r="N1322" t="s">
        <v>61</v>
      </c>
      <c r="O1322" t="s">
        <v>47</v>
      </c>
      <c r="P1322" t="s">
        <v>48</v>
      </c>
      <c r="R1322">
        <f>SUMIF(A1322:A6321,"C01321",I1322:I6321)</f>
        <v>77502.45</v>
      </c>
      <c r="S1322" s="1">
        <v>67062.89</v>
      </c>
      <c r="T1322">
        <f t="shared" si="146"/>
        <v>1761.41931818182</v>
      </c>
      <c r="U1322">
        <f t="shared" si="143"/>
        <v>391.6</v>
      </c>
      <c r="V1322">
        <f t="shared" si="142"/>
        <v>32.6333333333333</v>
      </c>
      <c r="W1322">
        <f t="shared" si="144"/>
        <v>29888.6766666667</v>
      </c>
      <c r="X1322">
        <f t="shared" si="141"/>
        <v>0.0675021253714261</v>
      </c>
      <c r="AH1322" t="str">
        <f t="shared" si="147"/>
        <v>2nd Quality</v>
      </c>
      <c r="AJ1322">
        <f>((T1322-X1322)*2)</f>
        <v>3522.7036321129</v>
      </c>
      <c r="AK1322">
        <f t="shared" si="145"/>
        <v>1446125.26022727</v>
      </c>
    </row>
    <row r="1323" spans="1:37">
      <c r="A1323" t="s">
        <v>1386</v>
      </c>
      <c r="B1323">
        <v>49</v>
      </c>
      <c r="C1323" t="s">
        <v>44</v>
      </c>
      <c r="D1323" t="s">
        <v>45</v>
      </c>
      <c r="E1323">
        <v>415</v>
      </c>
      <c r="F1323">
        <v>41</v>
      </c>
      <c r="G1323">
        <v>11</v>
      </c>
      <c r="H1323">
        <v>2055.34</v>
      </c>
      <c r="I1323">
        <v>25103.22</v>
      </c>
      <c r="J1323">
        <v>41</v>
      </c>
      <c r="K1323">
        <v>2</v>
      </c>
      <c r="L1323">
        <v>16</v>
      </c>
      <c r="M1323">
        <v>54.5</v>
      </c>
      <c r="N1323" t="s">
        <v>81</v>
      </c>
      <c r="O1323" t="s">
        <v>47</v>
      </c>
      <c r="P1323" t="s">
        <v>58</v>
      </c>
      <c r="R1323">
        <f>SUMIF(A1323:A6322,"C01322",I1323:I6322)</f>
        <v>25103.22</v>
      </c>
      <c r="S1323" s="1">
        <v>655.92</v>
      </c>
      <c r="T1323">
        <f t="shared" si="146"/>
        <v>612.273658536585</v>
      </c>
      <c r="U1323">
        <f t="shared" si="143"/>
        <v>2234.5</v>
      </c>
      <c r="V1323">
        <f>U1323*2</f>
        <v>4469</v>
      </c>
      <c r="W1323">
        <f t="shared" si="144"/>
        <v>9053.18666666667</v>
      </c>
      <c r="X1323">
        <f t="shared" si="141"/>
        <v>0.201913065478218</v>
      </c>
      <c r="AH1323" t="str">
        <f t="shared" si="147"/>
        <v>3rd Quality</v>
      </c>
      <c r="AJ1323">
        <f>((T1323-X1323)*2)/16</f>
        <v>76.5089681838883</v>
      </c>
      <c r="AK1323">
        <f t="shared" si="145"/>
        <v>254093.568292683</v>
      </c>
    </row>
    <row r="1324" spans="1:37">
      <c r="A1324" t="s">
        <v>1387</v>
      </c>
      <c r="B1324">
        <v>27</v>
      </c>
      <c r="C1324" t="s">
        <v>44</v>
      </c>
      <c r="D1324" t="s">
        <v>45</v>
      </c>
      <c r="E1324">
        <v>657</v>
      </c>
      <c r="F1324">
        <v>22</v>
      </c>
      <c r="G1324">
        <v>26</v>
      </c>
      <c r="H1324">
        <v>2822.3</v>
      </c>
      <c r="I1324">
        <v>67062.89</v>
      </c>
      <c r="J1324">
        <v>111</v>
      </c>
      <c r="K1324">
        <v>1</v>
      </c>
      <c r="L1324">
        <v>0</v>
      </c>
      <c r="M1324">
        <v>16.5</v>
      </c>
      <c r="N1324" t="s">
        <v>52</v>
      </c>
      <c r="O1324" t="s">
        <v>75</v>
      </c>
      <c r="P1324" t="s">
        <v>58</v>
      </c>
      <c r="R1324">
        <f>SUMIF(A1324:A6323,"C01323",I1324:I6323)</f>
        <v>67062.89</v>
      </c>
      <c r="S1324" s="1">
        <v>2910.54</v>
      </c>
      <c r="T1324">
        <f t="shared" si="146"/>
        <v>604.17018018018</v>
      </c>
      <c r="U1324">
        <f t="shared" si="143"/>
        <v>1831.5</v>
      </c>
      <c r="V1324">
        <f>U1324*1</f>
        <v>1831.5</v>
      </c>
      <c r="W1324">
        <f t="shared" si="144"/>
        <v>23295.3966666667</v>
      </c>
      <c r="X1324">
        <f t="shared" si="141"/>
        <v>0.232788860149523</v>
      </c>
      <c r="AH1324" t="str">
        <f t="shared" si="147"/>
        <v>2nd Quality</v>
      </c>
      <c r="AJ1324">
        <f>((T1324-X1324)*2)</f>
        <v>1207.87478264006</v>
      </c>
      <c r="AK1324">
        <f t="shared" si="145"/>
        <v>396939.808378378</v>
      </c>
    </row>
    <row r="1325" spans="1:37">
      <c r="A1325" t="s">
        <v>1388</v>
      </c>
      <c r="B1325">
        <v>32</v>
      </c>
      <c r="C1325" t="s">
        <v>50</v>
      </c>
      <c r="D1325" t="s">
        <v>51</v>
      </c>
      <c r="E1325">
        <v>532</v>
      </c>
      <c r="F1325">
        <v>40</v>
      </c>
      <c r="G1325">
        <v>1</v>
      </c>
      <c r="H1325">
        <v>722.15</v>
      </c>
      <c r="I1325">
        <v>655.92</v>
      </c>
      <c r="J1325">
        <v>11</v>
      </c>
      <c r="K1325">
        <v>0</v>
      </c>
      <c r="L1325">
        <v>24.4</v>
      </c>
      <c r="M1325">
        <v>9.5</v>
      </c>
      <c r="N1325" t="s">
        <v>63</v>
      </c>
      <c r="O1325" t="s">
        <v>53</v>
      </c>
      <c r="P1325" t="s">
        <v>48</v>
      </c>
      <c r="R1325">
        <f>SUMIF(A1325:A6324,"C01324",I1325:I6324)</f>
        <v>655.92</v>
      </c>
      <c r="S1325" s="1">
        <v>953.63</v>
      </c>
      <c r="T1325">
        <f t="shared" si="146"/>
        <v>59.6290909090909</v>
      </c>
      <c r="U1325">
        <f t="shared" si="143"/>
        <v>104.5</v>
      </c>
      <c r="V1325">
        <f t="shared" si="142"/>
        <v>8.70833333333333</v>
      </c>
      <c r="W1325">
        <f t="shared" si="144"/>
        <v>459.69</v>
      </c>
      <c r="X1325">
        <f t="shared" si="141"/>
        <v>0.736689053520737</v>
      </c>
      <c r="AH1325" t="str">
        <f t="shared" si="147"/>
        <v>3rd Quality</v>
      </c>
      <c r="AJ1325">
        <f>((T1325-X1325)*2)/24.4</f>
        <v>4.82724605373526</v>
      </c>
      <c r="AK1325">
        <f t="shared" si="145"/>
        <v>31722.6763636364</v>
      </c>
    </row>
    <row r="1326" spans="1:37">
      <c r="A1326" t="s">
        <v>1389</v>
      </c>
      <c r="B1326">
        <v>18</v>
      </c>
      <c r="C1326" t="s">
        <v>44</v>
      </c>
      <c r="D1326" t="s">
        <v>60</v>
      </c>
      <c r="E1326">
        <v>551</v>
      </c>
      <c r="F1326">
        <v>26</v>
      </c>
      <c r="G1326">
        <v>5</v>
      </c>
      <c r="H1326">
        <v>588.07</v>
      </c>
      <c r="I1326">
        <v>2910.54</v>
      </c>
      <c r="J1326">
        <v>46</v>
      </c>
      <c r="K1326">
        <v>0</v>
      </c>
      <c r="L1326">
        <v>8.2</v>
      </c>
      <c r="M1326">
        <v>24.6</v>
      </c>
      <c r="N1326" t="s">
        <v>61</v>
      </c>
      <c r="O1326" t="s">
        <v>53</v>
      </c>
      <c r="P1326" t="s">
        <v>58</v>
      </c>
      <c r="R1326">
        <f>SUMIF(A1326:A6325,"C01325",I1326:I6325)</f>
        <v>2910.54</v>
      </c>
      <c r="S1326" s="1">
        <v>5121.92</v>
      </c>
      <c r="T1326">
        <f t="shared" si="146"/>
        <v>63.2726086956522</v>
      </c>
      <c r="U1326">
        <f t="shared" si="143"/>
        <v>1131.6</v>
      </c>
      <c r="V1326">
        <f t="shared" si="142"/>
        <v>94.3</v>
      </c>
      <c r="W1326">
        <f t="shared" si="144"/>
        <v>1166.53666666667</v>
      </c>
      <c r="X1326">
        <f t="shared" si="141"/>
        <v>0.936963286683558</v>
      </c>
      <c r="AH1326" t="str">
        <f t="shared" si="147"/>
        <v>3rd Quality</v>
      </c>
      <c r="AJ1326">
        <f>((T1326-X1326)*2)/8.2</f>
        <v>15.203815953407</v>
      </c>
      <c r="AK1326">
        <f t="shared" si="145"/>
        <v>34863.2073913043</v>
      </c>
    </row>
    <row r="1327" spans="1:37">
      <c r="A1327" t="s">
        <v>1390</v>
      </c>
      <c r="B1327">
        <v>27</v>
      </c>
      <c r="C1327" t="s">
        <v>50</v>
      </c>
      <c r="D1327" t="s">
        <v>51</v>
      </c>
      <c r="E1327">
        <v>650</v>
      </c>
      <c r="F1327">
        <v>185</v>
      </c>
      <c r="G1327">
        <v>1</v>
      </c>
      <c r="H1327">
        <v>944.13</v>
      </c>
      <c r="I1327">
        <v>953.63</v>
      </c>
      <c r="J1327">
        <v>16</v>
      </c>
      <c r="K1327">
        <v>0</v>
      </c>
      <c r="L1327">
        <v>13.2</v>
      </c>
      <c r="M1327">
        <v>64.1</v>
      </c>
      <c r="N1327" t="s">
        <v>46</v>
      </c>
      <c r="O1327" t="s">
        <v>47</v>
      </c>
      <c r="P1327" t="s">
        <v>54</v>
      </c>
      <c r="R1327">
        <f>SUMIF(A1327:A6326,"C01326",I1327:I6326)</f>
        <v>953.63</v>
      </c>
      <c r="S1327" s="1">
        <v>34097.68</v>
      </c>
      <c r="T1327">
        <f t="shared" si="146"/>
        <v>59.601875</v>
      </c>
      <c r="U1327">
        <f t="shared" si="143"/>
        <v>1025.6</v>
      </c>
      <c r="V1327">
        <f t="shared" si="142"/>
        <v>85.4666666666667</v>
      </c>
      <c r="W1327">
        <f t="shared" si="144"/>
        <v>632.92</v>
      </c>
      <c r="X1327">
        <f t="shared" ref="X1327:X1390" si="148">E1327/H1327</f>
        <v>0.688464512302331</v>
      </c>
      <c r="AH1327" t="str">
        <f t="shared" si="147"/>
        <v>3rd Quality</v>
      </c>
      <c r="AJ1327">
        <f>((T1327-X1327)*2)/13.2</f>
        <v>8.92627431631783</v>
      </c>
      <c r="AK1327">
        <f t="shared" si="145"/>
        <v>38741.21875</v>
      </c>
    </row>
    <row r="1328" spans="1:37">
      <c r="A1328" t="s">
        <v>1391</v>
      </c>
      <c r="B1328">
        <v>39</v>
      </c>
      <c r="C1328" t="s">
        <v>50</v>
      </c>
      <c r="D1328" t="s">
        <v>45</v>
      </c>
      <c r="E1328">
        <v>1097</v>
      </c>
      <c r="F1328">
        <v>20</v>
      </c>
      <c r="G1328">
        <v>6</v>
      </c>
      <c r="H1328">
        <v>811.34</v>
      </c>
      <c r="I1328">
        <v>5121.92</v>
      </c>
      <c r="J1328">
        <v>62</v>
      </c>
      <c r="K1328">
        <v>1</v>
      </c>
      <c r="L1328">
        <v>24.8</v>
      </c>
      <c r="M1328">
        <v>20</v>
      </c>
      <c r="N1328" t="s">
        <v>63</v>
      </c>
      <c r="O1328" t="s">
        <v>47</v>
      </c>
      <c r="P1328" t="s">
        <v>68</v>
      </c>
      <c r="R1328">
        <f>SUMIF(A1328:A6327,"C01327",I1328:I6327)</f>
        <v>5121.92</v>
      </c>
      <c r="S1328" s="1">
        <v>10472.51</v>
      </c>
      <c r="T1328">
        <f t="shared" si="146"/>
        <v>82.6116129032258</v>
      </c>
      <c r="U1328">
        <f t="shared" si="143"/>
        <v>1240</v>
      </c>
      <c r="V1328">
        <f>U1328*1</f>
        <v>1240</v>
      </c>
      <c r="W1328">
        <f t="shared" si="144"/>
        <v>1978.08666666667</v>
      </c>
      <c r="X1328">
        <f t="shared" si="148"/>
        <v>1.35208420637464</v>
      </c>
      <c r="AH1328" t="str">
        <f t="shared" si="147"/>
        <v>3rd Quality</v>
      </c>
      <c r="AJ1328">
        <f>((T1328-X1328)*2)/24.8</f>
        <v>6.55318779813316</v>
      </c>
      <c r="AK1328">
        <f t="shared" si="145"/>
        <v>90624.9393548387</v>
      </c>
    </row>
    <row r="1329" spans="1:37">
      <c r="A1329" t="s">
        <v>1392</v>
      </c>
      <c r="B1329">
        <v>33</v>
      </c>
      <c r="C1329" t="s">
        <v>44</v>
      </c>
      <c r="D1329" t="s">
        <v>51</v>
      </c>
      <c r="E1329">
        <v>1138</v>
      </c>
      <c r="F1329">
        <v>27</v>
      </c>
      <c r="G1329">
        <v>3</v>
      </c>
      <c r="H1329">
        <v>11737.8</v>
      </c>
      <c r="I1329">
        <v>34097.68</v>
      </c>
      <c r="J1329">
        <v>20</v>
      </c>
      <c r="K1329">
        <v>0</v>
      </c>
      <c r="L1329">
        <v>0</v>
      </c>
      <c r="M1329">
        <v>50.3</v>
      </c>
      <c r="N1329" t="s">
        <v>63</v>
      </c>
      <c r="O1329" t="s">
        <v>47</v>
      </c>
      <c r="P1329" t="s">
        <v>58</v>
      </c>
      <c r="R1329">
        <f>SUMIF(A1329:A6328,"C01328",I1329:I6328)</f>
        <v>34097.68</v>
      </c>
      <c r="S1329" s="1">
        <v>74868.74</v>
      </c>
      <c r="T1329">
        <f t="shared" si="146"/>
        <v>1704.884</v>
      </c>
      <c r="U1329">
        <f t="shared" si="143"/>
        <v>1006</v>
      </c>
      <c r="V1329">
        <f t="shared" si="142"/>
        <v>83.8333333333333</v>
      </c>
      <c r="W1329">
        <f t="shared" si="144"/>
        <v>15278.8266666667</v>
      </c>
      <c r="X1329">
        <f t="shared" si="148"/>
        <v>0.0969517286033158</v>
      </c>
      <c r="AH1329" t="str">
        <f t="shared" si="147"/>
        <v>1st Quality</v>
      </c>
      <c r="AJ1329">
        <f>((T1329-X1329)*2)</f>
        <v>3409.57409654279</v>
      </c>
      <c r="AK1329">
        <f t="shared" si="145"/>
        <v>1940157.992</v>
      </c>
    </row>
    <row r="1330" spans="1:37">
      <c r="A1330" t="s">
        <v>1393</v>
      </c>
      <c r="B1330">
        <v>40</v>
      </c>
      <c r="C1330" t="s">
        <v>44</v>
      </c>
      <c r="D1330" t="s">
        <v>51</v>
      </c>
      <c r="E1330">
        <v>1245</v>
      </c>
      <c r="F1330">
        <v>99</v>
      </c>
      <c r="G1330">
        <v>8</v>
      </c>
      <c r="H1330">
        <v>1195.19</v>
      </c>
      <c r="I1330">
        <v>10472.51</v>
      </c>
      <c r="J1330">
        <v>20</v>
      </c>
      <c r="K1330">
        <v>1</v>
      </c>
      <c r="L1330">
        <v>31.3</v>
      </c>
      <c r="M1330">
        <v>21.1</v>
      </c>
      <c r="N1330" t="s">
        <v>61</v>
      </c>
      <c r="O1330" t="s">
        <v>47</v>
      </c>
      <c r="P1330" t="s">
        <v>58</v>
      </c>
      <c r="R1330">
        <f>SUMIF(A1330:A6329,"C01329",I1330:I6329)</f>
        <v>10472.51</v>
      </c>
      <c r="S1330" s="1">
        <v>2368.45</v>
      </c>
      <c r="T1330">
        <f t="shared" si="146"/>
        <v>523.6255</v>
      </c>
      <c r="U1330">
        <f t="shared" si="143"/>
        <v>422</v>
      </c>
      <c r="V1330">
        <f>U1330*1</f>
        <v>422</v>
      </c>
      <c r="W1330">
        <f t="shared" si="144"/>
        <v>3889.56666666667</v>
      </c>
      <c r="X1330">
        <f t="shared" si="148"/>
        <v>1.04167538215681</v>
      </c>
      <c r="AH1330" t="str">
        <f t="shared" si="147"/>
        <v>3rd Quality</v>
      </c>
      <c r="AJ1330">
        <f>((T1330-X1330)*2)/31.3</f>
        <v>33.3919376752615</v>
      </c>
      <c r="AK1330">
        <f t="shared" si="145"/>
        <v>651913.7475</v>
      </c>
    </row>
    <row r="1331" spans="1:37">
      <c r="A1331" t="s">
        <v>1394</v>
      </c>
      <c r="B1331">
        <v>18</v>
      </c>
      <c r="C1331" t="s">
        <v>50</v>
      </c>
      <c r="D1331" t="s">
        <v>60</v>
      </c>
      <c r="E1331">
        <v>702</v>
      </c>
      <c r="F1331">
        <v>9</v>
      </c>
      <c r="G1331">
        <v>28</v>
      </c>
      <c r="H1331">
        <v>2612.07</v>
      </c>
      <c r="I1331">
        <v>74868.74</v>
      </c>
      <c r="J1331">
        <v>233</v>
      </c>
      <c r="K1331">
        <v>1</v>
      </c>
      <c r="L1331">
        <v>22.7</v>
      </c>
      <c r="M1331">
        <v>35.2</v>
      </c>
      <c r="N1331" t="s">
        <v>46</v>
      </c>
      <c r="O1331" t="s">
        <v>47</v>
      </c>
      <c r="P1331" t="s">
        <v>58</v>
      </c>
      <c r="R1331">
        <f>SUMIF(A1331:A6330,"C01330",I1331:I6330)</f>
        <v>74868.74</v>
      </c>
      <c r="S1331" s="1">
        <v>12551.85</v>
      </c>
      <c r="T1331">
        <f t="shared" si="146"/>
        <v>321.325064377682</v>
      </c>
      <c r="U1331">
        <f t="shared" si="143"/>
        <v>8201.6</v>
      </c>
      <c r="V1331">
        <f>U1331*1</f>
        <v>8201.6</v>
      </c>
      <c r="W1331">
        <f t="shared" si="144"/>
        <v>25827.27</v>
      </c>
      <c r="X1331">
        <f t="shared" si="148"/>
        <v>0.268752368810943</v>
      </c>
      <c r="AH1331" t="str">
        <f t="shared" si="147"/>
        <v>2nd Quality</v>
      </c>
      <c r="AJ1331">
        <f>((T1331-X1331)*2)/22.7</f>
        <v>28.2868997364644</v>
      </c>
      <c r="AK1331">
        <f t="shared" si="145"/>
        <v>225570.195193133</v>
      </c>
    </row>
    <row r="1332" spans="1:37">
      <c r="A1332" t="s">
        <v>1395</v>
      </c>
      <c r="B1332">
        <v>37</v>
      </c>
      <c r="C1332" t="s">
        <v>50</v>
      </c>
      <c r="D1332" t="s">
        <v>45</v>
      </c>
      <c r="E1332">
        <v>959</v>
      </c>
      <c r="F1332">
        <v>127</v>
      </c>
      <c r="G1332">
        <v>4</v>
      </c>
      <c r="H1332">
        <v>664.29</v>
      </c>
      <c r="I1332">
        <v>2368.45</v>
      </c>
      <c r="J1332">
        <v>35</v>
      </c>
      <c r="K1332">
        <v>0</v>
      </c>
      <c r="L1332">
        <v>30.7</v>
      </c>
      <c r="M1332">
        <v>51.3</v>
      </c>
      <c r="N1332" t="s">
        <v>78</v>
      </c>
      <c r="O1332" t="s">
        <v>47</v>
      </c>
      <c r="P1332" t="s">
        <v>66</v>
      </c>
      <c r="R1332">
        <f>SUMIF(A1332:A6331,"C01331",I1332:I6331)</f>
        <v>2368.45</v>
      </c>
      <c r="S1332" s="1">
        <v>107138.81</v>
      </c>
      <c r="T1332">
        <f t="shared" si="146"/>
        <v>67.67</v>
      </c>
      <c r="U1332">
        <f t="shared" si="143"/>
        <v>1795.5</v>
      </c>
      <c r="V1332">
        <f t="shared" si="142"/>
        <v>149.625</v>
      </c>
      <c r="W1332">
        <f t="shared" si="144"/>
        <v>1011.24666666667</v>
      </c>
      <c r="X1332">
        <f t="shared" si="148"/>
        <v>1.44364660012946</v>
      </c>
      <c r="AH1332" t="str">
        <f t="shared" si="147"/>
        <v>3rd Quality</v>
      </c>
      <c r="AJ1332">
        <f>((T1332-X1332)*2)/30.7</f>
        <v>4.31442041692968</v>
      </c>
      <c r="AK1332">
        <f t="shared" si="145"/>
        <v>64895.53</v>
      </c>
    </row>
    <row r="1333" spans="1:37">
      <c r="A1333" t="s">
        <v>1396</v>
      </c>
      <c r="B1333">
        <v>24</v>
      </c>
      <c r="C1333" t="s">
        <v>50</v>
      </c>
      <c r="D1333" t="s">
        <v>45</v>
      </c>
      <c r="E1333">
        <v>1254</v>
      </c>
      <c r="F1333">
        <v>19</v>
      </c>
      <c r="G1333">
        <v>2</v>
      </c>
      <c r="H1333">
        <v>7065.89</v>
      </c>
      <c r="I1333">
        <v>12551.85</v>
      </c>
      <c r="J1333">
        <v>16</v>
      </c>
      <c r="K1333">
        <v>0</v>
      </c>
      <c r="L1333">
        <v>10.3</v>
      </c>
      <c r="M1333">
        <v>4.7</v>
      </c>
      <c r="N1333" t="s">
        <v>61</v>
      </c>
      <c r="O1333" t="s">
        <v>47</v>
      </c>
      <c r="P1333" t="s">
        <v>58</v>
      </c>
      <c r="R1333">
        <f>SUMIF(A1333:A6332,"C01332",I1333:I6332)</f>
        <v>12551.85</v>
      </c>
      <c r="S1333" s="1">
        <v>5207.32</v>
      </c>
      <c r="T1333">
        <f t="shared" si="146"/>
        <v>784.490625</v>
      </c>
      <c r="U1333">
        <f t="shared" si="143"/>
        <v>75.2</v>
      </c>
      <c r="V1333">
        <f t="shared" si="142"/>
        <v>6.26666666666667</v>
      </c>
      <c r="W1333">
        <f t="shared" si="144"/>
        <v>6539.58</v>
      </c>
      <c r="X1333">
        <f t="shared" si="148"/>
        <v>0.1774723354029</v>
      </c>
      <c r="AH1333" t="str">
        <f t="shared" si="147"/>
        <v>2nd Quality</v>
      </c>
      <c r="AJ1333">
        <f>((T1333-X1333)*2)/10.3</f>
        <v>152.293816051378</v>
      </c>
      <c r="AK1333">
        <f t="shared" si="145"/>
        <v>983751.24375</v>
      </c>
    </row>
    <row r="1334" spans="1:37">
      <c r="A1334" t="s">
        <v>1397</v>
      </c>
      <c r="B1334">
        <v>43</v>
      </c>
      <c r="C1334" t="s">
        <v>44</v>
      </c>
      <c r="D1334" t="s">
        <v>60</v>
      </c>
      <c r="E1334">
        <v>901</v>
      </c>
      <c r="F1334">
        <v>34</v>
      </c>
      <c r="G1334">
        <v>8</v>
      </c>
      <c r="H1334">
        <v>13493.48</v>
      </c>
      <c r="I1334">
        <v>107138.81</v>
      </c>
      <c r="J1334">
        <v>49</v>
      </c>
      <c r="K1334">
        <v>0</v>
      </c>
      <c r="L1334">
        <v>0</v>
      </c>
      <c r="M1334">
        <v>6.2</v>
      </c>
      <c r="N1334" t="s">
        <v>52</v>
      </c>
      <c r="O1334" t="s">
        <v>47</v>
      </c>
      <c r="P1334" t="s">
        <v>58</v>
      </c>
      <c r="R1334">
        <f>SUMIF(A1334:A6333,"C01333",I1334:I6333)</f>
        <v>107138.81</v>
      </c>
      <c r="S1334" s="1">
        <v>4898.76</v>
      </c>
      <c r="T1334">
        <f t="shared" si="146"/>
        <v>2186.50632653061</v>
      </c>
      <c r="U1334">
        <f t="shared" si="143"/>
        <v>303.8</v>
      </c>
      <c r="V1334">
        <f t="shared" si="142"/>
        <v>25.3166666666667</v>
      </c>
      <c r="W1334">
        <f t="shared" si="144"/>
        <v>40211.0966666667</v>
      </c>
      <c r="X1334">
        <f t="shared" si="148"/>
        <v>0.0667729896216543</v>
      </c>
      <c r="AH1334" t="str">
        <f t="shared" si="147"/>
        <v>2nd Quality</v>
      </c>
      <c r="AJ1334">
        <f>((T1334-X1334)*2)</f>
        <v>4372.87910708198</v>
      </c>
      <c r="AK1334">
        <f t="shared" si="145"/>
        <v>1970042.20020408</v>
      </c>
    </row>
    <row r="1335" spans="1:37">
      <c r="A1335" t="s">
        <v>1398</v>
      </c>
      <c r="B1335">
        <v>22</v>
      </c>
      <c r="C1335" t="s">
        <v>50</v>
      </c>
      <c r="D1335" t="s">
        <v>60</v>
      </c>
      <c r="E1335">
        <v>395</v>
      </c>
      <c r="F1335">
        <v>261</v>
      </c>
      <c r="G1335">
        <v>3</v>
      </c>
      <c r="H1335">
        <v>1761.38</v>
      </c>
      <c r="I1335">
        <v>5207.32</v>
      </c>
      <c r="J1335">
        <v>25</v>
      </c>
      <c r="K1335">
        <v>0</v>
      </c>
      <c r="L1335">
        <v>18.3</v>
      </c>
      <c r="M1335">
        <v>45</v>
      </c>
      <c r="N1335" t="s">
        <v>57</v>
      </c>
      <c r="O1335" t="s">
        <v>47</v>
      </c>
      <c r="P1335" t="s">
        <v>58</v>
      </c>
      <c r="R1335">
        <f>SUMIF(A1335:A6334,"C01334",I1335:I6334)</f>
        <v>5207.32</v>
      </c>
      <c r="S1335" s="1">
        <v>660.2</v>
      </c>
      <c r="T1335">
        <f t="shared" si="146"/>
        <v>208.2928</v>
      </c>
      <c r="U1335">
        <f t="shared" si="143"/>
        <v>1125</v>
      </c>
      <c r="V1335">
        <f t="shared" si="142"/>
        <v>93.75</v>
      </c>
      <c r="W1335">
        <f t="shared" si="144"/>
        <v>2323.23333333333</v>
      </c>
      <c r="X1335">
        <f t="shared" si="148"/>
        <v>0.224255981105724</v>
      </c>
      <c r="AH1335" t="str">
        <f t="shared" si="147"/>
        <v>3rd Quality</v>
      </c>
      <c r="AJ1335">
        <f>((T1335-X1335)*2)/18.3</f>
        <v>22.7397315867644</v>
      </c>
      <c r="AK1335">
        <f t="shared" si="145"/>
        <v>82275.656</v>
      </c>
    </row>
    <row r="1336" spans="1:37">
      <c r="A1336" t="s">
        <v>1399</v>
      </c>
      <c r="B1336">
        <v>43</v>
      </c>
      <c r="C1336" t="s">
        <v>44</v>
      </c>
      <c r="D1336" t="s">
        <v>45</v>
      </c>
      <c r="E1336">
        <v>911</v>
      </c>
      <c r="F1336">
        <v>343</v>
      </c>
      <c r="G1336">
        <v>2</v>
      </c>
      <c r="H1336">
        <v>2477.7</v>
      </c>
      <c r="I1336">
        <v>4898.76</v>
      </c>
      <c r="J1336">
        <v>13</v>
      </c>
      <c r="K1336">
        <v>0</v>
      </c>
      <c r="L1336">
        <v>7.2</v>
      </c>
      <c r="M1336">
        <v>14</v>
      </c>
      <c r="N1336" t="s">
        <v>52</v>
      </c>
      <c r="O1336" t="s">
        <v>53</v>
      </c>
      <c r="P1336" t="s">
        <v>58</v>
      </c>
      <c r="R1336">
        <f>SUMIF(A1336:A6335,"C01335",I1336:I6335)</f>
        <v>4898.76</v>
      </c>
      <c r="S1336" s="1">
        <v>83951.04</v>
      </c>
      <c r="T1336">
        <f t="shared" si="146"/>
        <v>376.827692307692</v>
      </c>
      <c r="U1336">
        <f t="shared" si="143"/>
        <v>182</v>
      </c>
      <c r="V1336">
        <f t="shared" si="142"/>
        <v>15.1666666666667</v>
      </c>
      <c r="W1336">
        <f t="shared" si="144"/>
        <v>2459.15333333333</v>
      </c>
      <c r="X1336">
        <f t="shared" si="148"/>
        <v>0.367679702950317</v>
      </c>
      <c r="AH1336" t="str">
        <f t="shared" si="147"/>
        <v>3rd Quality</v>
      </c>
      <c r="AJ1336">
        <f>((T1336-X1336)*2)/7.2</f>
        <v>104.572225723539</v>
      </c>
      <c r="AK1336">
        <f t="shared" si="145"/>
        <v>343290.027692308</v>
      </c>
    </row>
    <row r="1337" spans="1:37">
      <c r="A1337" t="s">
        <v>1400</v>
      </c>
      <c r="B1337">
        <v>18</v>
      </c>
      <c r="C1337" t="s">
        <v>50</v>
      </c>
      <c r="D1337" t="s">
        <v>45</v>
      </c>
      <c r="E1337">
        <v>374</v>
      </c>
      <c r="F1337">
        <v>56</v>
      </c>
      <c r="G1337">
        <v>2</v>
      </c>
      <c r="H1337">
        <v>369.35</v>
      </c>
      <c r="I1337">
        <v>660.2</v>
      </c>
      <c r="J1337">
        <v>18</v>
      </c>
      <c r="K1337">
        <v>1</v>
      </c>
      <c r="L1337">
        <v>16.9</v>
      </c>
      <c r="M1337">
        <v>47</v>
      </c>
      <c r="N1337" t="s">
        <v>61</v>
      </c>
      <c r="O1337" t="s">
        <v>53</v>
      </c>
      <c r="P1337" t="s">
        <v>48</v>
      </c>
      <c r="R1337">
        <f>SUMIF(A1337:A6336,"C01336",I1337:I6336)</f>
        <v>660.2</v>
      </c>
      <c r="S1337" s="1">
        <v>35356.83</v>
      </c>
      <c r="T1337">
        <f t="shared" si="146"/>
        <v>36.6777777777778</v>
      </c>
      <c r="U1337">
        <f t="shared" si="143"/>
        <v>846</v>
      </c>
      <c r="V1337">
        <f>U1337*1</f>
        <v>846</v>
      </c>
      <c r="W1337">
        <f t="shared" si="144"/>
        <v>343.516666666667</v>
      </c>
      <c r="X1337">
        <f t="shared" si="148"/>
        <v>1.01258968458102</v>
      </c>
      <c r="AH1337" t="str">
        <f t="shared" si="147"/>
        <v>3rd Quality</v>
      </c>
      <c r="AJ1337">
        <f>((T1337-X1337)*2)/16.9</f>
        <v>4.22073231872151</v>
      </c>
      <c r="AK1337">
        <f t="shared" si="145"/>
        <v>13717.4888888889</v>
      </c>
    </row>
    <row r="1338" spans="1:37">
      <c r="A1338" t="s">
        <v>1401</v>
      </c>
      <c r="B1338">
        <v>37</v>
      </c>
      <c r="C1338" t="s">
        <v>50</v>
      </c>
      <c r="D1338" t="s">
        <v>60</v>
      </c>
      <c r="E1338">
        <v>792</v>
      </c>
      <c r="F1338">
        <v>7</v>
      </c>
      <c r="G1338">
        <v>24</v>
      </c>
      <c r="H1338">
        <v>3918.03</v>
      </c>
      <c r="I1338">
        <v>83951.04</v>
      </c>
      <c r="J1338">
        <v>176</v>
      </c>
      <c r="K1338">
        <v>1</v>
      </c>
      <c r="L1338">
        <v>0.1</v>
      </c>
      <c r="M1338">
        <v>31.1</v>
      </c>
      <c r="N1338" t="s">
        <v>52</v>
      </c>
      <c r="O1338" t="s">
        <v>53</v>
      </c>
      <c r="P1338" t="s">
        <v>58</v>
      </c>
      <c r="R1338">
        <f>SUMIF(A1338:A6337,"C01337",I1338:I6337)</f>
        <v>83951.04</v>
      </c>
      <c r="S1338" s="1">
        <v>1613.32</v>
      </c>
      <c r="T1338">
        <f t="shared" si="146"/>
        <v>476.994545454545</v>
      </c>
      <c r="U1338">
        <f t="shared" si="143"/>
        <v>5473.6</v>
      </c>
      <c r="V1338">
        <f>U1338*1</f>
        <v>5473.6</v>
      </c>
      <c r="W1338">
        <f t="shared" si="144"/>
        <v>29290.0233333333</v>
      </c>
      <c r="X1338">
        <f t="shared" si="148"/>
        <v>0.202142403197525</v>
      </c>
      <c r="AH1338" t="str">
        <f t="shared" si="147"/>
        <v>2nd Quality</v>
      </c>
      <c r="AJ1338">
        <f>((T1338-X1338)*2)/0.1</f>
        <v>9535.84806102695</v>
      </c>
      <c r="AK1338">
        <f t="shared" si="145"/>
        <v>377779.68</v>
      </c>
    </row>
    <row r="1339" spans="1:37">
      <c r="A1339" t="s">
        <v>1402</v>
      </c>
      <c r="B1339">
        <v>33</v>
      </c>
      <c r="C1339" t="s">
        <v>44</v>
      </c>
      <c r="D1339" t="s">
        <v>51</v>
      </c>
      <c r="E1339">
        <v>697</v>
      </c>
      <c r="F1339">
        <v>52</v>
      </c>
      <c r="G1339">
        <v>5</v>
      </c>
      <c r="H1339">
        <v>7904.64</v>
      </c>
      <c r="I1339">
        <v>35356.83</v>
      </c>
      <c r="J1339">
        <v>27</v>
      </c>
      <c r="K1339">
        <v>0</v>
      </c>
      <c r="L1339">
        <v>4.9</v>
      </c>
      <c r="M1339">
        <v>26.4</v>
      </c>
      <c r="N1339" t="s">
        <v>52</v>
      </c>
      <c r="O1339" t="s">
        <v>47</v>
      </c>
      <c r="P1339" t="s">
        <v>68</v>
      </c>
      <c r="R1339">
        <f>SUMIF(A1339:A6338,"C01338",I1339:I6338)</f>
        <v>35356.83</v>
      </c>
      <c r="S1339" s="1">
        <v>13873.71</v>
      </c>
      <c r="T1339">
        <f t="shared" si="146"/>
        <v>1309.51222222222</v>
      </c>
      <c r="U1339">
        <f t="shared" si="143"/>
        <v>712.8</v>
      </c>
      <c r="V1339">
        <f t="shared" si="142"/>
        <v>59.4</v>
      </c>
      <c r="W1339">
        <f t="shared" si="144"/>
        <v>14420.8233333333</v>
      </c>
      <c r="X1339">
        <f t="shared" si="148"/>
        <v>0.0881760586187353</v>
      </c>
      <c r="AH1339" t="str">
        <f t="shared" si="147"/>
        <v>2nd Quality</v>
      </c>
      <c r="AJ1339">
        <f>((T1339-X1339)*2)/4.9</f>
        <v>534.45879435249</v>
      </c>
      <c r="AK1339">
        <f t="shared" si="145"/>
        <v>912730.018888889</v>
      </c>
    </row>
    <row r="1340" spans="1:37">
      <c r="A1340" t="s">
        <v>1403</v>
      </c>
      <c r="B1340">
        <v>36</v>
      </c>
      <c r="C1340" t="s">
        <v>44</v>
      </c>
      <c r="D1340" t="s">
        <v>45</v>
      </c>
      <c r="E1340">
        <v>1368</v>
      </c>
      <c r="F1340">
        <v>137</v>
      </c>
      <c r="G1340">
        <v>1</v>
      </c>
      <c r="H1340">
        <v>1527.56</v>
      </c>
      <c r="I1340">
        <v>1613.32</v>
      </c>
      <c r="J1340">
        <v>10</v>
      </c>
      <c r="K1340">
        <v>0</v>
      </c>
      <c r="L1340">
        <v>16.7</v>
      </c>
      <c r="M1340">
        <v>44.2</v>
      </c>
      <c r="N1340" t="s">
        <v>63</v>
      </c>
      <c r="O1340" t="s">
        <v>47</v>
      </c>
      <c r="P1340" t="s">
        <v>68</v>
      </c>
      <c r="R1340">
        <f>SUMIF(A1340:A6339,"C01339",I1340:I6339)</f>
        <v>1613.32</v>
      </c>
      <c r="S1340" s="1">
        <v>78077.75</v>
      </c>
      <c r="T1340">
        <f t="shared" si="146"/>
        <v>161.332</v>
      </c>
      <c r="U1340">
        <f t="shared" si="143"/>
        <v>442</v>
      </c>
      <c r="V1340">
        <f t="shared" si="142"/>
        <v>36.8333333333333</v>
      </c>
      <c r="W1340">
        <f t="shared" si="144"/>
        <v>1047.29333333333</v>
      </c>
      <c r="X1340">
        <f t="shared" si="148"/>
        <v>0.895545837806698</v>
      </c>
      <c r="AH1340" t="str">
        <f t="shared" si="147"/>
        <v>3rd Quality</v>
      </c>
      <c r="AJ1340">
        <f>((T1340-X1340)*2)/16.7</f>
        <v>19.2139466062507</v>
      </c>
      <c r="AK1340">
        <f t="shared" si="145"/>
        <v>220702.176</v>
      </c>
    </row>
    <row r="1341" spans="1:37">
      <c r="A1341" t="s">
        <v>1404</v>
      </c>
      <c r="B1341">
        <v>31</v>
      </c>
      <c r="C1341" t="s">
        <v>50</v>
      </c>
      <c r="D1341" t="s">
        <v>60</v>
      </c>
      <c r="E1341">
        <v>1167</v>
      </c>
      <c r="F1341">
        <v>11</v>
      </c>
      <c r="G1341">
        <v>6</v>
      </c>
      <c r="H1341">
        <v>2257.32</v>
      </c>
      <c r="I1341">
        <v>13873.71</v>
      </c>
      <c r="J1341">
        <v>31</v>
      </c>
      <c r="K1341">
        <v>1</v>
      </c>
      <c r="L1341">
        <v>21.5</v>
      </c>
      <c r="M1341">
        <v>12</v>
      </c>
      <c r="N1341" t="s">
        <v>57</v>
      </c>
      <c r="O1341" t="s">
        <v>47</v>
      </c>
      <c r="P1341" t="s">
        <v>58</v>
      </c>
      <c r="R1341">
        <f>SUMIF(A1341:A6340,"C01340",I1341:I6340)</f>
        <v>13873.71</v>
      </c>
      <c r="S1341" s="1">
        <v>2015.46</v>
      </c>
      <c r="T1341">
        <f t="shared" si="146"/>
        <v>447.539032258064</v>
      </c>
      <c r="U1341">
        <f t="shared" si="143"/>
        <v>372</v>
      </c>
      <c r="V1341">
        <f>U1341*1</f>
        <v>372</v>
      </c>
      <c r="W1341">
        <f t="shared" si="144"/>
        <v>5377.34333333333</v>
      </c>
      <c r="X1341">
        <f t="shared" si="148"/>
        <v>0.516984742969539</v>
      </c>
      <c r="AH1341" t="str">
        <f t="shared" si="147"/>
        <v>3rd Quality</v>
      </c>
      <c r="AJ1341">
        <f>((T1341-X1341)*2)/21.5</f>
        <v>41.5834462804739</v>
      </c>
      <c r="AK1341">
        <f t="shared" si="145"/>
        <v>522278.050645161</v>
      </c>
    </row>
    <row r="1342" spans="1:37">
      <c r="A1342" t="s">
        <v>1405</v>
      </c>
      <c r="B1342">
        <v>42</v>
      </c>
      <c r="C1342" t="s">
        <v>50</v>
      </c>
      <c r="D1342" t="s">
        <v>51</v>
      </c>
      <c r="E1342">
        <v>1088</v>
      </c>
      <c r="F1342">
        <v>6</v>
      </c>
      <c r="G1342">
        <v>31</v>
      </c>
      <c r="H1342">
        <v>2759.39</v>
      </c>
      <c r="I1342">
        <v>78077.75</v>
      </c>
      <c r="J1342">
        <v>260</v>
      </c>
      <c r="K1342">
        <v>2</v>
      </c>
      <c r="L1342">
        <v>0.9</v>
      </c>
      <c r="M1342">
        <v>73.6</v>
      </c>
      <c r="N1342" t="s">
        <v>61</v>
      </c>
      <c r="O1342" t="s">
        <v>47</v>
      </c>
      <c r="P1342" t="s">
        <v>68</v>
      </c>
      <c r="R1342">
        <f>SUMIF(A1342:A6341,"C01341",I1342:I6341)</f>
        <v>78077.75</v>
      </c>
      <c r="S1342" s="1">
        <v>10144.15</v>
      </c>
      <c r="T1342">
        <f t="shared" si="146"/>
        <v>300.299038461538</v>
      </c>
      <c r="U1342">
        <f t="shared" si="143"/>
        <v>19136</v>
      </c>
      <c r="V1342">
        <f>U1342*2</f>
        <v>38272</v>
      </c>
      <c r="W1342">
        <f t="shared" si="144"/>
        <v>26946.0466666667</v>
      </c>
      <c r="X1342">
        <f t="shared" si="148"/>
        <v>0.394290042364436</v>
      </c>
      <c r="AH1342" t="str">
        <f t="shared" si="147"/>
        <v>2nd Quality</v>
      </c>
      <c r="AJ1342">
        <f>((T1342-X1342)*2)/0.9</f>
        <v>666.454996487052</v>
      </c>
      <c r="AK1342">
        <f t="shared" si="145"/>
        <v>326725.353846154</v>
      </c>
    </row>
    <row r="1343" spans="1:37">
      <c r="A1343" t="s">
        <v>1406</v>
      </c>
      <c r="B1343">
        <v>36</v>
      </c>
      <c r="C1343" t="s">
        <v>44</v>
      </c>
      <c r="D1343" t="s">
        <v>51</v>
      </c>
      <c r="E1343">
        <v>1408</v>
      </c>
      <c r="F1343">
        <v>161</v>
      </c>
      <c r="G1343">
        <v>2</v>
      </c>
      <c r="H1343">
        <v>1024.7</v>
      </c>
      <c r="I1343">
        <v>2015.46</v>
      </c>
      <c r="J1343">
        <v>20</v>
      </c>
      <c r="K1343">
        <v>0</v>
      </c>
      <c r="L1343">
        <v>29.7</v>
      </c>
      <c r="M1343">
        <v>28.7</v>
      </c>
      <c r="N1343" t="s">
        <v>61</v>
      </c>
      <c r="O1343" t="s">
        <v>75</v>
      </c>
      <c r="P1343" t="s">
        <v>68</v>
      </c>
      <c r="R1343">
        <f>SUMIF(A1343:A6342,"C01342",I1343:I6342)</f>
        <v>2015.46</v>
      </c>
      <c r="S1343" s="1">
        <v>34541.3</v>
      </c>
      <c r="T1343">
        <f t="shared" si="146"/>
        <v>100.773</v>
      </c>
      <c r="U1343">
        <f t="shared" si="143"/>
        <v>574</v>
      </c>
      <c r="V1343">
        <f t="shared" ref="V1343:V1406" si="149">U1343/12</f>
        <v>47.8333333333333</v>
      </c>
      <c r="W1343">
        <f t="shared" si="144"/>
        <v>1013.72</v>
      </c>
      <c r="X1343">
        <f t="shared" si="148"/>
        <v>1.37406070069289</v>
      </c>
      <c r="AH1343" t="str">
        <f t="shared" si="147"/>
        <v>3rd Quality</v>
      </c>
      <c r="AJ1343">
        <f>((T1343-X1343)*2)/29.7</f>
        <v>6.69353126594661</v>
      </c>
      <c r="AK1343">
        <f t="shared" si="145"/>
        <v>141888.384</v>
      </c>
    </row>
    <row r="1344" spans="1:37">
      <c r="A1344" t="s">
        <v>1407</v>
      </c>
      <c r="B1344">
        <v>35</v>
      </c>
      <c r="C1344" t="s">
        <v>44</v>
      </c>
      <c r="D1344" t="s">
        <v>60</v>
      </c>
      <c r="E1344">
        <v>1398</v>
      </c>
      <c r="F1344">
        <v>68</v>
      </c>
      <c r="G1344">
        <v>10</v>
      </c>
      <c r="H1344">
        <v>916.94</v>
      </c>
      <c r="I1344">
        <v>10144.15</v>
      </c>
      <c r="J1344">
        <v>26</v>
      </c>
      <c r="K1344">
        <v>0</v>
      </c>
      <c r="L1344">
        <v>17.1</v>
      </c>
      <c r="M1344">
        <v>24.5</v>
      </c>
      <c r="N1344" t="s">
        <v>78</v>
      </c>
      <c r="O1344" t="s">
        <v>75</v>
      </c>
      <c r="P1344" t="s">
        <v>58</v>
      </c>
      <c r="R1344">
        <f>SUMIF(A1344:A6343,"C01343",I1344:I6343)</f>
        <v>10144.15</v>
      </c>
      <c r="S1344" s="1">
        <v>859.35</v>
      </c>
      <c r="T1344">
        <f t="shared" si="146"/>
        <v>390.159615384615</v>
      </c>
      <c r="U1344">
        <f t="shared" si="143"/>
        <v>637</v>
      </c>
      <c r="V1344">
        <f t="shared" si="149"/>
        <v>53.0833333333333</v>
      </c>
      <c r="W1344">
        <f t="shared" si="144"/>
        <v>3687.36333333333</v>
      </c>
      <c r="X1344">
        <f t="shared" si="148"/>
        <v>1.52463629026981</v>
      </c>
      <c r="AH1344" t="str">
        <f t="shared" si="147"/>
        <v>3rd Quality</v>
      </c>
      <c r="AJ1344">
        <f>((T1344-X1344)*2)/17.1</f>
        <v>45.4543835198064</v>
      </c>
      <c r="AK1344">
        <f t="shared" si="145"/>
        <v>545443.142307692</v>
      </c>
    </row>
    <row r="1345" spans="1:37">
      <c r="A1345" t="s">
        <v>1408</v>
      </c>
      <c r="B1345">
        <v>34</v>
      </c>
      <c r="C1345" t="s">
        <v>50</v>
      </c>
      <c r="D1345" t="s">
        <v>45</v>
      </c>
      <c r="E1345">
        <v>714</v>
      </c>
      <c r="F1345">
        <v>45</v>
      </c>
      <c r="G1345">
        <v>4</v>
      </c>
      <c r="H1345">
        <v>9631.26</v>
      </c>
      <c r="I1345">
        <v>34541.3</v>
      </c>
      <c r="J1345">
        <v>21</v>
      </c>
      <c r="K1345">
        <v>0</v>
      </c>
      <c r="L1345">
        <v>6.9</v>
      </c>
      <c r="M1345">
        <v>38.9</v>
      </c>
      <c r="N1345" t="s">
        <v>57</v>
      </c>
      <c r="O1345" t="s">
        <v>47</v>
      </c>
      <c r="P1345" t="s">
        <v>58</v>
      </c>
      <c r="R1345">
        <f>SUMIF(A1345:A6344,"C01344",I1345:I6344)</f>
        <v>34541.3</v>
      </c>
      <c r="S1345" s="1">
        <v>81441.75</v>
      </c>
      <c r="T1345">
        <f t="shared" si="146"/>
        <v>1644.82380952381</v>
      </c>
      <c r="U1345">
        <f t="shared" si="143"/>
        <v>816.9</v>
      </c>
      <c r="V1345">
        <f t="shared" si="149"/>
        <v>68.075</v>
      </c>
      <c r="W1345">
        <f t="shared" si="144"/>
        <v>14724.52</v>
      </c>
      <c r="X1345">
        <f t="shared" si="148"/>
        <v>0.0741336024569994</v>
      </c>
      <c r="AH1345" t="str">
        <f t="shared" si="147"/>
        <v>2nd Quality</v>
      </c>
      <c r="AJ1345">
        <f>((T1345-X1345)*2)/6.9</f>
        <v>476.739036498943</v>
      </c>
      <c r="AK1345">
        <f t="shared" si="145"/>
        <v>1174404.2</v>
      </c>
    </row>
    <row r="1346" spans="1:37">
      <c r="A1346" t="s">
        <v>1409</v>
      </c>
      <c r="B1346">
        <v>21</v>
      </c>
      <c r="C1346" t="s">
        <v>44</v>
      </c>
      <c r="D1346" t="s">
        <v>45</v>
      </c>
      <c r="E1346">
        <v>971</v>
      </c>
      <c r="F1346">
        <v>365</v>
      </c>
      <c r="G1346">
        <v>1</v>
      </c>
      <c r="H1346">
        <v>928.63</v>
      </c>
      <c r="I1346">
        <v>859.35</v>
      </c>
      <c r="J1346">
        <v>16</v>
      </c>
      <c r="K1346">
        <v>0</v>
      </c>
      <c r="L1346">
        <v>15.3</v>
      </c>
      <c r="M1346">
        <v>11.7</v>
      </c>
      <c r="N1346" t="s">
        <v>61</v>
      </c>
      <c r="O1346" t="s">
        <v>47</v>
      </c>
      <c r="P1346" t="s">
        <v>58</v>
      </c>
      <c r="R1346">
        <f>SUMIF(A1346:A6345,"C01345",I1346:I6345)</f>
        <v>859.35</v>
      </c>
      <c r="S1346" s="1">
        <v>8783.2</v>
      </c>
      <c r="T1346">
        <f t="shared" si="146"/>
        <v>53.709375</v>
      </c>
      <c r="U1346">
        <f t="shared" si="143"/>
        <v>187.2</v>
      </c>
      <c r="V1346">
        <f t="shared" si="149"/>
        <v>15.6</v>
      </c>
      <c r="W1346">
        <f t="shared" si="144"/>
        <v>596.326666666667</v>
      </c>
      <c r="X1346">
        <f t="shared" si="148"/>
        <v>1.04562635279929</v>
      </c>
      <c r="AH1346" t="str">
        <f t="shared" si="147"/>
        <v>3rd Quality</v>
      </c>
      <c r="AJ1346">
        <f>((T1346-X1346)*2)/15.3</f>
        <v>6.88415014996088</v>
      </c>
      <c r="AK1346">
        <f t="shared" si="145"/>
        <v>52151.803125</v>
      </c>
    </row>
    <row r="1347" spans="1:37">
      <c r="A1347" t="s">
        <v>1410</v>
      </c>
      <c r="B1347">
        <v>36</v>
      </c>
      <c r="C1347" t="s">
        <v>44</v>
      </c>
      <c r="D1347" t="s">
        <v>60</v>
      </c>
      <c r="E1347">
        <v>977</v>
      </c>
      <c r="F1347">
        <v>78</v>
      </c>
      <c r="G1347">
        <v>9</v>
      </c>
      <c r="H1347">
        <v>9295.34</v>
      </c>
      <c r="I1347">
        <v>81441.75</v>
      </c>
      <c r="J1347">
        <v>28</v>
      </c>
      <c r="K1347">
        <v>1</v>
      </c>
      <c r="L1347">
        <v>0</v>
      </c>
      <c r="M1347">
        <v>1.8</v>
      </c>
      <c r="N1347" t="s">
        <v>61</v>
      </c>
      <c r="O1347" t="s">
        <v>53</v>
      </c>
      <c r="P1347" t="s">
        <v>58</v>
      </c>
      <c r="R1347">
        <f>SUMIF(A1347:A6346,"C01346",I1347:I6346)</f>
        <v>81441.75</v>
      </c>
      <c r="S1347" s="1">
        <v>11322.39</v>
      </c>
      <c r="T1347">
        <f t="shared" si="146"/>
        <v>2908.63392857143</v>
      </c>
      <c r="U1347">
        <f t="shared" ref="U1347:U1377" si="150">J1347*M1347</f>
        <v>50.4</v>
      </c>
      <c r="V1347">
        <f>U1347*1</f>
        <v>50.4</v>
      </c>
      <c r="W1347">
        <f t="shared" ref="W1347:W1410" si="151">(H1347+I1347+1)/3</f>
        <v>30246.03</v>
      </c>
      <c r="X1347">
        <f t="shared" si="148"/>
        <v>0.105106429673363</v>
      </c>
      <c r="AH1347" t="str">
        <f t="shared" si="147"/>
        <v>2nd Quality</v>
      </c>
      <c r="AJ1347">
        <f>((T1347-X1347)*2)</f>
        <v>5817.05764428351</v>
      </c>
      <c r="AK1347">
        <f t="shared" ref="AK1347:AK1410" si="152">I1347/J1347*E1347</f>
        <v>2841735.34821429</v>
      </c>
    </row>
    <row r="1348" spans="1:37">
      <c r="A1348" t="s">
        <v>1411</v>
      </c>
      <c r="B1348">
        <v>24</v>
      </c>
      <c r="C1348" t="s">
        <v>44</v>
      </c>
      <c r="D1348" t="s">
        <v>45</v>
      </c>
      <c r="E1348">
        <v>395</v>
      </c>
      <c r="F1348">
        <v>56</v>
      </c>
      <c r="G1348">
        <v>6</v>
      </c>
      <c r="H1348">
        <v>1562.93</v>
      </c>
      <c r="I1348">
        <v>8783.2</v>
      </c>
      <c r="J1348">
        <v>16</v>
      </c>
      <c r="K1348">
        <v>0</v>
      </c>
      <c r="L1348">
        <v>17.2</v>
      </c>
      <c r="M1348">
        <v>13.1</v>
      </c>
      <c r="N1348" t="s">
        <v>81</v>
      </c>
      <c r="O1348" t="s">
        <v>47</v>
      </c>
      <c r="P1348" t="s">
        <v>58</v>
      </c>
      <c r="R1348">
        <f>SUMIF(A1348:A6347,"C01347",I1348:I6347)</f>
        <v>8783.2</v>
      </c>
      <c r="S1348" s="1">
        <v>8814.01</v>
      </c>
      <c r="T1348">
        <f t="shared" si="146"/>
        <v>548.95</v>
      </c>
      <c r="U1348">
        <f t="shared" si="150"/>
        <v>209.6</v>
      </c>
      <c r="V1348">
        <f t="shared" si="149"/>
        <v>17.4666666666667</v>
      </c>
      <c r="W1348">
        <f t="shared" si="151"/>
        <v>3449.04333333333</v>
      </c>
      <c r="X1348">
        <f t="shared" si="148"/>
        <v>0.252730448580551</v>
      </c>
      <c r="AH1348" t="str">
        <f t="shared" si="147"/>
        <v>3rd Quality</v>
      </c>
      <c r="AJ1348">
        <f>((T1348-X1348)*2)/17.2</f>
        <v>63.8020080873744</v>
      </c>
      <c r="AK1348">
        <f t="shared" si="152"/>
        <v>216835.25</v>
      </c>
    </row>
    <row r="1349" spans="1:37">
      <c r="A1349" t="s">
        <v>1412</v>
      </c>
      <c r="B1349">
        <v>44</v>
      </c>
      <c r="C1349" t="s">
        <v>50</v>
      </c>
      <c r="D1349" t="s">
        <v>60</v>
      </c>
      <c r="E1349">
        <v>415</v>
      </c>
      <c r="F1349">
        <v>29</v>
      </c>
      <c r="G1349">
        <v>6</v>
      </c>
      <c r="H1349">
        <v>2055.52</v>
      </c>
      <c r="I1349">
        <v>11322.39</v>
      </c>
      <c r="J1349">
        <v>56</v>
      </c>
      <c r="K1349">
        <v>0</v>
      </c>
      <c r="L1349">
        <v>25.8</v>
      </c>
      <c r="M1349">
        <v>26.4</v>
      </c>
      <c r="N1349" t="s">
        <v>81</v>
      </c>
      <c r="O1349" t="s">
        <v>47</v>
      </c>
      <c r="P1349" t="s">
        <v>68</v>
      </c>
      <c r="R1349">
        <f>SUMIF(A1349:A6348,"C01348",I1349:I6348)</f>
        <v>11322.39</v>
      </c>
      <c r="S1349" s="1">
        <v>69616.54</v>
      </c>
      <c r="T1349">
        <f t="shared" si="146"/>
        <v>202.185535714286</v>
      </c>
      <c r="U1349">
        <f t="shared" si="150"/>
        <v>1478.4</v>
      </c>
      <c r="V1349">
        <f t="shared" si="149"/>
        <v>123.2</v>
      </c>
      <c r="W1349">
        <f t="shared" si="151"/>
        <v>4459.63666666667</v>
      </c>
      <c r="X1349">
        <f t="shared" si="148"/>
        <v>0.201895384136374</v>
      </c>
      <c r="AH1349" t="str">
        <f t="shared" si="147"/>
        <v>3rd Quality</v>
      </c>
      <c r="AJ1349">
        <f>((T1349-X1349)*2)/25.8</f>
        <v>15.6576465372209</v>
      </c>
      <c r="AK1349">
        <f t="shared" si="152"/>
        <v>83906.9973214286</v>
      </c>
    </row>
    <row r="1350" spans="1:37">
      <c r="A1350" t="s">
        <v>1413</v>
      </c>
      <c r="B1350">
        <v>30</v>
      </c>
      <c r="C1350" t="s">
        <v>56</v>
      </c>
      <c r="D1350" t="s">
        <v>60</v>
      </c>
      <c r="E1350">
        <v>739</v>
      </c>
      <c r="F1350">
        <v>8</v>
      </c>
      <c r="G1350">
        <v>8</v>
      </c>
      <c r="H1350">
        <v>989.36</v>
      </c>
      <c r="I1350">
        <v>8814.01</v>
      </c>
      <c r="J1350">
        <v>20</v>
      </c>
      <c r="K1350">
        <v>0</v>
      </c>
      <c r="L1350">
        <v>27.9</v>
      </c>
      <c r="M1350">
        <v>33.8</v>
      </c>
      <c r="N1350" t="s">
        <v>52</v>
      </c>
      <c r="O1350" t="s">
        <v>47</v>
      </c>
      <c r="P1350" t="s">
        <v>58</v>
      </c>
      <c r="R1350">
        <f>SUMIF(A1350:A6349,"C01349",I1350:I6349)</f>
        <v>8814.01</v>
      </c>
      <c r="S1350" s="1">
        <v>1404.1</v>
      </c>
      <c r="T1350">
        <f t="shared" si="146"/>
        <v>440.7005</v>
      </c>
      <c r="U1350">
        <f t="shared" si="150"/>
        <v>676</v>
      </c>
      <c r="V1350">
        <f t="shared" si="149"/>
        <v>56.3333333333333</v>
      </c>
      <c r="W1350">
        <f t="shared" si="151"/>
        <v>3268.12333333333</v>
      </c>
      <c r="X1350">
        <f t="shared" si="148"/>
        <v>0.746947521630145</v>
      </c>
      <c r="AH1350" t="str">
        <f t="shared" si="147"/>
        <v>3rd Quality</v>
      </c>
      <c r="AJ1350">
        <f>((T1350-X1350)*2)/27.9</f>
        <v>31.5378890665498</v>
      </c>
      <c r="AK1350">
        <f t="shared" si="152"/>
        <v>325677.6695</v>
      </c>
    </row>
    <row r="1351" spans="1:37">
      <c r="A1351" t="s">
        <v>1414</v>
      </c>
      <c r="B1351">
        <v>32</v>
      </c>
      <c r="C1351" t="s">
        <v>44</v>
      </c>
      <c r="D1351" t="s">
        <v>45</v>
      </c>
      <c r="E1351">
        <v>371</v>
      </c>
      <c r="F1351">
        <v>3</v>
      </c>
      <c r="G1351">
        <v>25</v>
      </c>
      <c r="H1351">
        <v>2617.3</v>
      </c>
      <c r="I1351">
        <v>69616.54</v>
      </c>
      <c r="J1351">
        <v>132</v>
      </c>
      <c r="K1351">
        <v>0</v>
      </c>
      <c r="L1351">
        <v>0.4</v>
      </c>
      <c r="M1351">
        <v>17.3</v>
      </c>
      <c r="N1351" t="s">
        <v>81</v>
      </c>
      <c r="O1351" t="s">
        <v>75</v>
      </c>
      <c r="P1351" t="s">
        <v>58</v>
      </c>
      <c r="R1351">
        <f>SUMIF(A1351:A6350,"C01350",I1351:I6350)</f>
        <v>69616.54</v>
      </c>
      <c r="S1351" s="1">
        <v>1703.73</v>
      </c>
      <c r="T1351">
        <f t="shared" si="146"/>
        <v>527.39803030303</v>
      </c>
      <c r="U1351">
        <f t="shared" si="150"/>
        <v>2283.6</v>
      </c>
      <c r="V1351">
        <f t="shared" si="149"/>
        <v>190.3</v>
      </c>
      <c r="W1351">
        <f t="shared" si="151"/>
        <v>24078.28</v>
      </c>
      <c r="X1351">
        <f t="shared" si="148"/>
        <v>0.141749130783632</v>
      </c>
      <c r="AH1351" t="str">
        <f t="shared" si="147"/>
        <v>3rd Quality</v>
      </c>
      <c r="AJ1351">
        <f>((T1351-X1351)*2)/0.4</f>
        <v>2636.28140586123</v>
      </c>
      <c r="AK1351">
        <f t="shared" si="152"/>
        <v>195664.669242424</v>
      </c>
    </row>
    <row r="1352" spans="1:37">
      <c r="A1352" t="s">
        <v>1415</v>
      </c>
      <c r="B1352">
        <v>43</v>
      </c>
      <c r="C1352" t="s">
        <v>50</v>
      </c>
      <c r="D1352" t="s">
        <v>60</v>
      </c>
      <c r="E1352">
        <v>1122</v>
      </c>
      <c r="F1352">
        <v>43</v>
      </c>
      <c r="G1352">
        <v>2</v>
      </c>
      <c r="H1352">
        <v>665.45</v>
      </c>
      <c r="I1352">
        <v>1404.1</v>
      </c>
      <c r="J1352">
        <v>12</v>
      </c>
      <c r="K1352">
        <v>0</v>
      </c>
      <c r="L1352">
        <v>23.7</v>
      </c>
      <c r="M1352">
        <v>31.7</v>
      </c>
      <c r="N1352" t="s">
        <v>57</v>
      </c>
      <c r="O1352" t="s">
        <v>47</v>
      </c>
      <c r="P1352" t="s">
        <v>58</v>
      </c>
      <c r="R1352">
        <f>SUMIF(A1352:A6351,"C01351",I1352:I6351)</f>
        <v>1404.1</v>
      </c>
      <c r="S1352" s="1">
        <v>8656.61</v>
      </c>
      <c r="T1352">
        <f t="shared" si="146"/>
        <v>117.008333333333</v>
      </c>
      <c r="U1352">
        <f t="shared" si="150"/>
        <v>380.4</v>
      </c>
      <c r="V1352">
        <f t="shared" si="149"/>
        <v>31.7</v>
      </c>
      <c r="W1352">
        <f t="shared" si="151"/>
        <v>690.183333333333</v>
      </c>
      <c r="X1352">
        <f t="shared" si="148"/>
        <v>1.68607709069051</v>
      </c>
      <c r="AH1352" t="str">
        <f t="shared" si="147"/>
        <v>3rd Quality</v>
      </c>
      <c r="AJ1352">
        <f>((T1352-X1352)*2)/23.7</f>
        <v>9.73183596984325</v>
      </c>
      <c r="AK1352">
        <f t="shared" si="152"/>
        <v>131283.35</v>
      </c>
    </row>
    <row r="1353" spans="1:37">
      <c r="A1353" t="s">
        <v>1416</v>
      </c>
      <c r="B1353">
        <v>28</v>
      </c>
      <c r="C1353" t="s">
        <v>101</v>
      </c>
      <c r="D1353" t="s">
        <v>45</v>
      </c>
      <c r="E1353">
        <v>387</v>
      </c>
      <c r="F1353">
        <v>184</v>
      </c>
      <c r="G1353">
        <v>2</v>
      </c>
      <c r="H1353">
        <v>771.79</v>
      </c>
      <c r="I1353">
        <v>1703.73</v>
      </c>
      <c r="J1353">
        <v>22</v>
      </c>
      <c r="K1353">
        <v>0</v>
      </c>
      <c r="L1353">
        <v>25.9</v>
      </c>
      <c r="M1353">
        <v>42</v>
      </c>
      <c r="N1353" t="s">
        <v>61</v>
      </c>
      <c r="O1353" t="s">
        <v>47</v>
      </c>
      <c r="P1353" t="s">
        <v>66</v>
      </c>
      <c r="R1353">
        <f>SUMIF(A1353:A6352,"C01352",I1353:I6352)</f>
        <v>1703.73</v>
      </c>
      <c r="S1353" s="1">
        <v>11706.64</v>
      </c>
      <c r="T1353">
        <f t="shared" si="146"/>
        <v>77.4422727272727</v>
      </c>
      <c r="U1353">
        <f t="shared" si="150"/>
        <v>924</v>
      </c>
      <c r="V1353">
        <f t="shared" si="149"/>
        <v>77</v>
      </c>
      <c r="W1353">
        <f t="shared" si="151"/>
        <v>825.506666666667</v>
      </c>
      <c r="X1353">
        <f t="shared" si="148"/>
        <v>0.501431736612291</v>
      </c>
      <c r="AH1353" t="str">
        <f t="shared" si="147"/>
        <v>3rd Quality</v>
      </c>
      <c r="AJ1353">
        <f>((T1353-X1353)*2)/25.9</f>
        <v>5.94137768267648</v>
      </c>
      <c r="AK1353">
        <f t="shared" si="152"/>
        <v>29970.1595454545</v>
      </c>
    </row>
    <row r="1354" spans="1:37">
      <c r="A1354" t="s">
        <v>1417</v>
      </c>
      <c r="B1354">
        <v>28</v>
      </c>
      <c r="C1354" t="s">
        <v>44</v>
      </c>
      <c r="D1354" t="s">
        <v>60</v>
      </c>
      <c r="E1354">
        <v>618</v>
      </c>
      <c r="F1354">
        <v>17</v>
      </c>
      <c r="G1354">
        <v>10</v>
      </c>
      <c r="H1354">
        <v>935.96</v>
      </c>
      <c r="I1354">
        <v>8656.61</v>
      </c>
      <c r="J1354">
        <v>37</v>
      </c>
      <c r="K1354">
        <v>0</v>
      </c>
      <c r="L1354">
        <v>30.2</v>
      </c>
      <c r="M1354">
        <v>43.4</v>
      </c>
      <c r="N1354" t="s">
        <v>61</v>
      </c>
      <c r="O1354" t="s">
        <v>47</v>
      </c>
      <c r="P1354" t="s">
        <v>58</v>
      </c>
      <c r="R1354">
        <f>SUMIF(A1354:A6353,"C01353",I1354:I6353)</f>
        <v>8656.61</v>
      </c>
      <c r="S1354" s="1">
        <v>3829.07</v>
      </c>
      <c r="T1354">
        <f t="shared" si="146"/>
        <v>233.962432432432</v>
      </c>
      <c r="U1354">
        <f t="shared" si="150"/>
        <v>1605.8</v>
      </c>
      <c r="V1354">
        <f t="shared" si="149"/>
        <v>133.816666666667</v>
      </c>
      <c r="W1354">
        <f t="shared" si="151"/>
        <v>3197.85666666667</v>
      </c>
      <c r="X1354">
        <f t="shared" si="148"/>
        <v>0.660284627548186</v>
      </c>
      <c r="AH1354" t="str">
        <f t="shared" si="147"/>
        <v>3rd Quality</v>
      </c>
      <c r="AJ1354">
        <f>((T1354-X1354)*2)/30.2</f>
        <v>15.4504733645618</v>
      </c>
      <c r="AK1354">
        <f t="shared" si="152"/>
        <v>144588.783243243</v>
      </c>
    </row>
    <row r="1355" spans="1:37">
      <c r="A1355" t="s">
        <v>1418</v>
      </c>
      <c r="B1355">
        <v>33</v>
      </c>
      <c r="C1355" t="s">
        <v>44</v>
      </c>
      <c r="D1355" t="s">
        <v>60</v>
      </c>
      <c r="E1355">
        <v>476</v>
      </c>
      <c r="F1355">
        <v>17</v>
      </c>
      <c r="G1355">
        <v>18</v>
      </c>
      <c r="H1355">
        <v>594.74</v>
      </c>
      <c r="I1355">
        <v>11706.64</v>
      </c>
      <c r="J1355">
        <v>81</v>
      </c>
      <c r="K1355">
        <v>2</v>
      </c>
      <c r="L1355">
        <v>25.3</v>
      </c>
      <c r="M1355">
        <v>27.6</v>
      </c>
      <c r="N1355" t="s">
        <v>57</v>
      </c>
      <c r="O1355" t="s">
        <v>47</v>
      </c>
      <c r="P1355" t="s">
        <v>58</v>
      </c>
      <c r="R1355">
        <f>SUMIF(A1355:A6354,"C01354",I1355:I6354)</f>
        <v>11706.64</v>
      </c>
      <c r="S1355" s="1">
        <v>60915.51</v>
      </c>
      <c r="T1355">
        <f t="shared" si="146"/>
        <v>144.526419753086</v>
      </c>
      <c r="U1355">
        <f t="shared" si="150"/>
        <v>2235.6</v>
      </c>
      <c r="V1355">
        <f>U1355*2</f>
        <v>4471.2</v>
      </c>
      <c r="W1355">
        <f t="shared" si="151"/>
        <v>4100.79333333333</v>
      </c>
      <c r="X1355">
        <f t="shared" si="148"/>
        <v>0.800349732656287</v>
      </c>
      <c r="AH1355" t="str">
        <f t="shared" si="147"/>
        <v>3rd Quality</v>
      </c>
      <c r="AJ1355">
        <f>((T1355-X1355)*2)/25.3</f>
        <v>11.3617446656466</v>
      </c>
      <c r="AK1355">
        <f t="shared" si="152"/>
        <v>68794.5758024691</v>
      </c>
    </row>
    <row r="1356" spans="1:37">
      <c r="A1356" t="s">
        <v>1419</v>
      </c>
      <c r="B1356">
        <v>45</v>
      </c>
      <c r="C1356" t="s">
        <v>44</v>
      </c>
      <c r="D1356" t="s">
        <v>60</v>
      </c>
      <c r="E1356">
        <v>915</v>
      </c>
      <c r="F1356">
        <v>112</v>
      </c>
      <c r="G1356">
        <v>3</v>
      </c>
      <c r="H1356">
        <v>1143.85</v>
      </c>
      <c r="I1356">
        <v>3829.07</v>
      </c>
      <c r="J1356">
        <v>15</v>
      </c>
      <c r="K1356">
        <v>0</v>
      </c>
      <c r="L1356">
        <v>8</v>
      </c>
      <c r="M1356">
        <v>16.2</v>
      </c>
      <c r="N1356" t="s">
        <v>61</v>
      </c>
      <c r="O1356" t="s">
        <v>47</v>
      </c>
      <c r="P1356" t="s">
        <v>68</v>
      </c>
      <c r="R1356">
        <f>SUMIF(A1356:A6355,"C01355",I1356:I6355)</f>
        <v>3829.07</v>
      </c>
      <c r="S1356" s="1">
        <v>78793.49</v>
      </c>
      <c r="T1356">
        <f t="shared" si="146"/>
        <v>255.271333333333</v>
      </c>
      <c r="U1356">
        <f t="shared" si="150"/>
        <v>243</v>
      </c>
      <c r="V1356">
        <f t="shared" si="149"/>
        <v>20.25</v>
      </c>
      <c r="W1356">
        <f t="shared" si="151"/>
        <v>1657.97333333333</v>
      </c>
      <c r="X1356">
        <f t="shared" si="148"/>
        <v>0.799930060759715</v>
      </c>
      <c r="AH1356" t="str">
        <f t="shared" si="147"/>
        <v>3rd Quality</v>
      </c>
      <c r="AJ1356">
        <f>((T1356-X1356)*2)/8</f>
        <v>63.6178508181433</v>
      </c>
      <c r="AK1356">
        <f t="shared" si="152"/>
        <v>233573.27</v>
      </c>
    </row>
    <row r="1357" spans="1:37">
      <c r="A1357" t="s">
        <v>1420</v>
      </c>
      <c r="B1357">
        <v>42</v>
      </c>
      <c r="C1357" t="s">
        <v>50</v>
      </c>
      <c r="D1357" t="s">
        <v>51</v>
      </c>
      <c r="E1357">
        <v>1323</v>
      </c>
      <c r="F1357">
        <v>9</v>
      </c>
      <c r="G1357">
        <v>19</v>
      </c>
      <c r="H1357">
        <v>3141.01</v>
      </c>
      <c r="I1357">
        <v>60915.51</v>
      </c>
      <c r="J1357">
        <v>87</v>
      </c>
      <c r="K1357">
        <v>1</v>
      </c>
      <c r="L1357">
        <v>12.4</v>
      </c>
      <c r="M1357">
        <v>62.8</v>
      </c>
      <c r="N1357" t="s">
        <v>46</v>
      </c>
      <c r="O1357" t="s">
        <v>47</v>
      </c>
      <c r="P1357" t="s">
        <v>58</v>
      </c>
      <c r="R1357">
        <f>SUMIF(A1357:A6356,"C01356",I1357:I6356)</f>
        <v>60915.51</v>
      </c>
      <c r="S1357" s="1">
        <v>16123.26</v>
      </c>
      <c r="T1357">
        <f t="shared" si="146"/>
        <v>700.178275862069</v>
      </c>
      <c r="U1357">
        <f t="shared" si="150"/>
        <v>5463.6</v>
      </c>
      <c r="V1357">
        <f>U1357*1</f>
        <v>5463.6</v>
      </c>
      <c r="W1357">
        <f t="shared" si="151"/>
        <v>21352.5066666667</v>
      </c>
      <c r="X1357">
        <f t="shared" si="148"/>
        <v>0.421202097414526</v>
      </c>
      <c r="AH1357" t="str">
        <f t="shared" si="147"/>
        <v>2nd Quality</v>
      </c>
      <c r="AJ1357">
        <f>((T1357-X1357)*2)/12.4</f>
        <v>112.864044155589</v>
      </c>
      <c r="AK1357">
        <f t="shared" si="152"/>
        <v>926335.858965517</v>
      </c>
    </row>
    <row r="1358" spans="1:37">
      <c r="A1358" t="s">
        <v>1421</v>
      </c>
      <c r="B1358">
        <v>38</v>
      </c>
      <c r="C1358" t="s">
        <v>101</v>
      </c>
      <c r="D1358" t="s">
        <v>51</v>
      </c>
      <c r="E1358">
        <v>429</v>
      </c>
      <c r="F1358">
        <v>34</v>
      </c>
      <c r="G1358">
        <v>8</v>
      </c>
      <c r="H1358">
        <v>8980.12</v>
      </c>
      <c r="I1358">
        <v>78793.49</v>
      </c>
      <c r="J1358">
        <v>41</v>
      </c>
      <c r="K1358">
        <v>0</v>
      </c>
      <c r="L1358">
        <v>14.9</v>
      </c>
      <c r="M1358">
        <v>20</v>
      </c>
      <c r="N1358" t="s">
        <v>46</v>
      </c>
      <c r="O1358" t="s">
        <v>53</v>
      </c>
      <c r="P1358" t="s">
        <v>68</v>
      </c>
      <c r="R1358">
        <f>SUMIF(A1358:A6357,"C01357",I1358:I6357)</f>
        <v>78793.49</v>
      </c>
      <c r="S1358" s="1">
        <v>5597.18</v>
      </c>
      <c r="T1358">
        <f t="shared" ref="T1358:T1421" si="153">I1358/J1358</f>
        <v>1921.79243902439</v>
      </c>
      <c r="U1358">
        <f t="shared" si="150"/>
        <v>820</v>
      </c>
      <c r="V1358">
        <f t="shared" si="149"/>
        <v>68.3333333333333</v>
      </c>
      <c r="W1358">
        <f t="shared" si="151"/>
        <v>29258.2033333333</v>
      </c>
      <c r="X1358">
        <f t="shared" si="148"/>
        <v>0.0477721901266353</v>
      </c>
      <c r="AH1358" t="str">
        <f t="shared" ref="AH1358:AH1421" si="154">IF(AND(W1358&gt;=12550,B1358&lt;=33,E1358&gt;=915),"1st Quality",IF(AND(W1358&gt;=6275,B1358&lt;=43,E1358&gt;=457),"2nd Quality","3rd Quality"))</f>
        <v>3rd Quality</v>
      </c>
      <c r="AJ1358">
        <f>((T1358-X1358)*2)/14.9</f>
        <v>257.952304273055</v>
      </c>
      <c r="AK1358">
        <f t="shared" si="152"/>
        <v>824448.956341463</v>
      </c>
    </row>
    <row r="1359" spans="1:37">
      <c r="A1359" t="s">
        <v>1422</v>
      </c>
      <c r="B1359">
        <v>18</v>
      </c>
      <c r="C1359" t="s">
        <v>44</v>
      </c>
      <c r="D1359" t="s">
        <v>45</v>
      </c>
      <c r="E1359">
        <v>1069</v>
      </c>
      <c r="F1359">
        <v>41</v>
      </c>
      <c r="G1359">
        <v>9</v>
      </c>
      <c r="H1359">
        <v>1665.14</v>
      </c>
      <c r="I1359">
        <v>16123.26</v>
      </c>
      <c r="J1359">
        <v>62</v>
      </c>
      <c r="K1359">
        <v>1</v>
      </c>
      <c r="L1359">
        <v>23.5</v>
      </c>
      <c r="M1359">
        <v>22.1</v>
      </c>
      <c r="N1359" t="s">
        <v>57</v>
      </c>
      <c r="O1359" t="s">
        <v>47</v>
      </c>
      <c r="P1359" t="s">
        <v>58</v>
      </c>
      <c r="R1359">
        <f>SUMIF(A1359:A6358,"C01358",I1359:I6358)</f>
        <v>16123.26</v>
      </c>
      <c r="S1359" s="1">
        <v>51778.99</v>
      </c>
      <c r="T1359">
        <f t="shared" si="153"/>
        <v>260.052580645161</v>
      </c>
      <c r="U1359">
        <f t="shared" si="150"/>
        <v>1370.2</v>
      </c>
      <c r="V1359">
        <f>U1359*1</f>
        <v>1370.2</v>
      </c>
      <c r="W1359">
        <f t="shared" si="151"/>
        <v>5929.8</v>
      </c>
      <c r="X1359">
        <f t="shared" si="148"/>
        <v>0.641988061063935</v>
      </c>
      <c r="AH1359" t="str">
        <f t="shared" si="154"/>
        <v>3rd Quality</v>
      </c>
      <c r="AJ1359">
        <f>((T1359-X1359)*2)/23.5</f>
        <v>22.0774972411998</v>
      </c>
      <c r="AK1359">
        <f t="shared" si="152"/>
        <v>277996.208709677</v>
      </c>
    </row>
    <row r="1360" spans="1:37">
      <c r="A1360" t="s">
        <v>1423</v>
      </c>
      <c r="B1360">
        <v>44</v>
      </c>
      <c r="C1360" t="s">
        <v>101</v>
      </c>
      <c r="D1360" t="s">
        <v>60</v>
      </c>
      <c r="E1360">
        <v>961</v>
      </c>
      <c r="F1360">
        <v>51</v>
      </c>
      <c r="G1360">
        <v>5</v>
      </c>
      <c r="H1360">
        <v>1170.6</v>
      </c>
      <c r="I1360">
        <v>5597.18</v>
      </c>
      <c r="J1360">
        <v>26</v>
      </c>
      <c r="K1360">
        <v>3</v>
      </c>
      <c r="L1360">
        <v>23.6</v>
      </c>
      <c r="M1360">
        <v>20.3</v>
      </c>
      <c r="N1360" t="s">
        <v>78</v>
      </c>
      <c r="O1360" t="s">
        <v>47</v>
      </c>
      <c r="P1360" t="s">
        <v>58</v>
      </c>
      <c r="R1360">
        <f>SUMIF(A1360:A6359,"C01359",I1360:I6359)</f>
        <v>5597.18</v>
      </c>
      <c r="S1360" s="1">
        <v>969.85</v>
      </c>
      <c r="T1360">
        <f t="shared" si="153"/>
        <v>215.276153846154</v>
      </c>
      <c r="U1360">
        <f t="shared" si="150"/>
        <v>527.8</v>
      </c>
      <c r="V1360">
        <f>U1360*3</f>
        <v>1583.4</v>
      </c>
      <c r="W1360">
        <f t="shared" si="151"/>
        <v>2256.26</v>
      </c>
      <c r="X1360">
        <f t="shared" si="148"/>
        <v>0.820946523150521</v>
      </c>
      <c r="AH1360" t="str">
        <f t="shared" si="154"/>
        <v>3rd Quality</v>
      </c>
      <c r="AJ1360">
        <f>((T1360-X1360)*2)/23.6</f>
        <v>18.1741701121189</v>
      </c>
      <c r="AK1360">
        <f t="shared" si="152"/>
        <v>206880.383846154</v>
      </c>
    </row>
    <row r="1361" spans="1:37">
      <c r="A1361" t="s">
        <v>1424</v>
      </c>
      <c r="B1361">
        <v>23</v>
      </c>
      <c r="C1361" t="s">
        <v>44</v>
      </c>
      <c r="D1361" t="s">
        <v>45</v>
      </c>
      <c r="E1361">
        <v>1350</v>
      </c>
      <c r="F1361">
        <v>19</v>
      </c>
      <c r="G1361">
        <v>20</v>
      </c>
      <c r="H1361">
        <v>2697.49</v>
      </c>
      <c r="I1361">
        <v>51778.99</v>
      </c>
      <c r="J1361">
        <v>125</v>
      </c>
      <c r="K1361">
        <v>2</v>
      </c>
      <c r="L1361">
        <v>14.9</v>
      </c>
      <c r="M1361">
        <v>10.1</v>
      </c>
      <c r="N1361" t="s">
        <v>61</v>
      </c>
      <c r="O1361" t="s">
        <v>47</v>
      </c>
      <c r="P1361" t="s">
        <v>58</v>
      </c>
      <c r="R1361">
        <f>SUMIF(A1361:A6360,"C01360",I1361:I6360)</f>
        <v>51778.99</v>
      </c>
      <c r="S1361" s="1">
        <v>14339.06</v>
      </c>
      <c r="T1361">
        <f t="shared" si="153"/>
        <v>414.23192</v>
      </c>
      <c r="U1361">
        <f t="shared" si="150"/>
        <v>1262.5</v>
      </c>
      <c r="V1361">
        <f>U1361*2</f>
        <v>2525</v>
      </c>
      <c r="W1361">
        <f t="shared" si="151"/>
        <v>18159.16</v>
      </c>
      <c r="X1361">
        <f t="shared" si="148"/>
        <v>0.500465247322511</v>
      </c>
      <c r="AH1361" t="str">
        <f t="shared" si="154"/>
        <v>1st Quality</v>
      </c>
      <c r="AJ1361">
        <f>((T1361-X1361)*2)/14.9</f>
        <v>55.5344234567352</v>
      </c>
      <c r="AK1361">
        <f t="shared" si="152"/>
        <v>559213.092</v>
      </c>
    </row>
    <row r="1362" spans="1:37">
      <c r="A1362" t="s">
        <v>1425</v>
      </c>
      <c r="B1362">
        <v>35</v>
      </c>
      <c r="C1362" t="s">
        <v>44</v>
      </c>
      <c r="D1362" t="s">
        <v>60</v>
      </c>
      <c r="E1362">
        <v>1019</v>
      </c>
      <c r="F1362">
        <v>80</v>
      </c>
      <c r="G1362">
        <v>2</v>
      </c>
      <c r="H1362">
        <v>465.29</v>
      </c>
      <c r="I1362">
        <v>969.85</v>
      </c>
      <c r="J1362">
        <v>17</v>
      </c>
      <c r="K1362">
        <v>0</v>
      </c>
      <c r="L1362">
        <v>30.3</v>
      </c>
      <c r="M1362">
        <v>46.2</v>
      </c>
      <c r="N1362" t="s">
        <v>61</v>
      </c>
      <c r="O1362" t="s">
        <v>53</v>
      </c>
      <c r="P1362" t="s">
        <v>58</v>
      </c>
      <c r="R1362">
        <f>SUMIF(A1362:A6361,"C01361",I1362:I6361)</f>
        <v>969.85</v>
      </c>
      <c r="S1362" s="1">
        <v>18406.6</v>
      </c>
      <c r="T1362">
        <f t="shared" si="153"/>
        <v>57.05</v>
      </c>
      <c r="U1362">
        <f t="shared" si="150"/>
        <v>785.4</v>
      </c>
      <c r="V1362">
        <f t="shared" si="149"/>
        <v>65.45</v>
      </c>
      <c r="W1362">
        <f t="shared" si="151"/>
        <v>478.713333333333</v>
      </c>
      <c r="X1362">
        <f t="shared" si="148"/>
        <v>2.19003202303939</v>
      </c>
      <c r="AH1362" t="str">
        <f t="shared" si="154"/>
        <v>3rd Quality</v>
      </c>
      <c r="AJ1362">
        <f>((T1362-X1362)*2)/30.3</f>
        <v>3.62111999847925</v>
      </c>
      <c r="AK1362">
        <f t="shared" si="152"/>
        <v>58133.95</v>
      </c>
    </row>
    <row r="1363" spans="1:37">
      <c r="A1363" t="s">
        <v>1426</v>
      </c>
      <c r="B1363">
        <v>50</v>
      </c>
      <c r="C1363" t="s">
        <v>44</v>
      </c>
      <c r="D1363" t="s">
        <v>51</v>
      </c>
      <c r="E1363">
        <v>1280</v>
      </c>
      <c r="F1363">
        <v>60</v>
      </c>
      <c r="G1363">
        <v>9</v>
      </c>
      <c r="H1363">
        <v>1573.54</v>
      </c>
      <c r="I1363">
        <v>14339.06</v>
      </c>
      <c r="J1363">
        <v>47</v>
      </c>
      <c r="K1363">
        <v>2</v>
      </c>
      <c r="L1363">
        <v>20.3</v>
      </c>
      <c r="M1363">
        <v>52.7</v>
      </c>
      <c r="N1363" t="s">
        <v>61</v>
      </c>
      <c r="O1363" t="s">
        <v>47</v>
      </c>
      <c r="P1363" t="s">
        <v>68</v>
      </c>
      <c r="R1363">
        <f>SUMIF(A1363:A6362,"C01362",I1363:I6362)</f>
        <v>14339.06</v>
      </c>
      <c r="S1363" s="1">
        <v>62048.3</v>
      </c>
      <c r="T1363">
        <f t="shared" si="153"/>
        <v>305.086382978723</v>
      </c>
      <c r="U1363">
        <f t="shared" si="150"/>
        <v>2476.9</v>
      </c>
      <c r="V1363">
        <f>U1363*2</f>
        <v>4953.8</v>
      </c>
      <c r="W1363">
        <f t="shared" si="151"/>
        <v>5304.53333333333</v>
      </c>
      <c r="X1363">
        <f t="shared" si="148"/>
        <v>0.813452470226369</v>
      </c>
      <c r="AH1363" t="str">
        <f t="shared" si="154"/>
        <v>3rd Quality</v>
      </c>
      <c r="AJ1363">
        <f>((T1363-X1363)*2)/20.3</f>
        <v>29.9776286215268</v>
      </c>
      <c r="AK1363">
        <f t="shared" si="152"/>
        <v>390510.570212766</v>
      </c>
    </row>
    <row r="1364" spans="1:37">
      <c r="A1364" t="s">
        <v>1427</v>
      </c>
      <c r="B1364">
        <v>26</v>
      </c>
      <c r="C1364" t="s">
        <v>44</v>
      </c>
      <c r="D1364" t="s">
        <v>60</v>
      </c>
      <c r="E1364">
        <v>1124</v>
      </c>
      <c r="F1364">
        <v>28</v>
      </c>
      <c r="G1364">
        <v>2</v>
      </c>
      <c r="H1364">
        <v>9464.66</v>
      </c>
      <c r="I1364">
        <v>18406.6</v>
      </c>
      <c r="J1364">
        <v>23</v>
      </c>
      <c r="K1364">
        <v>0</v>
      </c>
      <c r="L1364">
        <v>12.3</v>
      </c>
      <c r="M1364">
        <v>40.2</v>
      </c>
      <c r="N1364" t="s">
        <v>61</v>
      </c>
      <c r="O1364" t="s">
        <v>47</v>
      </c>
      <c r="P1364" t="s">
        <v>58</v>
      </c>
      <c r="R1364">
        <f>SUMIF(A1364:A6363,"C01363",I1364:I6363)</f>
        <v>18406.6</v>
      </c>
      <c r="S1364" s="1">
        <v>13305.57</v>
      </c>
      <c r="T1364">
        <f t="shared" si="153"/>
        <v>800.286956521739</v>
      </c>
      <c r="U1364">
        <f t="shared" si="150"/>
        <v>924.6</v>
      </c>
      <c r="V1364">
        <f t="shared" si="149"/>
        <v>77.05</v>
      </c>
      <c r="W1364">
        <f t="shared" si="151"/>
        <v>9290.75333333333</v>
      </c>
      <c r="X1364">
        <f t="shared" si="148"/>
        <v>0.11875756762525</v>
      </c>
      <c r="AH1364" t="str">
        <f t="shared" si="154"/>
        <v>2nd Quality</v>
      </c>
      <c r="AJ1364">
        <f>((T1364-X1364)*2)/12.3</f>
        <v>130.108650236441</v>
      </c>
      <c r="AK1364">
        <f t="shared" si="152"/>
        <v>899522.539130435</v>
      </c>
    </row>
    <row r="1365" spans="1:37">
      <c r="A1365" t="s">
        <v>1428</v>
      </c>
      <c r="B1365">
        <v>43</v>
      </c>
      <c r="C1365" t="s">
        <v>50</v>
      </c>
      <c r="D1365" t="s">
        <v>45</v>
      </c>
      <c r="E1365">
        <v>1204</v>
      </c>
      <c r="F1365">
        <v>5</v>
      </c>
      <c r="G1365">
        <v>24</v>
      </c>
      <c r="H1365">
        <v>2900.67</v>
      </c>
      <c r="I1365">
        <v>62048.3</v>
      </c>
      <c r="J1365">
        <v>57</v>
      </c>
      <c r="K1365">
        <v>1</v>
      </c>
      <c r="L1365">
        <v>9</v>
      </c>
      <c r="M1365">
        <v>53.5</v>
      </c>
      <c r="N1365" t="s">
        <v>78</v>
      </c>
      <c r="O1365" t="s">
        <v>53</v>
      </c>
      <c r="P1365" t="s">
        <v>66</v>
      </c>
      <c r="R1365">
        <f>SUMIF(A1365:A6364,"C01364",I1365:I6364)</f>
        <v>62048.3</v>
      </c>
      <c r="S1365" s="1">
        <v>61117.56</v>
      </c>
      <c r="T1365">
        <f t="shared" si="153"/>
        <v>1088.56666666667</v>
      </c>
      <c r="U1365">
        <f t="shared" si="150"/>
        <v>3049.5</v>
      </c>
      <c r="V1365">
        <f>U1365*1</f>
        <v>3049.5</v>
      </c>
      <c r="W1365">
        <f t="shared" si="151"/>
        <v>21649.99</v>
      </c>
      <c r="X1365">
        <f t="shared" si="148"/>
        <v>0.415076516804738</v>
      </c>
      <c r="AH1365" t="str">
        <f t="shared" si="154"/>
        <v>2nd Quality</v>
      </c>
      <c r="AJ1365">
        <f>((T1365-X1365)*2)/9</f>
        <v>241.811464477748</v>
      </c>
      <c r="AK1365">
        <f t="shared" si="152"/>
        <v>1310634.26666667</v>
      </c>
    </row>
    <row r="1366" spans="1:37">
      <c r="A1366" t="s">
        <v>1429</v>
      </c>
      <c r="B1366">
        <v>31</v>
      </c>
      <c r="C1366" t="s">
        <v>50</v>
      </c>
      <c r="D1366" t="s">
        <v>60</v>
      </c>
      <c r="E1366">
        <v>899</v>
      </c>
      <c r="F1366">
        <v>24</v>
      </c>
      <c r="G1366">
        <v>7</v>
      </c>
      <c r="H1366">
        <v>2146.56</v>
      </c>
      <c r="I1366">
        <v>13305.57</v>
      </c>
      <c r="J1366">
        <v>54</v>
      </c>
      <c r="K1366">
        <v>0</v>
      </c>
      <c r="L1366">
        <v>22.6</v>
      </c>
      <c r="M1366">
        <v>31.2</v>
      </c>
      <c r="N1366" t="s">
        <v>52</v>
      </c>
      <c r="O1366" t="s">
        <v>47</v>
      </c>
      <c r="P1366" t="s">
        <v>58</v>
      </c>
      <c r="R1366">
        <f>SUMIF(A1366:A6365,"C01365",I1366:I6365)</f>
        <v>13305.57</v>
      </c>
      <c r="S1366" s="1">
        <v>62241.19</v>
      </c>
      <c r="T1366">
        <f t="shared" si="153"/>
        <v>246.399444444444</v>
      </c>
      <c r="U1366">
        <f t="shared" si="150"/>
        <v>1684.8</v>
      </c>
      <c r="V1366">
        <f t="shared" si="149"/>
        <v>140.4</v>
      </c>
      <c r="W1366">
        <f t="shared" si="151"/>
        <v>5151.04333333333</v>
      </c>
      <c r="X1366">
        <f t="shared" si="148"/>
        <v>0.418809630292188</v>
      </c>
      <c r="AH1366" t="str">
        <f t="shared" si="154"/>
        <v>3rd Quality</v>
      </c>
      <c r="AJ1366">
        <f>((T1366-X1366)*2)/22.6</f>
        <v>21.7681977711639</v>
      </c>
      <c r="AK1366">
        <f t="shared" si="152"/>
        <v>221513.100555556</v>
      </c>
    </row>
    <row r="1367" spans="1:37">
      <c r="A1367" t="s">
        <v>1430</v>
      </c>
      <c r="B1367">
        <v>18</v>
      </c>
      <c r="C1367" t="s">
        <v>44</v>
      </c>
      <c r="D1367" t="s">
        <v>45</v>
      </c>
      <c r="E1367">
        <v>755</v>
      </c>
      <c r="F1367">
        <v>13</v>
      </c>
      <c r="G1367">
        <v>6</v>
      </c>
      <c r="H1367">
        <v>11274.01</v>
      </c>
      <c r="I1367">
        <v>61117.56</v>
      </c>
      <c r="J1367">
        <v>23</v>
      </c>
      <c r="K1367">
        <v>0</v>
      </c>
      <c r="L1367">
        <v>12</v>
      </c>
      <c r="M1367">
        <v>42.4</v>
      </c>
      <c r="N1367" t="s">
        <v>52</v>
      </c>
      <c r="O1367" t="s">
        <v>53</v>
      </c>
      <c r="P1367" t="s">
        <v>58</v>
      </c>
      <c r="R1367">
        <f>SUMIF(A1367:A6366,"C01366",I1367:I6366)</f>
        <v>61117.56</v>
      </c>
      <c r="S1367" s="1">
        <v>45290.24</v>
      </c>
      <c r="T1367">
        <f t="shared" si="153"/>
        <v>2657.2852173913</v>
      </c>
      <c r="U1367">
        <f t="shared" si="150"/>
        <v>975.2</v>
      </c>
      <c r="V1367">
        <f t="shared" si="149"/>
        <v>81.2666666666667</v>
      </c>
      <c r="W1367">
        <f t="shared" si="151"/>
        <v>24130.8566666667</v>
      </c>
      <c r="X1367">
        <f t="shared" si="148"/>
        <v>0.0669681861201117</v>
      </c>
      <c r="AH1367" t="str">
        <f t="shared" si="154"/>
        <v>2nd Quality</v>
      </c>
      <c r="AJ1367">
        <f>((T1367-X1367)*2)/12</f>
        <v>442.869708200863</v>
      </c>
      <c r="AK1367">
        <f t="shared" si="152"/>
        <v>2006250.33913043</v>
      </c>
    </row>
    <row r="1368" spans="1:37">
      <c r="A1368" t="s">
        <v>1431</v>
      </c>
      <c r="B1368">
        <v>43</v>
      </c>
      <c r="C1368" t="s">
        <v>44</v>
      </c>
      <c r="D1368" t="s">
        <v>60</v>
      </c>
      <c r="E1368">
        <v>928</v>
      </c>
      <c r="F1368">
        <v>2</v>
      </c>
      <c r="G1368">
        <v>19</v>
      </c>
      <c r="H1368">
        <v>3352.99</v>
      </c>
      <c r="I1368">
        <v>62241.19</v>
      </c>
      <c r="J1368">
        <v>101</v>
      </c>
      <c r="K1368">
        <v>1</v>
      </c>
      <c r="L1368">
        <v>5.5</v>
      </c>
      <c r="M1368">
        <v>42.8</v>
      </c>
      <c r="N1368" t="s">
        <v>57</v>
      </c>
      <c r="O1368" t="s">
        <v>47</v>
      </c>
      <c r="P1368" t="s">
        <v>58</v>
      </c>
      <c r="R1368">
        <f>SUMIF(A1368:A6367,"C01367",I1368:I6367)</f>
        <v>62241.19</v>
      </c>
      <c r="S1368" s="1">
        <v>121391.33</v>
      </c>
      <c r="T1368">
        <f t="shared" si="153"/>
        <v>616.249405940594</v>
      </c>
      <c r="U1368">
        <f t="shared" si="150"/>
        <v>4322.8</v>
      </c>
      <c r="V1368">
        <f>U1368*1</f>
        <v>4322.8</v>
      </c>
      <c r="W1368">
        <f t="shared" si="151"/>
        <v>21865.06</v>
      </c>
      <c r="X1368">
        <f t="shared" si="148"/>
        <v>0.276767899695496</v>
      </c>
      <c r="AH1368" t="str">
        <f t="shared" si="154"/>
        <v>2nd Quality</v>
      </c>
      <c r="AJ1368">
        <f>((T1368-X1368)*2)/5.5</f>
        <v>223.99005019669</v>
      </c>
      <c r="AK1368">
        <f t="shared" si="152"/>
        <v>571879.448712871</v>
      </c>
    </row>
    <row r="1369" spans="1:37">
      <c r="A1369" t="s">
        <v>1432</v>
      </c>
      <c r="B1369">
        <v>31</v>
      </c>
      <c r="C1369" t="s">
        <v>44</v>
      </c>
      <c r="D1369" t="s">
        <v>51</v>
      </c>
      <c r="E1369">
        <v>516</v>
      </c>
      <c r="F1369">
        <v>10</v>
      </c>
      <c r="G1369">
        <v>15</v>
      </c>
      <c r="H1369">
        <v>3405.62</v>
      </c>
      <c r="I1369">
        <v>45290.24</v>
      </c>
      <c r="J1369">
        <v>38</v>
      </c>
      <c r="K1369">
        <v>1</v>
      </c>
      <c r="L1369">
        <v>0.9</v>
      </c>
      <c r="M1369">
        <v>31.3</v>
      </c>
      <c r="N1369" t="s">
        <v>52</v>
      </c>
      <c r="O1369" t="s">
        <v>47</v>
      </c>
      <c r="P1369" t="s">
        <v>48</v>
      </c>
      <c r="R1369">
        <f>SUMIF(A1369:A6368,"C01368",I1369:I6368)</f>
        <v>45290.24</v>
      </c>
      <c r="S1369" s="1">
        <v>9244.06</v>
      </c>
      <c r="T1369">
        <f t="shared" si="153"/>
        <v>1191.84842105263</v>
      </c>
      <c r="U1369">
        <f t="shared" si="150"/>
        <v>1189.4</v>
      </c>
      <c r="V1369">
        <f>U1369*1</f>
        <v>1189.4</v>
      </c>
      <c r="W1369">
        <f t="shared" si="151"/>
        <v>16232.2866666667</v>
      </c>
      <c r="X1369">
        <f t="shared" si="148"/>
        <v>0.151514261720333</v>
      </c>
      <c r="AH1369" t="str">
        <f t="shared" si="154"/>
        <v>2nd Quality</v>
      </c>
      <c r="AJ1369">
        <f>((T1369-X1369)*2)/0.9</f>
        <v>2648.21534842424</v>
      </c>
      <c r="AK1369">
        <f t="shared" si="152"/>
        <v>614993.785263158</v>
      </c>
    </row>
    <row r="1370" spans="1:37">
      <c r="A1370" t="s">
        <v>1433</v>
      </c>
      <c r="B1370">
        <v>27</v>
      </c>
      <c r="C1370" t="s">
        <v>44</v>
      </c>
      <c r="D1370" t="s">
        <v>60</v>
      </c>
      <c r="E1370">
        <v>1146</v>
      </c>
      <c r="F1370">
        <v>3</v>
      </c>
      <c r="G1370">
        <v>30</v>
      </c>
      <c r="H1370">
        <v>4419.56</v>
      </c>
      <c r="I1370">
        <v>121391.33</v>
      </c>
      <c r="J1370">
        <v>190</v>
      </c>
      <c r="K1370">
        <v>1</v>
      </c>
      <c r="L1370">
        <v>11.3</v>
      </c>
      <c r="M1370">
        <v>42.2</v>
      </c>
      <c r="N1370" t="s">
        <v>81</v>
      </c>
      <c r="O1370" t="s">
        <v>75</v>
      </c>
      <c r="P1370" t="s">
        <v>66</v>
      </c>
      <c r="R1370">
        <f>SUMIF(A1370:A6369,"C01369",I1370:I6369)</f>
        <v>121391.33</v>
      </c>
      <c r="S1370" s="1">
        <v>54314.28</v>
      </c>
      <c r="T1370">
        <f t="shared" si="153"/>
        <v>638.901736842105</v>
      </c>
      <c r="U1370">
        <f t="shared" si="150"/>
        <v>8018</v>
      </c>
      <c r="V1370">
        <f>U1370*1</f>
        <v>8018</v>
      </c>
      <c r="W1370">
        <f t="shared" si="151"/>
        <v>41937.2966666667</v>
      </c>
      <c r="X1370">
        <f t="shared" si="148"/>
        <v>0.259301830951497</v>
      </c>
      <c r="AH1370" t="str">
        <f t="shared" si="154"/>
        <v>1st Quality</v>
      </c>
      <c r="AJ1370">
        <f>((T1370-X1370)*2)/11.3</f>
        <v>113.034059294009</v>
      </c>
      <c r="AK1370">
        <f t="shared" si="152"/>
        <v>732181.390421053</v>
      </c>
    </row>
    <row r="1371" spans="1:37">
      <c r="A1371" t="s">
        <v>1434</v>
      </c>
      <c r="B1371">
        <v>43</v>
      </c>
      <c r="C1371" t="s">
        <v>44</v>
      </c>
      <c r="D1371" t="s">
        <v>45</v>
      </c>
      <c r="E1371">
        <v>482</v>
      </c>
      <c r="F1371">
        <v>9</v>
      </c>
      <c r="G1371">
        <v>8</v>
      </c>
      <c r="H1371">
        <v>1038.81</v>
      </c>
      <c r="I1371">
        <v>9244.06</v>
      </c>
      <c r="J1371">
        <v>41</v>
      </c>
      <c r="K1371">
        <v>0</v>
      </c>
      <c r="L1371">
        <v>32.9</v>
      </c>
      <c r="M1371">
        <v>38.4</v>
      </c>
      <c r="N1371" t="s">
        <v>52</v>
      </c>
      <c r="O1371" t="s">
        <v>47</v>
      </c>
      <c r="P1371" t="s">
        <v>66</v>
      </c>
      <c r="R1371">
        <f>SUMIF(A1371:A6370,"C01370",I1371:I6370)</f>
        <v>9244.06</v>
      </c>
      <c r="S1371" s="1">
        <v>1717</v>
      </c>
      <c r="T1371">
        <f t="shared" si="153"/>
        <v>225.46487804878</v>
      </c>
      <c r="U1371">
        <f t="shared" si="150"/>
        <v>1574.4</v>
      </c>
      <c r="V1371">
        <f t="shared" si="149"/>
        <v>131.2</v>
      </c>
      <c r="W1371">
        <f t="shared" si="151"/>
        <v>3427.95666666667</v>
      </c>
      <c r="X1371">
        <f t="shared" si="148"/>
        <v>0.463992452902841</v>
      </c>
      <c r="AH1371" t="str">
        <f t="shared" si="154"/>
        <v>3rd Quality</v>
      </c>
      <c r="AJ1371">
        <f>((T1371-X1371)*2)/32.9</f>
        <v>13.6778653857676</v>
      </c>
      <c r="AK1371">
        <f t="shared" si="152"/>
        <v>108674.071219512</v>
      </c>
    </row>
    <row r="1372" spans="1:37">
      <c r="A1372" t="s">
        <v>1435</v>
      </c>
      <c r="B1372">
        <v>37</v>
      </c>
      <c r="C1372" t="s">
        <v>50</v>
      </c>
      <c r="D1372" t="s">
        <v>45</v>
      </c>
      <c r="E1372">
        <v>1387</v>
      </c>
      <c r="F1372">
        <v>16</v>
      </c>
      <c r="G1372">
        <v>24</v>
      </c>
      <c r="H1372">
        <v>2290.26</v>
      </c>
      <c r="I1372">
        <v>54314.28</v>
      </c>
      <c r="J1372">
        <v>57</v>
      </c>
      <c r="K1372">
        <v>1</v>
      </c>
      <c r="L1372">
        <v>0</v>
      </c>
      <c r="M1372">
        <v>26.1</v>
      </c>
      <c r="N1372" t="s">
        <v>57</v>
      </c>
      <c r="O1372" t="s">
        <v>47</v>
      </c>
      <c r="P1372" t="s">
        <v>58</v>
      </c>
      <c r="R1372">
        <f>SUMIF(A1372:A6371,"C01371",I1372:I6371)</f>
        <v>54314.28</v>
      </c>
      <c r="S1372" s="1">
        <v>6389.16</v>
      </c>
      <c r="T1372">
        <f t="shared" si="153"/>
        <v>952.882105263158</v>
      </c>
      <c r="U1372">
        <f t="shared" si="150"/>
        <v>1487.7</v>
      </c>
      <c r="V1372">
        <f>U1372*1</f>
        <v>1487.7</v>
      </c>
      <c r="W1372">
        <f t="shared" si="151"/>
        <v>18868.5133333333</v>
      </c>
      <c r="X1372">
        <f t="shared" si="148"/>
        <v>0.605608096897295</v>
      </c>
      <c r="AH1372" t="str">
        <f t="shared" si="154"/>
        <v>2nd Quality</v>
      </c>
      <c r="AJ1372">
        <f>((T1372-X1372)*2)</f>
        <v>1904.55299433252</v>
      </c>
      <c r="AK1372">
        <f t="shared" si="152"/>
        <v>1321647.48</v>
      </c>
    </row>
    <row r="1373" spans="1:37">
      <c r="A1373" t="s">
        <v>1436</v>
      </c>
      <c r="B1373">
        <v>26</v>
      </c>
      <c r="C1373" t="s">
        <v>44</v>
      </c>
      <c r="D1373" t="s">
        <v>45</v>
      </c>
      <c r="E1373">
        <v>397</v>
      </c>
      <c r="F1373">
        <v>365</v>
      </c>
      <c r="G1373">
        <v>1</v>
      </c>
      <c r="H1373">
        <v>1555.28</v>
      </c>
      <c r="I1373">
        <v>1717</v>
      </c>
      <c r="J1373">
        <v>11</v>
      </c>
      <c r="K1373">
        <v>0</v>
      </c>
      <c r="L1373">
        <v>22.1</v>
      </c>
      <c r="M1373">
        <v>34.5</v>
      </c>
      <c r="N1373" t="s">
        <v>81</v>
      </c>
      <c r="O1373" t="s">
        <v>47</v>
      </c>
      <c r="P1373" t="s">
        <v>48</v>
      </c>
      <c r="R1373">
        <f>SUMIF(A1373:A6372,"C01372",I1373:I6372)</f>
        <v>1717</v>
      </c>
      <c r="S1373" s="1">
        <v>1614.19</v>
      </c>
      <c r="T1373">
        <f t="shared" si="153"/>
        <v>156.090909090909</v>
      </c>
      <c r="U1373">
        <f t="shared" si="150"/>
        <v>379.5</v>
      </c>
      <c r="V1373">
        <f t="shared" si="149"/>
        <v>31.625</v>
      </c>
      <c r="W1373">
        <f t="shared" si="151"/>
        <v>1091.09333333333</v>
      </c>
      <c r="X1373">
        <f t="shared" si="148"/>
        <v>0.25525950311198</v>
      </c>
      <c r="AH1373" t="str">
        <f t="shared" si="154"/>
        <v>3rd Quality</v>
      </c>
      <c r="AJ1373">
        <f>((T1373-X1373)*2)/22.1</f>
        <v>14.1027737183527</v>
      </c>
      <c r="AK1373">
        <f t="shared" si="152"/>
        <v>61968.0909090909</v>
      </c>
    </row>
    <row r="1374" spans="1:37">
      <c r="A1374" t="s">
        <v>1437</v>
      </c>
      <c r="B1374">
        <v>18</v>
      </c>
      <c r="C1374" t="s">
        <v>44</v>
      </c>
      <c r="D1374" t="s">
        <v>45</v>
      </c>
      <c r="E1374">
        <v>492</v>
      </c>
      <c r="F1374">
        <v>17</v>
      </c>
      <c r="G1374">
        <v>8</v>
      </c>
      <c r="H1374">
        <v>862.85</v>
      </c>
      <c r="I1374">
        <v>6389.16</v>
      </c>
      <c r="J1374">
        <v>47</v>
      </c>
      <c r="K1374">
        <v>0</v>
      </c>
      <c r="L1374">
        <v>22.2</v>
      </c>
      <c r="M1374">
        <v>32</v>
      </c>
      <c r="N1374" t="s">
        <v>52</v>
      </c>
      <c r="O1374" t="s">
        <v>47</v>
      </c>
      <c r="P1374" t="s">
        <v>48</v>
      </c>
      <c r="R1374">
        <f>SUMIF(A1374:A6373,"C01373",I1374:I6373)</f>
        <v>6389.16</v>
      </c>
      <c r="S1374" s="1">
        <v>3672.55</v>
      </c>
      <c r="T1374">
        <f t="shared" si="153"/>
        <v>135.939574468085</v>
      </c>
      <c r="U1374">
        <f t="shared" si="150"/>
        <v>1504</v>
      </c>
      <c r="V1374">
        <f t="shared" si="149"/>
        <v>125.333333333333</v>
      </c>
      <c r="W1374">
        <f t="shared" si="151"/>
        <v>2417.67</v>
      </c>
      <c r="X1374">
        <f t="shared" si="148"/>
        <v>0.570203395723475</v>
      </c>
      <c r="AH1374" t="str">
        <f t="shared" si="154"/>
        <v>3rd Quality</v>
      </c>
      <c r="AJ1374">
        <f>((T1374-X1374)*2)/22.2</f>
        <v>12.1954388353479</v>
      </c>
      <c r="AK1374">
        <f t="shared" si="152"/>
        <v>66882.2706382979</v>
      </c>
    </row>
    <row r="1375" spans="1:37">
      <c r="A1375" t="s">
        <v>1438</v>
      </c>
      <c r="B1375">
        <v>32</v>
      </c>
      <c r="C1375" t="s">
        <v>50</v>
      </c>
      <c r="D1375" t="s">
        <v>51</v>
      </c>
      <c r="E1375">
        <v>563</v>
      </c>
      <c r="F1375">
        <v>365</v>
      </c>
      <c r="G1375">
        <v>2</v>
      </c>
      <c r="H1375">
        <v>835.46</v>
      </c>
      <c r="I1375">
        <v>1614.19</v>
      </c>
      <c r="J1375">
        <v>13</v>
      </c>
      <c r="K1375">
        <v>0</v>
      </c>
      <c r="L1375">
        <v>25.3</v>
      </c>
      <c r="M1375">
        <v>33.1</v>
      </c>
      <c r="N1375" t="s">
        <v>78</v>
      </c>
      <c r="O1375" t="s">
        <v>47</v>
      </c>
      <c r="P1375" t="s">
        <v>58</v>
      </c>
      <c r="R1375">
        <f>SUMIF(A1375:A6374,"C01374",I1375:I6374)</f>
        <v>1614.19</v>
      </c>
      <c r="S1375" s="1">
        <v>87098.32</v>
      </c>
      <c r="T1375">
        <f t="shared" si="153"/>
        <v>124.168461538462</v>
      </c>
      <c r="U1375">
        <f t="shared" si="150"/>
        <v>430.3</v>
      </c>
      <c r="V1375">
        <f t="shared" si="149"/>
        <v>35.8583333333333</v>
      </c>
      <c r="W1375">
        <f t="shared" si="151"/>
        <v>816.883333333333</v>
      </c>
      <c r="X1375">
        <f t="shared" si="148"/>
        <v>0.673880257582649</v>
      </c>
      <c r="AH1375" t="str">
        <f t="shared" si="154"/>
        <v>3rd Quality</v>
      </c>
      <c r="AJ1375">
        <f>((T1375-X1375)*2)/25.3</f>
        <v>9.76241749255963</v>
      </c>
      <c r="AK1375">
        <f t="shared" si="152"/>
        <v>69906.8438461538</v>
      </c>
    </row>
    <row r="1376" spans="1:37">
      <c r="A1376" t="s">
        <v>1439</v>
      </c>
      <c r="B1376">
        <v>30</v>
      </c>
      <c r="C1376" t="s">
        <v>44</v>
      </c>
      <c r="D1376" t="s">
        <v>60</v>
      </c>
      <c r="E1376">
        <v>570</v>
      </c>
      <c r="F1376">
        <v>334</v>
      </c>
      <c r="G1376">
        <v>2</v>
      </c>
      <c r="H1376">
        <v>1763.8</v>
      </c>
      <c r="I1376">
        <v>3672.55</v>
      </c>
      <c r="J1376">
        <v>23</v>
      </c>
      <c r="K1376">
        <v>0</v>
      </c>
      <c r="L1376">
        <v>12.5</v>
      </c>
      <c r="M1376">
        <v>58.8</v>
      </c>
      <c r="N1376" t="s">
        <v>52</v>
      </c>
      <c r="O1376" t="s">
        <v>47</v>
      </c>
      <c r="P1376" t="s">
        <v>58</v>
      </c>
      <c r="R1376">
        <f>SUMIF(A1376:A6375,"C01375",I1376:I6375)</f>
        <v>3672.55</v>
      </c>
      <c r="S1376" s="1">
        <v>34712.31</v>
      </c>
      <c r="T1376">
        <f t="shared" si="153"/>
        <v>159.676086956522</v>
      </c>
      <c r="U1376">
        <f t="shared" si="150"/>
        <v>1352.4</v>
      </c>
      <c r="V1376">
        <f t="shared" si="149"/>
        <v>112.7</v>
      </c>
      <c r="W1376">
        <f t="shared" si="151"/>
        <v>1812.45</v>
      </c>
      <c r="X1376">
        <f t="shared" si="148"/>
        <v>0.32316589182447</v>
      </c>
      <c r="AH1376" t="str">
        <f t="shared" si="154"/>
        <v>3rd Quality</v>
      </c>
      <c r="AJ1376">
        <f>((T1376-X1376)*2)/12.5</f>
        <v>25.4964673703516</v>
      </c>
      <c r="AK1376">
        <f t="shared" si="152"/>
        <v>91015.3695652174</v>
      </c>
    </row>
    <row r="1377" spans="1:37">
      <c r="A1377" t="s">
        <v>1440</v>
      </c>
      <c r="B1377">
        <v>34</v>
      </c>
      <c r="C1377" t="s">
        <v>56</v>
      </c>
      <c r="D1377" t="s">
        <v>60</v>
      </c>
      <c r="E1377">
        <v>390</v>
      </c>
      <c r="F1377">
        <v>10</v>
      </c>
      <c r="G1377">
        <v>25</v>
      </c>
      <c r="H1377">
        <v>3117.42</v>
      </c>
      <c r="I1377">
        <v>87098.32</v>
      </c>
      <c r="J1377">
        <v>160</v>
      </c>
      <c r="K1377">
        <v>2</v>
      </c>
      <c r="L1377">
        <v>15.3</v>
      </c>
      <c r="M1377">
        <v>15.3</v>
      </c>
      <c r="N1377" t="s">
        <v>63</v>
      </c>
      <c r="O1377" t="s">
        <v>75</v>
      </c>
      <c r="P1377" t="s">
        <v>58</v>
      </c>
      <c r="R1377">
        <f>SUMIF(A1377:A6376,"C01376",I1377:I6376)</f>
        <v>87098.32</v>
      </c>
      <c r="S1377" s="1">
        <v>3493.57</v>
      </c>
      <c r="T1377">
        <f t="shared" si="153"/>
        <v>544.3645</v>
      </c>
      <c r="U1377">
        <f t="shared" si="150"/>
        <v>2448</v>
      </c>
      <c r="V1377">
        <f>U1377*2</f>
        <v>4896</v>
      </c>
      <c r="W1377">
        <f t="shared" si="151"/>
        <v>30072.2466666667</v>
      </c>
      <c r="X1377">
        <f t="shared" si="148"/>
        <v>0.125103450930577</v>
      </c>
      <c r="AH1377" t="str">
        <f t="shared" si="154"/>
        <v>3rd Quality</v>
      </c>
      <c r="AJ1377">
        <f>((T1377-X1377)*2)/15.3</f>
        <v>71.1424047776561</v>
      </c>
      <c r="AK1377">
        <f t="shared" si="152"/>
        <v>212302.155</v>
      </c>
    </row>
    <row r="1378" spans="1:37">
      <c r="A1378" t="s">
        <v>1441</v>
      </c>
      <c r="B1378">
        <v>37</v>
      </c>
      <c r="C1378" t="s">
        <v>50</v>
      </c>
      <c r="D1378" t="s">
        <v>60</v>
      </c>
      <c r="E1378">
        <v>1444</v>
      </c>
      <c r="F1378">
        <v>4</v>
      </c>
      <c r="G1378">
        <v>4</v>
      </c>
      <c r="H1378">
        <v>8280.91</v>
      </c>
      <c r="I1378">
        <v>34712.31</v>
      </c>
      <c r="J1378">
        <v>26</v>
      </c>
      <c r="K1378">
        <v>0</v>
      </c>
      <c r="L1378">
        <v>10.8</v>
      </c>
      <c r="M1378">
        <v>27</v>
      </c>
      <c r="N1378" t="s">
        <v>46</v>
      </c>
      <c r="O1378" t="s">
        <v>47</v>
      </c>
      <c r="P1378" t="s">
        <v>68</v>
      </c>
      <c r="R1378">
        <f>SUMIF(A1378:A6377,"C01377",I1378:I6377)</f>
        <v>34712.31</v>
      </c>
      <c r="S1378" s="1">
        <v>60561.24</v>
      </c>
      <c r="T1378">
        <f t="shared" si="153"/>
        <v>1335.08884615385</v>
      </c>
      <c r="U1378">
        <f t="shared" ref="U1378:U1441" si="155">J1378*M1378</f>
        <v>702</v>
      </c>
      <c r="V1378">
        <f t="shared" si="149"/>
        <v>58.5</v>
      </c>
      <c r="W1378">
        <f t="shared" si="151"/>
        <v>14331.4066666667</v>
      </c>
      <c r="X1378">
        <f t="shared" si="148"/>
        <v>0.174376970646946</v>
      </c>
      <c r="AH1378" t="str">
        <f t="shared" si="154"/>
        <v>2nd Quality</v>
      </c>
      <c r="AJ1378">
        <f>((T1378-X1378)*2)/10.8</f>
        <v>247.206383182075</v>
      </c>
      <c r="AK1378">
        <f t="shared" si="152"/>
        <v>1927868.29384615</v>
      </c>
    </row>
    <row r="1379" spans="1:37">
      <c r="A1379" t="s">
        <v>1442</v>
      </c>
      <c r="B1379">
        <v>44</v>
      </c>
      <c r="C1379" t="s">
        <v>50</v>
      </c>
      <c r="D1379" t="s">
        <v>60</v>
      </c>
      <c r="E1379">
        <v>1120</v>
      </c>
      <c r="F1379">
        <v>279</v>
      </c>
      <c r="G1379">
        <v>1</v>
      </c>
      <c r="H1379">
        <v>3186.02</v>
      </c>
      <c r="I1379">
        <v>3493.57</v>
      </c>
      <c r="J1379">
        <v>18</v>
      </c>
      <c r="K1379">
        <v>0</v>
      </c>
      <c r="L1379">
        <v>9.7</v>
      </c>
      <c r="M1379">
        <v>28.5</v>
      </c>
      <c r="N1379" t="s">
        <v>46</v>
      </c>
      <c r="O1379" t="s">
        <v>47</v>
      </c>
      <c r="P1379" t="s">
        <v>58</v>
      </c>
      <c r="R1379">
        <f>SUMIF(A1379:A6378,"C01378",I1379:I6378)</f>
        <v>3493.57</v>
      </c>
      <c r="S1379" s="1">
        <v>12398.22</v>
      </c>
      <c r="T1379">
        <f t="shared" si="153"/>
        <v>194.087222222222</v>
      </c>
      <c r="U1379">
        <f t="shared" si="155"/>
        <v>513</v>
      </c>
      <c r="V1379">
        <f t="shared" si="149"/>
        <v>42.75</v>
      </c>
      <c r="W1379">
        <f t="shared" si="151"/>
        <v>2226.86333333333</v>
      </c>
      <c r="X1379">
        <f t="shared" si="148"/>
        <v>0.351535771903503</v>
      </c>
      <c r="AH1379" t="str">
        <f t="shared" si="154"/>
        <v>3rd Quality</v>
      </c>
      <c r="AJ1379">
        <f>((T1379-X1379)*2)/9.7</f>
        <v>39.9455023608904</v>
      </c>
      <c r="AK1379">
        <f t="shared" si="152"/>
        <v>217377.688888889</v>
      </c>
    </row>
    <row r="1380" spans="1:37">
      <c r="A1380" t="s">
        <v>1443</v>
      </c>
      <c r="B1380">
        <v>44</v>
      </c>
      <c r="C1380" t="s">
        <v>44</v>
      </c>
      <c r="D1380" t="s">
        <v>60</v>
      </c>
      <c r="E1380">
        <v>697</v>
      </c>
      <c r="F1380">
        <v>10</v>
      </c>
      <c r="G1380">
        <v>5</v>
      </c>
      <c r="H1380">
        <v>13581.97</v>
      </c>
      <c r="I1380">
        <v>60561.24</v>
      </c>
      <c r="J1380">
        <v>32</v>
      </c>
      <c r="K1380">
        <v>1</v>
      </c>
      <c r="L1380">
        <v>8.1</v>
      </c>
      <c r="M1380">
        <v>38.2</v>
      </c>
      <c r="N1380" t="s">
        <v>63</v>
      </c>
      <c r="O1380" t="s">
        <v>47</v>
      </c>
      <c r="P1380" t="s">
        <v>66</v>
      </c>
      <c r="R1380">
        <f>SUMIF(A1380:A6379,"C01379",I1380:I6379)</f>
        <v>60561.24</v>
      </c>
      <c r="S1380" s="1">
        <v>13743.61</v>
      </c>
      <c r="T1380">
        <f t="shared" si="153"/>
        <v>1892.53875</v>
      </c>
      <c r="U1380">
        <f t="shared" si="155"/>
        <v>1222.4</v>
      </c>
      <c r="V1380">
        <f>U1380*1</f>
        <v>1222.4</v>
      </c>
      <c r="W1380">
        <f t="shared" si="151"/>
        <v>24714.7366666667</v>
      </c>
      <c r="X1380">
        <f t="shared" si="148"/>
        <v>0.0513180341290696</v>
      </c>
      <c r="AH1380" t="str">
        <f t="shared" si="154"/>
        <v>3rd Quality</v>
      </c>
      <c r="AJ1380">
        <f>((T1380-X1380)*2)/8.1</f>
        <v>467.28084739898</v>
      </c>
      <c r="AK1380">
        <f t="shared" si="152"/>
        <v>1319099.50875</v>
      </c>
    </row>
    <row r="1381" spans="1:37">
      <c r="A1381" t="s">
        <v>1444</v>
      </c>
      <c r="B1381">
        <v>68</v>
      </c>
      <c r="C1381" t="s">
        <v>44</v>
      </c>
      <c r="D1381" t="s">
        <v>51</v>
      </c>
      <c r="E1381">
        <v>794</v>
      </c>
      <c r="F1381">
        <v>14</v>
      </c>
      <c r="G1381">
        <v>10</v>
      </c>
      <c r="H1381">
        <v>1301.08</v>
      </c>
      <c r="I1381">
        <v>12398.22</v>
      </c>
      <c r="J1381">
        <v>59</v>
      </c>
      <c r="K1381">
        <v>1</v>
      </c>
      <c r="L1381">
        <v>31.6</v>
      </c>
      <c r="M1381">
        <v>24.8</v>
      </c>
      <c r="N1381" t="s">
        <v>63</v>
      </c>
      <c r="O1381" t="s">
        <v>47</v>
      </c>
      <c r="P1381" t="s">
        <v>48</v>
      </c>
      <c r="R1381">
        <f>SUMIF(A1381:A6380,"C01380",I1381:I6380)</f>
        <v>12398.22</v>
      </c>
      <c r="S1381" s="1">
        <v>152006.42</v>
      </c>
      <c r="T1381">
        <f t="shared" si="153"/>
        <v>210.139322033898</v>
      </c>
      <c r="U1381">
        <f t="shared" si="155"/>
        <v>1463.2</v>
      </c>
      <c r="V1381">
        <f>U1381*1</f>
        <v>1463.2</v>
      </c>
      <c r="W1381">
        <f t="shared" si="151"/>
        <v>4566.76666666667</v>
      </c>
      <c r="X1381">
        <f t="shared" si="148"/>
        <v>0.610262243674486</v>
      </c>
      <c r="AH1381" t="str">
        <f t="shared" si="154"/>
        <v>3rd Quality</v>
      </c>
      <c r="AJ1381">
        <f>((T1381-X1381)*2)/31.6</f>
        <v>13.2613328981154</v>
      </c>
      <c r="AK1381">
        <f t="shared" si="152"/>
        <v>166850.621694915</v>
      </c>
    </row>
    <row r="1382" spans="1:37">
      <c r="A1382" t="s">
        <v>1445</v>
      </c>
      <c r="B1382">
        <v>38</v>
      </c>
      <c r="C1382" t="s">
        <v>50</v>
      </c>
      <c r="D1382" t="s">
        <v>60</v>
      </c>
      <c r="E1382">
        <v>617</v>
      </c>
      <c r="F1382">
        <v>51</v>
      </c>
      <c r="G1382">
        <v>9</v>
      </c>
      <c r="H1382">
        <v>1398.58</v>
      </c>
      <c r="I1382">
        <v>13743.61</v>
      </c>
      <c r="J1382">
        <v>63</v>
      </c>
      <c r="K1382">
        <v>0</v>
      </c>
      <c r="L1382">
        <v>26.9</v>
      </c>
      <c r="M1382">
        <v>37.6</v>
      </c>
      <c r="N1382" t="s">
        <v>63</v>
      </c>
      <c r="O1382" t="s">
        <v>53</v>
      </c>
      <c r="P1382" t="s">
        <v>58</v>
      </c>
      <c r="R1382">
        <f>SUMIF(A1382:A6381,"C01381",I1382:I6381)</f>
        <v>13743.61</v>
      </c>
      <c r="S1382" s="1">
        <v>28019.69</v>
      </c>
      <c r="T1382">
        <f t="shared" si="153"/>
        <v>218.15253968254</v>
      </c>
      <c r="U1382">
        <f t="shared" si="155"/>
        <v>2368.8</v>
      </c>
      <c r="V1382">
        <f t="shared" si="149"/>
        <v>197.4</v>
      </c>
      <c r="W1382">
        <f t="shared" si="151"/>
        <v>5047.73</v>
      </c>
      <c r="X1382">
        <f t="shared" si="148"/>
        <v>0.441161749774772</v>
      </c>
      <c r="AH1382" t="str">
        <f t="shared" si="154"/>
        <v>3rd Quality</v>
      </c>
      <c r="AJ1382">
        <f>((T1382-X1382)*2)/26.9</f>
        <v>16.1867195489045</v>
      </c>
      <c r="AK1382">
        <f t="shared" si="152"/>
        <v>134600.116984127</v>
      </c>
    </row>
    <row r="1383" spans="1:37">
      <c r="A1383" t="s">
        <v>1446</v>
      </c>
      <c r="B1383">
        <v>23</v>
      </c>
      <c r="C1383" t="s">
        <v>50</v>
      </c>
      <c r="D1383" t="s">
        <v>45</v>
      </c>
      <c r="E1383">
        <v>946</v>
      </c>
      <c r="F1383">
        <v>33</v>
      </c>
      <c r="G1383">
        <v>28</v>
      </c>
      <c r="H1383">
        <v>5398.72</v>
      </c>
      <c r="I1383">
        <v>152006.42</v>
      </c>
      <c r="J1383">
        <v>232</v>
      </c>
      <c r="K1383">
        <v>3</v>
      </c>
      <c r="L1383">
        <v>0</v>
      </c>
      <c r="M1383">
        <v>10.8</v>
      </c>
      <c r="N1383" t="s">
        <v>52</v>
      </c>
      <c r="O1383" t="s">
        <v>53</v>
      </c>
      <c r="P1383" t="s">
        <v>68</v>
      </c>
      <c r="R1383">
        <f>SUMIF(A1383:A6382,"C01382",I1383:I6382)</f>
        <v>152006.42</v>
      </c>
      <c r="S1383" s="1">
        <v>2169.04</v>
      </c>
      <c r="T1383">
        <f t="shared" si="153"/>
        <v>655.200086206897</v>
      </c>
      <c r="U1383">
        <f t="shared" si="155"/>
        <v>2505.6</v>
      </c>
      <c r="V1383">
        <f>U1383*3</f>
        <v>7516.8</v>
      </c>
      <c r="W1383">
        <f t="shared" si="151"/>
        <v>52468.7133333333</v>
      </c>
      <c r="X1383">
        <f t="shared" si="148"/>
        <v>0.1752267204078</v>
      </c>
      <c r="AH1383" t="str">
        <f t="shared" si="154"/>
        <v>1st Quality</v>
      </c>
      <c r="AJ1383">
        <f>((T1383-X1383)*2)</f>
        <v>1310.04971897298</v>
      </c>
      <c r="AK1383">
        <f t="shared" si="152"/>
        <v>619819.281551724</v>
      </c>
    </row>
    <row r="1384" spans="1:37">
      <c r="A1384" t="s">
        <v>1447</v>
      </c>
      <c r="B1384">
        <v>35</v>
      </c>
      <c r="C1384" t="s">
        <v>50</v>
      </c>
      <c r="D1384" t="s">
        <v>45</v>
      </c>
      <c r="E1384">
        <v>802</v>
      </c>
      <c r="F1384">
        <v>32</v>
      </c>
      <c r="G1384">
        <v>4</v>
      </c>
      <c r="H1384">
        <v>7607.7</v>
      </c>
      <c r="I1384">
        <v>28019.69</v>
      </c>
      <c r="J1384">
        <v>32</v>
      </c>
      <c r="K1384">
        <v>1</v>
      </c>
      <c r="L1384">
        <v>10.5</v>
      </c>
      <c r="M1384">
        <v>19.7</v>
      </c>
      <c r="N1384" t="s">
        <v>63</v>
      </c>
      <c r="O1384" t="s">
        <v>47</v>
      </c>
      <c r="P1384" t="s">
        <v>68</v>
      </c>
      <c r="R1384">
        <f>SUMIF(A1384:A6383,"C01383",I1384:I6383)</f>
        <v>28019.69</v>
      </c>
      <c r="S1384" s="1">
        <v>1968.11</v>
      </c>
      <c r="T1384">
        <f t="shared" si="153"/>
        <v>875.6153125</v>
      </c>
      <c r="U1384">
        <f t="shared" si="155"/>
        <v>630.4</v>
      </c>
      <c r="V1384">
        <f>U1384*1</f>
        <v>630.4</v>
      </c>
      <c r="W1384">
        <f t="shared" si="151"/>
        <v>11876.13</v>
      </c>
      <c r="X1384">
        <f t="shared" si="148"/>
        <v>0.105419509181487</v>
      </c>
      <c r="AH1384" t="str">
        <f t="shared" si="154"/>
        <v>2nd Quality</v>
      </c>
      <c r="AJ1384">
        <f>((T1384-X1384)*2)/10.5</f>
        <v>166.763789141108</v>
      </c>
      <c r="AK1384">
        <f t="shared" si="152"/>
        <v>702243.480625</v>
      </c>
    </row>
    <row r="1385" spans="1:37">
      <c r="A1385" t="s">
        <v>1448</v>
      </c>
      <c r="B1385">
        <v>29</v>
      </c>
      <c r="C1385" t="s">
        <v>44</v>
      </c>
      <c r="D1385" t="s">
        <v>45</v>
      </c>
      <c r="E1385">
        <v>892</v>
      </c>
      <c r="F1385">
        <v>365</v>
      </c>
      <c r="G1385">
        <v>2</v>
      </c>
      <c r="H1385">
        <v>1177.86</v>
      </c>
      <c r="I1385">
        <v>2169.04</v>
      </c>
      <c r="J1385">
        <v>15</v>
      </c>
      <c r="K1385">
        <v>0</v>
      </c>
      <c r="L1385">
        <v>8.3</v>
      </c>
      <c r="M1385">
        <v>27.6</v>
      </c>
      <c r="N1385" t="s">
        <v>61</v>
      </c>
      <c r="O1385" t="s">
        <v>47</v>
      </c>
      <c r="P1385" t="s">
        <v>48</v>
      </c>
      <c r="R1385">
        <f>SUMIF(A1385:A6384,"C01384",I1385:I6384)</f>
        <v>2169.04</v>
      </c>
      <c r="S1385" s="1">
        <v>79065.24</v>
      </c>
      <c r="T1385">
        <f t="shared" si="153"/>
        <v>144.602666666667</v>
      </c>
      <c r="U1385">
        <f t="shared" si="155"/>
        <v>414</v>
      </c>
      <c r="V1385">
        <f t="shared" si="149"/>
        <v>34.5</v>
      </c>
      <c r="W1385">
        <f t="shared" si="151"/>
        <v>1115.96666666667</v>
      </c>
      <c r="X1385">
        <f t="shared" si="148"/>
        <v>0.757305622060347</v>
      </c>
      <c r="AH1385" t="str">
        <f t="shared" si="154"/>
        <v>3rd Quality</v>
      </c>
      <c r="AJ1385">
        <f>((T1385-X1385)*2)/8.3</f>
        <v>34.6615327818329</v>
      </c>
      <c r="AK1385">
        <f t="shared" si="152"/>
        <v>128985.578666667</v>
      </c>
    </row>
    <row r="1386" spans="1:37">
      <c r="A1386" t="s">
        <v>1449</v>
      </c>
      <c r="B1386">
        <v>22</v>
      </c>
      <c r="C1386" t="s">
        <v>50</v>
      </c>
      <c r="D1386" t="s">
        <v>60</v>
      </c>
      <c r="E1386">
        <v>806</v>
      </c>
      <c r="F1386">
        <v>365</v>
      </c>
      <c r="G1386">
        <v>1</v>
      </c>
      <c r="H1386">
        <v>1853.08</v>
      </c>
      <c r="I1386">
        <v>1968.11</v>
      </c>
      <c r="J1386">
        <v>13</v>
      </c>
      <c r="K1386">
        <v>0</v>
      </c>
      <c r="L1386">
        <v>18.5</v>
      </c>
      <c r="M1386">
        <v>44.8</v>
      </c>
      <c r="N1386" t="s">
        <v>46</v>
      </c>
      <c r="O1386" t="s">
        <v>47</v>
      </c>
      <c r="P1386" t="s">
        <v>68</v>
      </c>
      <c r="R1386">
        <f>SUMIF(A1386:A6385,"C01385",I1386:I6385)</f>
        <v>1968.11</v>
      </c>
      <c r="S1386" s="1">
        <v>6136.85</v>
      </c>
      <c r="T1386">
        <f t="shared" si="153"/>
        <v>151.393076923077</v>
      </c>
      <c r="U1386">
        <f t="shared" si="155"/>
        <v>582.4</v>
      </c>
      <c r="V1386">
        <f t="shared" si="149"/>
        <v>48.5333333333333</v>
      </c>
      <c r="W1386">
        <f t="shared" si="151"/>
        <v>1274.06333333333</v>
      </c>
      <c r="X1386">
        <f t="shared" si="148"/>
        <v>0.43495154013858</v>
      </c>
      <c r="AH1386" t="str">
        <f t="shared" si="154"/>
        <v>3rd Quality</v>
      </c>
      <c r="AJ1386">
        <f>((T1386-X1386)*2)/18.5</f>
        <v>16.319797338696</v>
      </c>
      <c r="AK1386">
        <f t="shared" si="152"/>
        <v>122022.82</v>
      </c>
    </row>
    <row r="1387" spans="1:37">
      <c r="A1387" t="s">
        <v>1450</v>
      </c>
      <c r="B1387">
        <v>29</v>
      </c>
      <c r="C1387" t="s">
        <v>44</v>
      </c>
      <c r="D1387" t="s">
        <v>51</v>
      </c>
      <c r="E1387">
        <v>679</v>
      </c>
      <c r="F1387">
        <v>2</v>
      </c>
      <c r="G1387">
        <v>23</v>
      </c>
      <c r="H1387">
        <v>3745.05</v>
      </c>
      <c r="I1387">
        <v>79065.24</v>
      </c>
      <c r="J1387">
        <v>76</v>
      </c>
      <c r="K1387">
        <v>1</v>
      </c>
      <c r="L1387">
        <v>3.8</v>
      </c>
      <c r="M1387">
        <v>67.7</v>
      </c>
      <c r="N1387" t="s">
        <v>52</v>
      </c>
      <c r="O1387" t="s">
        <v>47</v>
      </c>
      <c r="P1387" t="s">
        <v>58</v>
      </c>
      <c r="R1387">
        <f>SUMIF(A1387:A6386,"C01386",I1387:I6386)</f>
        <v>79065.24</v>
      </c>
      <c r="S1387" s="1">
        <v>11953.18</v>
      </c>
      <c r="T1387">
        <f t="shared" si="153"/>
        <v>1040.33210526316</v>
      </c>
      <c r="U1387">
        <f t="shared" si="155"/>
        <v>5145.2</v>
      </c>
      <c r="V1387">
        <f>U1387*1</f>
        <v>5145.2</v>
      </c>
      <c r="W1387">
        <f t="shared" si="151"/>
        <v>27603.7633333333</v>
      </c>
      <c r="X1387">
        <f t="shared" si="148"/>
        <v>0.181305990574225</v>
      </c>
      <c r="AH1387" t="str">
        <f t="shared" si="154"/>
        <v>2nd Quality</v>
      </c>
      <c r="AJ1387">
        <f>((T1387-X1387)*2)/3.8</f>
        <v>547.447789090835</v>
      </c>
      <c r="AK1387">
        <f t="shared" si="152"/>
        <v>706385.499473684</v>
      </c>
    </row>
    <row r="1388" spans="1:37">
      <c r="A1388" t="s">
        <v>1451</v>
      </c>
      <c r="B1388">
        <v>58</v>
      </c>
      <c r="C1388" t="s">
        <v>44</v>
      </c>
      <c r="D1388" t="s">
        <v>60</v>
      </c>
      <c r="E1388">
        <v>920</v>
      </c>
      <c r="F1388">
        <v>136</v>
      </c>
      <c r="G1388">
        <v>6</v>
      </c>
      <c r="H1388">
        <v>1023.38</v>
      </c>
      <c r="I1388">
        <v>6136.85</v>
      </c>
      <c r="J1388">
        <v>49</v>
      </c>
      <c r="K1388">
        <v>1</v>
      </c>
      <c r="L1388">
        <v>31.8</v>
      </c>
      <c r="M1388">
        <v>15.4</v>
      </c>
      <c r="N1388" t="s">
        <v>46</v>
      </c>
      <c r="O1388" t="s">
        <v>47</v>
      </c>
      <c r="P1388" t="s">
        <v>68</v>
      </c>
      <c r="R1388">
        <f>SUMIF(A1388:A6387,"C01387",I1388:I6387)</f>
        <v>6136.85</v>
      </c>
      <c r="S1388" s="1">
        <v>1196.82</v>
      </c>
      <c r="T1388">
        <f t="shared" si="153"/>
        <v>125.241836734694</v>
      </c>
      <c r="U1388">
        <f t="shared" si="155"/>
        <v>754.6</v>
      </c>
      <c r="V1388">
        <f>U1388*1</f>
        <v>754.6</v>
      </c>
      <c r="W1388">
        <f t="shared" si="151"/>
        <v>2387.07666666667</v>
      </c>
      <c r="X1388">
        <f t="shared" si="148"/>
        <v>0.898981805389982</v>
      </c>
      <c r="AH1388" t="str">
        <f t="shared" si="154"/>
        <v>3rd Quality</v>
      </c>
      <c r="AJ1388">
        <f>((T1388-X1388)*2)/31.8</f>
        <v>7.82030534146566</v>
      </c>
      <c r="AK1388">
        <f t="shared" si="152"/>
        <v>115222.489795918</v>
      </c>
    </row>
    <row r="1389" spans="1:37">
      <c r="A1389" t="s">
        <v>1452</v>
      </c>
      <c r="B1389">
        <v>30</v>
      </c>
      <c r="C1389" t="s">
        <v>50</v>
      </c>
      <c r="D1389" t="s">
        <v>60</v>
      </c>
      <c r="E1389">
        <v>494</v>
      </c>
      <c r="F1389">
        <v>82</v>
      </c>
      <c r="G1389">
        <v>7</v>
      </c>
      <c r="H1389">
        <v>1849.03</v>
      </c>
      <c r="I1389">
        <v>11953.18</v>
      </c>
      <c r="J1389">
        <v>28</v>
      </c>
      <c r="K1389">
        <v>1</v>
      </c>
      <c r="L1389">
        <v>17.3</v>
      </c>
      <c r="M1389">
        <v>37.9</v>
      </c>
      <c r="N1389" t="s">
        <v>61</v>
      </c>
      <c r="O1389" t="s">
        <v>47</v>
      </c>
      <c r="P1389" t="s">
        <v>68</v>
      </c>
      <c r="R1389">
        <f>SUMIF(A1389:A6388,"C01388",I1389:I6388)</f>
        <v>11953.18</v>
      </c>
      <c r="S1389" s="1">
        <v>56654.32</v>
      </c>
      <c r="T1389">
        <f t="shared" si="153"/>
        <v>426.899285714286</v>
      </c>
      <c r="U1389">
        <f t="shared" si="155"/>
        <v>1061.2</v>
      </c>
      <c r="V1389">
        <f>U1389*1</f>
        <v>1061.2</v>
      </c>
      <c r="W1389">
        <f t="shared" si="151"/>
        <v>4601.07</v>
      </c>
      <c r="X1389">
        <f t="shared" si="148"/>
        <v>0.267167109241062</v>
      </c>
      <c r="AH1389" t="str">
        <f t="shared" si="154"/>
        <v>3rd Quality</v>
      </c>
      <c r="AJ1389">
        <f>((T1389-X1389)*2)/17.3</f>
        <v>49.3216322086757</v>
      </c>
      <c r="AK1389">
        <f t="shared" si="152"/>
        <v>210888.247142857</v>
      </c>
    </row>
    <row r="1390" spans="1:37">
      <c r="A1390" t="s">
        <v>1453</v>
      </c>
      <c r="B1390">
        <v>48</v>
      </c>
      <c r="C1390" t="s">
        <v>44</v>
      </c>
      <c r="D1390" t="s">
        <v>45</v>
      </c>
      <c r="E1390">
        <v>977</v>
      </c>
      <c r="F1390">
        <v>365</v>
      </c>
      <c r="G1390">
        <v>1</v>
      </c>
      <c r="H1390">
        <v>1286.92</v>
      </c>
      <c r="I1390">
        <v>1196.82</v>
      </c>
      <c r="J1390">
        <v>7</v>
      </c>
      <c r="K1390">
        <v>0</v>
      </c>
      <c r="L1390">
        <v>9.7</v>
      </c>
      <c r="M1390">
        <v>28.3</v>
      </c>
      <c r="N1390" t="s">
        <v>63</v>
      </c>
      <c r="O1390" t="s">
        <v>75</v>
      </c>
      <c r="P1390" t="s">
        <v>58</v>
      </c>
      <c r="R1390">
        <f>SUMIF(A1390:A6389,"C01389",I1390:I6389)</f>
        <v>1196.82</v>
      </c>
      <c r="S1390" s="1">
        <v>1236.59</v>
      </c>
      <c r="T1390">
        <f t="shared" si="153"/>
        <v>170.974285714286</v>
      </c>
      <c r="U1390">
        <f t="shared" si="155"/>
        <v>198.1</v>
      </c>
      <c r="V1390">
        <f>U1390/12</f>
        <v>16.5083333333333</v>
      </c>
      <c r="W1390">
        <f t="shared" si="151"/>
        <v>828.246666666667</v>
      </c>
      <c r="X1390">
        <f t="shared" si="148"/>
        <v>0.759176949616138</v>
      </c>
      <c r="AH1390" t="str">
        <f t="shared" si="154"/>
        <v>3rd Quality</v>
      </c>
      <c r="AJ1390">
        <f>((T1390-X1390)*2)/9.7</f>
        <v>35.0958987143649</v>
      </c>
      <c r="AK1390">
        <f t="shared" si="152"/>
        <v>167041.877142857</v>
      </c>
    </row>
    <row r="1391" spans="1:37">
      <c r="A1391" t="s">
        <v>1454</v>
      </c>
      <c r="B1391">
        <v>45</v>
      </c>
      <c r="C1391" t="s">
        <v>50</v>
      </c>
      <c r="D1391" t="s">
        <v>60</v>
      </c>
      <c r="E1391">
        <v>961</v>
      </c>
      <c r="F1391">
        <v>22</v>
      </c>
      <c r="G1391">
        <v>31</v>
      </c>
      <c r="H1391">
        <v>1873.75</v>
      </c>
      <c r="I1391">
        <v>56654.32</v>
      </c>
      <c r="J1391">
        <v>69</v>
      </c>
      <c r="K1391">
        <v>2</v>
      </c>
      <c r="L1391">
        <v>11.2</v>
      </c>
      <c r="M1391">
        <v>47.9</v>
      </c>
      <c r="N1391" t="s">
        <v>46</v>
      </c>
      <c r="O1391" t="s">
        <v>47</v>
      </c>
      <c r="P1391" t="s">
        <v>58</v>
      </c>
      <c r="R1391">
        <f>SUMIF(A1391:A6390,"C01390",I1391:I6390)</f>
        <v>56654.32</v>
      </c>
      <c r="S1391" s="1">
        <v>4403.5</v>
      </c>
      <c r="T1391">
        <f t="shared" si="153"/>
        <v>821.077101449275</v>
      </c>
      <c r="U1391">
        <f t="shared" si="155"/>
        <v>3305.1</v>
      </c>
      <c r="V1391">
        <f>U1391*2</f>
        <v>6610.2</v>
      </c>
      <c r="W1391">
        <f t="shared" si="151"/>
        <v>19509.69</v>
      </c>
      <c r="X1391">
        <f t="shared" ref="X1391:X1454" si="156">E1391/H1391</f>
        <v>0.512875250166778</v>
      </c>
      <c r="AH1391" t="str">
        <f t="shared" si="154"/>
        <v>3rd Quality</v>
      </c>
      <c r="AJ1391">
        <f>((T1391-X1391)*2)/11.2</f>
        <v>146.529326106984</v>
      </c>
      <c r="AK1391">
        <f t="shared" si="152"/>
        <v>789055.094492754</v>
      </c>
    </row>
    <row r="1392" spans="1:37">
      <c r="A1392" t="s">
        <v>1455</v>
      </c>
      <c r="B1392">
        <v>37</v>
      </c>
      <c r="C1392" t="s">
        <v>50</v>
      </c>
      <c r="D1392" t="s">
        <v>45</v>
      </c>
      <c r="E1392">
        <v>500</v>
      </c>
      <c r="F1392">
        <v>127</v>
      </c>
      <c r="G1392">
        <v>1</v>
      </c>
      <c r="H1392">
        <v>1361.37</v>
      </c>
      <c r="I1392">
        <v>1236.59</v>
      </c>
      <c r="J1392">
        <v>15</v>
      </c>
      <c r="K1392">
        <v>0</v>
      </c>
      <c r="L1392">
        <v>17.8</v>
      </c>
      <c r="M1392">
        <v>45.9</v>
      </c>
      <c r="N1392" t="s">
        <v>81</v>
      </c>
      <c r="O1392" t="s">
        <v>47</v>
      </c>
      <c r="P1392" t="s">
        <v>68</v>
      </c>
      <c r="R1392">
        <f>SUMIF(A1392:A6391,"C01391",I1392:I6391)</f>
        <v>1236.59</v>
      </c>
      <c r="S1392" s="1">
        <v>58062</v>
      </c>
      <c r="T1392">
        <f t="shared" si="153"/>
        <v>82.4393333333333</v>
      </c>
      <c r="U1392">
        <f t="shared" si="155"/>
        <v>688.5</v>
      </c>
      <c r="V1392">
        <f t="shared" si="149"/>
        <v>57.375</v>
      </c>
      <c r="W1392">
        <f t="shared" si="151"/>
        <v>866.32</v>
      </c>
      <c r="X1392">
        <f t="shared" si="156"/>
        <v>0.36727708117558</v>
      </c>
      <c r="AH1392" t="str">
        <f t="shared" si="154"/>
        <v>3rd Quality</v>
      </c>
      <c r="AJ1392">
        <f>((T1392-X1392)*2)/17.8</f>
        <v>9.22157935417502</v>
      </c>
      <c r="AK1392">
        <f t="shared" si="152"/>
        <v>41219.6666666667</v>
      </c>
    </row>
    <row r="1393" spans="1:37">
      <c r="A1393" t="s">
        <v>1456</v>
      </c>
      <c r="B1393">
        <v>45</v>
      </c>
      <c r="C1393" t="s">
        <v>44</v>
      </c>
      <c r="D1393" t="s">
        <v>45</v>
      </c>
      <c r="E1393">
        <v>1312</v>
      </c>
      <c r="F1393">
        <v>112</v>
      </c>
      <c r="G1393">
        <v>4</v>
      </c>
      <c r="H1393">
        <v>1060.33</v>
      </c>
      <c r="I1393">
        <v>4403.5</v>
      </c>
      <c r="J1393">
        <v>18</v>
      </c>
      <c r="K1393">
        <v>1</v>
      </c>
      <c r="L1393">
        <v>34.8</v>
      </c>
      <c r="M1393">
        <v>55.4</v>
      </c>
      <c r="N1393" t="s">
        <v>57</v>
      </c>
      <c r="O1393" t="s">
        <v>47</v>
      </c>
      <c r="P1393" t="s">
        <v>68</v>
      </c>
      <c r="R1393">
        <f>SUMIF(A1393:A6392,"C01392",I1393:I6392)</f>
        <v>4403.5</v>
      </c>
      <c r="S1393" s="1">
        <v>35804.12</v>
      </c>
      <c r="T1393">
        <f t="shared" si="153"/>
        <v>244.638888888889</v>
      </c>
      <c r="U1393">
        <f t="shared" si="155"/>
        <v>997.2</v>
      </c>
      <c r="V1393">
        <f>U1393*1</f>
        <v>997.2</v>
      </c>
      <c r="W1393">
        <f t="shared" si="151"/>
        <v>1821.61</v>
      </c>
      <c r="X1393">
        <f t="shared" si="156"/>
        <v>1.23735063612272</v>
      </c>
      <c r="AH1393" t="str">
        <f t="shared" si="154"/>
        <v>3rd Quality</v>
      </c>
      <c r="AJ1393">
        <f>((T1393-X1393)*2)/34.8</f>
        <v>13.9885941524578</v>
      </c>
      <c r="AK1393">
        <f t="shared" si="152"/>
        <v>320966.222222222</v>
      </c>
    </row>
    <row r="1394" spans="1:37">
      <c r="A1394" t="s">
        <v>1457</v>
      </c>
      <c r="B1394">
        <v>39</v>
      </c>
      <c r="C1394" t="s">
        <v>44</v>
      </c>
      <c r="D1394" t="s">
        <v>45</v>
      </c>
      <c r="E1394">
        <v>1407</v>
      </c>
      <c r="F1394">
        <v>23</v>
      </c>
      <c r="G1394">
        <v>28</v>
      </c>
      <c r="H1394">
        <v>2254.28</v>
      </c>
      <c r="I1394">
        <v>58062</v>
      </c>
      <c r="J1394">
        <v>63</v>
      </c>
      <c r="K1394">
        <v>0</v>
      </c>
      <c r="L1394">
        <v>5.3</v>
      </c>
      <c r="M1394">
        <v>64.3</v>
      </c>
      <c r="N1394" t="s">
        <v>78</v>
      </c>
      <c r="O1394" t="s">
        <v>47</v>
      </c>
      <c r="P1394" t="s">
        <v>66</v>
      </c>
      <c r="R1394">
        <f>SUMIF(A1394:A6393,"C01393",I1394:I6393)</f>
        <v>58062</v>
      </c>
      <c r="S1394" s="1">
        <v>2707.48</v>
      </c>
      <c r="T1394">
        <f t="shared" si="153"/>
        <v>921.619047619048</v>
      </c>
      <c r="U1394">
        <f t="shared" si="155"/>
        <v>4050.9</v>
      </c>
      <c r="V1394">
        <f t="shared" si="149"/>
        <v>337.575</v>
      </c>
      <c r="W1394">
        <f t="shared" si="151"/>
        <v>20105.76</v>
      </c>
      <c r="X1394">
        <f t="shared" si="156"/>
        <v>0.624146068811328</v>
      </c>
      <c r="AH1394" t="str">
        <f t="shared" si="154"/>
        <v>2nd Quality</v>
      </c>
      <c r="AJ1394">
        <f>((T1394-X1394)*2)/5.3</f>
        <v>347.545245868014</v>
      </c>
      <c r="AK1394">
        <f t="shared" si="152"/>
        <v>1296718</v>
      </c>
    </row>
    <row r="1395" spans="1:37">
      <c r="A1395" t="s">
        <v>1458</v>
      </c>
      <c r="B1395">
        <v>20</v>
      </c>
      <c r="C1395" t="s">
        <v>50</v>
      </c>
      <c r="D1395" t="s">
        <v>45</v>
      </c>
      <c r="E1395">
        <v>1187</v>
      </c>
      <c r="F1395">
        <v>14</v>
      </c>
      <c r="G1395">
        <v>22</v>
      </c>
      <c r="H1395">
        <v>1534.64</v>
      </c>
      <c r="I1395">
        <v>35804.12</v>
      </c>
      <c r="J1395">
        <v>184</v>
      </c>
      <c r="K1395">
        <v>1</v>
      </c>
      <c r="L1395">
        <v>0</v>
      </c>
      <c r="M1395">
        <v>62.3</v>
      </c>
      <c r="N1395" t="s">
        <v>52</v>
      </c>
      <c r="O1395" t="s">
        <v>47</v>
      </c>
      <c r="P1395" t="s">
        <v>58</v>
      </c>
      <c r="R1395">
        <f>SUMIF(A1395:A6394,"C01394",I1395:I6394)</f>
        <v>35804.12</v>
      </c>
      <c r="S1395" s="1">
        <v>67084.79</v>
      </c>
      <c r="T1395">
        <f t="shared" si="153"/>
        <v>194.587608695652</v>
      </c>
      <c r="U1395">
        <f t="shared" si="155"/>
        <v>11463.2</v>
      </c>
      <c r="V1395">
        <f>U1395*1</f>
        <v>11463.2</v>
      </c>
      <c r="W1395">
        <f t="shared" si="151"/>
        <v>12446.5866666667</v>
      </c>
      <c r="X1395">
        <f t="shared" si="156"/>
        <v>0.773471302715946</v>
      </c>
      <c r="AH1395" t="str">
        <f t="shared" si="154"/>
        <v>2nd Quality</v>
      </c>
      <c r="AJ1395">
        <f>((T1395-X1395)*2)</f>
        <v>387.628274785872</v>
      </c>
      <c r="AK1395">
        <f t="shared" si="152"/>
        <v>230975.491521739</v>
      </c>
    </row>
    <row r="1396" spans="1:37">
      <c r="A1396" t="s">
        <v>1459</v>
      </c>
      <c r="B1396">
        <v>39</v>
      </c>
      <c r="C1396" t="s">
        <v>50</v>
      </c>
      <c r="D1396" t="s">
        <v>45</v>
      </c>
      <c r="E1396">
        <v>1405</v>
      </c>
      <c r="F1396">
        <v>27</v>
      </c>
      <c r="G1396">
        <v>3</v>
      </c>
      <c r="H1396">
        <v>897.9</v>
      </c>
      <c r="I1396">
        <v>2707.48</v>
      </c>
      <c r="J1396">
        <v>30</v>
      </c>
      <c r="K1396">
        <v>0</v>
      </c>
      <c r="L1396">
        <v>33.7</v>
      </c>
      <c r="M1396">
        <v>15.2</v>
      </c>
      <c r="N1396" t="s">
        <v>61</v>
      </c>
      <c r="O1396" t="s">
        <v>47</v>
      </c>
      <c r="P1396" t="s">
        <v>48</v>
      </c>
      <c r="R1396">
        <f>SUMIF(A1396:A6395,"C01395",I1396:I6395)</f>
        <v>2707.48</v>
      </c>
      <c r="S1396" s="1">
        <v>15190.33</v>
      </c>
      <c r="T1396">
        <f t="shared" si="153"/>
        <v>90.2493333333333</v>
      </c>
      <c r="U1396">
        <f t="shared" si="155"/>
        <v>456</v>
      </c>
      <c r="V1396">
        <f t="shared" si="149"/>
        <v>38</v>
      </c>
      <c r="W1396">
        <f t="shared" si="151"/>
        <v>1202.12666666667</v>
      </c>
      <c r="X1396">
        <f t="shared" si="156"/>
        <v>1.5647622229647</v>
      </c>
      <c r="AH1396" t="str">
        <f t="shared" si="154"/>
        <v>3rd Quality</v>
      </c>
      <c r="AJ1396">
        <f>((T1396-X1396)*2)/33.7</f>
        <v>5.26317929438389</v>
      </c>
      <c r="AK1396">
        <f t="shared" si="152"/>
        <v>126800.313333333</v>
      </c>
    </row>
    <row r="1397" spans="1:37">
      <c r="A1397" t="s">
        <v>1460</v>
      </c>
      <c r="B1397">
        <v>34</v>
      </c>
      <c r="C1397" t="s">
        <v>50</v>
      </c>
      <c r="D1397" t="s">
        <v>45</v>
      </c>
      <c r="E1397">
        <v>1386</v>
      </c>
      <c r="F1397">
        <v>3</v>
      </c>
      <c r="G1397">
        <v>27</v>
      </c>
      <c r="H1397">
        <v>2579.66</v>
      </c>
      <c r="I1397">
        <v>67084.79</v>
      </c>
      <c r="J1397">
        <v>62</v>
      </c>
      <c r="K1397">
        <v>2</v>
      </c>
      <c r="L1397">
        <v>19.1</v>
      </c>
      <c r="M1397">
        <v>52.2</v>
      </c>
      <c r="N1397" t="s">
        <v>57</v>
      </c>
      <c r="O1397" t="s">
        <v>75</v>
      </c>
      <c r="P1397" t="s">
        <v>58</v>
      </c>
      <c r="R1397">
        <f>SUMIF(A1397:A6396,"C01396",I1397:I6396)</f>
        <v>67084.79</v>
      </c>
      <c r="S1397" s="1">
        <v>1710.01</v>
      </c>
      <c r="T1397">
        <f t="shared" si="153"/>
        <v>1082.01274193548</v>
      </c>
      <c r="U1397">
        <f t="shared" si="155"/>
        <v>3236.4</v>
      </c>
      <c r="V1397">
        <f>U1397</f>
        <v>3236.4</v>
      </c>
      <c r="W1397">
        <f t="shared" si="151"/>
        <v>23221.8166666667</v>
      </c>
      <c r="X1397">
        <f t="shared" si="156"/>
        <v>0.537280106680725</v>
      </c>
      <c r="AH1397" t="str">
        <f t="shared" si="154"/>
        <v>2nd Quality</v>
      </c>
      <c r="AJ1397">
        <f>((T1397-X1397)*2)/19.1</f>
        <v>113.243503856419</v>
      </c>
      <c r="AK1397">
        <f t="shared" si="152"/>
        <v>1499669.66032258</v>
      </c>
    </row>
    <row r="1398" spans="1:37">
      <c r="A1398" t="s">
        <v>1461</v>
      </c>
      <c r="B1398">
        <v>18</v>
      </c>
      <c r="C1398" t="s">
        <v>44</v>
      </c>
      <c r="D1398" t="s">
        <v>45</v>
      </c>
      <c r="E1398">
        <v>1176</v>
      </c>
      <c r="F1398">
        <v>62</v>
      </c>
      <c r="G1398">
        <v>3</v>
      </c>
      <c r="H1398">
        <v>4928.32</v>
      </c>
      <c r="I1398">
        <v>15190.33</v>
      </c>
      <c r="J1398">
        <v>25</v>
      </c>
      <c r="K1398">
        <v>0</v>
      </c>
      <c r="L1398">
        <v>2</v>
      </c>
      <c r="M1398">
        <v>61.2</v>
      </c>
      <c r="N1398" t="s">
        <v>46</v>
      </c>
      <c r="O1398" t="s">
        <v>53</v>
      </c>
      <c r="P1398" t="s">
        <v>68</v>
      </c>
      <c r="R1398">
        <f>SUMIF(A1398:A6397,"C01397",I1398:I6397)</f>
        <v>15190.33</v>
      </c>
      <c r="S1398" s="1">
        <v>44286.7</v>
      </c>
      <c r="T1398">
        <f t="shared" si="153"/>
        <v>607.6132</v>
      </c>
      <c r="U1398">
        <f t="shared" si="155"/>
        <v>1530</v>
      </c>
      <c r="V1398">
        <f>U1398/12</f>
        <v>127.5</v>
      </c>
      <c r="W1398">
        <f t="shared" si="151"/>
        <v>6706.55</v>
      </c>
      <c r="X1398">
        <f t="shared" si="156"/>
        <v>0.238620868774755</v>
      </c>
      <c r="AH1398" t="str">
        <f t="shared" si="154"/>
        <v>2nd Quality</v>
      </c>
      <c r="AJ1398">
        <f>((T1398-X1398)*2)/2</f>
        <v>607.374579131225</v>
      </c>
      <c r="AK1398">
        <f t="shared" si="152"/>
        <v>714553.1232</v>
      </c>
    </row>
    <row r="1399" spans="1:37">
      <c r="A1399" t="s">
        <v>1462</v>
      </c>
      <c r="B1399">
        <v>35</v>
      </c>
      <c r="C1399" t="s">
        <v>50</v>
      </c>
      <c r="D1399" t="s">
        <v>60</v>
      </c>
      <c r="E1399">
        <v>758</v>
      </c>
      <c r="F1399">
        <v>8</v>
      </c>
      <c r="G1399">
        <v>1</v>
      </c>
      <c r="H1399">
        <v>1748.78</v>
      </c>
      <c r="I1399">
        <v>1710.01</v>
      </c>
      <c r="J1399">
        <v>17</v>
      </c>
      <c r="K1399">
        <v>0</v>
      </c>
      <c r="L1399">
        <v>20.4</v>
      </c>
      <c r="M1399">
        <v>33.1</v>
      </c>
      <c r="N1399" t="s">
        <v>57</v>
      </c>
      <c r="O1399" t="s">
        <v>53</v>
      </c>
      <c r="P1399" t="s">
        <v>58</v>
      </c>
      <c r="R1399">
        <f>SUMIF(A1399:A6398,"C01398",I1399:I6398)</f>
        <v>1710.01</v>
      </c>
      <c r="S1399" s="1">
        <v>34094.61</v>
      </c>
      <c r="T1399">
        <f t="shared" si="153"/>
        <v>100.588823529412</v>
      </c>
      <c r="U1399">
        <f t="shared" si="155"/>
        <v>562.7</v>
      </c>
      <c r="V1399">
        <f t="shared" si="149"/>
        <v>46.8916666666667</v>
      </c>
      <c r="W1399">
        <f t="shared" si="151"/>
        <v>1153.26333333333</v>
      </c>
      <c r="X1399">
        <f t="shared" si="156"/>
        <v>0.43344503024966</v>
      </c>
      <c r="AH1399" t="str">
        <f t="shared" si="154"/>
        <v>3rd Quality</v>
      </c>
      <c r="AJ1399">
        <f>((T1399-X1399)*2)/20.4</f>
        <v>9.81915475481984</v>
      </c>
      <c r="AK1399">
        <f t="shared" si="152"/>
        <v>76246.3282352941</v>
      </c>
    </row>
    <row r="1400" spans="1:37">
      <c r="A1400" t="s">
        <v>1463</v>
      </c>
      <c r="B1400">
        <v>33</v>
      </c>
      <c r="C1400" t="s">
        <v>50</v>
      </c>
      <c r="D1400" t="s">
        <v>60</v>
      </c>
      <c r="E1400">
        <v>597</v>
      </c>
      <c r="F1400">
        <v>44</v>
      </c>
      <c r="G1400">
        <v>6</v>
      </c>
      <c r="H1400">
        <v>8203.07</v>
      </c>
      <c r="I1400">
        <v>44286.7</v>
      </c>
      <c r="J1400">
        <v>50</v>
      </c>
      <c r="K1400">
        <v>0</v>
      </c>
      <c r="L1400">
        <v>3.8</v>
      </c>
      <c r="M1400">
        <v>35.5</v>
      </c>
      <c r="N1400" t="s">
        <v>63</v>
      </c>
      <c r="O1400" t="s">
        <v>47</v>
      </c>
      <c r="P1400" t="s">
        <v>58</v>
      </c>
      <c r="R1400">
        <f>SUMIF(A1400:A6399,"C01399",I1400:I6399)</f>
        <v>44286.7</v>
      </c>
      <c r="S1400" s="1">
        <v>8427.71</v>
      </c>
      <c r="T1400">
        <f t="shared" si="153"/>
        <v>885.734</v>
      </c>
      <c r="U1400">
        <f t="shared" si="155"/>
        <v>1775</v>
      </c>
      <c r="V1400">
        <f t="shared" si="149"/>
        <v>147.916666666667</v>
      </c>
      <c r="W1400">
        <f t="shared" si="151"/>
        <v>17496.9233333333</v>
      </c>
      <c r="X1400">
        <f t="shared" si="156"/>
        <v>0.0727776308138295</v>
      </c>
      <c r="AH1400" t="str">
        <f t="shared" si="154"/>
        <v>2nd Quality</v>
      </c>
      <c r="AJ1400">
        <f>((T1400-X1400)*2)/3.8</f>
        <v>466.137485457466</v>
      </c>
      <c r="AK1400">
        <f t="shared" si="152"/>
        <v>528783.198</v>
      </c>
    </row>
    <row r="1401" spans="1:37">
      <c r="A1401" t="s">
        <v>1464</v>
      </c>
      <c r="B1401">
        <v>36</v>
      </c>
      <c r="C1401" t="s">
        <v>50</v>
      </c>
      <c r="D1401" t="s">
        <v>60</v>
      </c>
      <c r="E1401">
        <v>1292</v>
      </c>
      <c r="F1401">
        <v>60</v>
      </c>
      <c r="G1401">
        <v>14</v>
      </c>
      <c r="H1401">
        <v>2552.26</v>
      </c>
      <c r="I1401">
        <v>34094.61</v>
      </c>
      <c r="J1401">
        <v>37</v>
      </c>
      <c r="K1401">
        <v>0</v>
      </c>
      <c r="L1401">
        <v>35.5</v>
      </c>
      <c r="M1401">
        <v>6.6</v>
      </c>
      <c r="N1401" t="s">
        <v>46</v>
      </c>
      <c r="O1401" t="s">
        <v>53</v>
      </c>
      <c r="P1401" t="s">
        <v>68</v>
      </c>
      <c r="R1401">
        <f>SUMIF(A1401:A6400,"C01400",I1401:I6400)</f>
        <v>34094.61</v>
      </c>
      <c r="S1401" s="1">
        <v>115792.37</v>
      </c>
      <c r="T1401">
        <f t="shared" si="153"/>
        <v>921.475945945946</v>
      </c>
      <c r="U1401">
        <f t="shared" si="155"/>
        <v>244.2</v>
      </c>
      <c r="V1401">
        <f t="shared" si="149"/>
        <v>20.35</v>
      </c>
      <c r="W1401">
        <f t="shared" si="151"/>
        <v>12215.9566666667</v>
      </c>
      <c r="X1401">
        <f t="shared" si="156"/>
        <v>0.506218018540431</v>
      </c>
      <c r="AH1401" t="str">
        <f t="shared" si="154"/>
        <v>2nd Quality</v>
      </c>
      <c r="AJ1401">
        <f>((T1401-X1401)*2)/35.5</f>
        <v>51.8856184747834</v>
      </c>
      <c r="AK1401">
        <f t="shared" si="152"/>
        <v>1190546.92216216</v>
      </c>
    </row>
    <row r="1402" spans="1:37">
      <c r="A1402" t="s">
        <v>1465</v>
      </c>
      <c r="B1402">
        <v>63</v>
      </c>
      <c r="C1402" t="s">
        <v>44</v>
      </c>
      <c r="D1402" t="s">
        <v>60</v>
      </c>
      <c r="E1402">
        <v>902</v>
      </c>
      <c r="F1402">
        <v>46</v>
      </c>
      <c r="G1402">
        <v>6</v>
      </c>
      <c r="H1402">
        <v>1396.35</v>
      </c>
      <c r="I1402">
        <v>8427.71</v>
      </c>
      <c r="J1402">
        <v>20</v>
      </c>
      <c r="K1402">
        <v>0</v>
      </c>
      <c r="L1402">
        <v>18.3</v>
      </c>
      <c r="M1402">
        <v>43.3</v>
      </c>
      <c r="N1402" t="s">
        <v>52</v>
      </c>
      <c r="O1402" t="s">
        <v>47</v>
      </c>
      <c r="P1402" t="s">
        <v>68</v>
      </c>
      <c r="R1402">
        <f>SUMIF(A1402:A6401,"C01401",I1402:I6401)</f>
        <v>8427.71</v>
      </c>
      <c r="S1402" s="1">
        <v>3566.18</v>
      </c>
      <c r="T1402">
        <f t="shared" si="153"/>
        <v>421.3855</v>
      </c>
      <c r="U1402">
        <f t="shared" si="155"/>
        <v>866</v>
      </c>
      <c r="V1402">
        <f t="shared" si="149"/>
        <v>72.1666666666667</v>
      </c>
      <c r="W1402">
        <f t="shared" si="151"/>
        <v>3275.02</v>
      </c>
      <c r="X1402">
        <f t="shared" si="156"/>
        <v>0.645969849965983</v>
      </c>
      <c r="AH1402" t="str">
        <f t="shared" si="154"/>
        <v>3rd Quality</v>
      </c>
      <c r="AJ1402">
        <f>((T1402-X1402)*2)/18.3</f>
        <v>45.9824623114791</v>
      </c>
      <c r="AK1402">
        <f t="shared" si="152"/>
        <v>380089.721</v>
      </c>
    </row>
    <row r="1403" spans="1:37">
      <c r="A1403" t="s">
        <v>1466</v>
      </c>
      <c r="B1403">
        <v>52</v>
      </c>
      <c r="C1403" t="s">
        <v>44</v>
      </c>
      <c r="D1403" t="s">
        <v>51</v>
      </c>
      <c r="E1403">
        <v>1158</v>
      </c>
      <c r="F1403">
        <v>17</v>
      </c>
      <c r="G1403">
        <v>32</v>
      </c>
      <c r="H1403">
        <v>3998.27</v>
      </c>
      <c r="I1403">
        <v>115792.37</v>
      </c>
      <c r="J1403">
        <v>68</v>
      </c>
      <c r="K1403">
        <v>5</v>
      </c>
      <c r="L1403">
        <v>8.7</v>
      </c>
      <c r="M1403">
        <v>44.4</v>
      </c>
      <c r="N1403" t="s">
        <v>78</v>
      </c>
      <c r="O1403" t="s">
        <v>47</v>
      </c>
      <c r="P1403" t="s">
        <v>58</v>
      </c>
      <c r="R1403">
        <f>SUMIF(A1403:A6402,"C01402",I1403:I6402)</f>
        <v>115792.37</v>
      </c>
      <c r="S1403" s="1">
        <v>8309.75</v>
      </c>
      <c r="T1403">
        <f t="shared" si="153"/>
        <v>1702.82897058824</v>
      </c>
      <c r="U1403">
        <f t="shared" si="155"/>
        <v>3019.2</v>
      </c>
      <c r="V1403">
        <f>U1403</f>
        <v>3019.2</v>
      </c>
      <c r="W1403">
        <f t="shared" si="151"/>
        <v>39930.5466666667</v>
      </c>
      <c r="X1403">
        <f t="shared" si="156"/>
        <v>0.289625262926216</v>
      </c>
      <c r="AH1403" t="str">
        <f t="shared" si="154"/>
        <v>3rd Quality</v>
      </c>
      <c r="AJ1403">
        <f>((T1403-X1403)*2)/8.7</f>
        <v>391.388355247199</v>
      </c>
      <c r="AK1403">
        <f t="shared" si="152"/>
        <v>1971875.94794118</v>
      </c>
    </row>
    <row r="1404" spans="1:37">
      <c r="A1404" t="s">
        <v>1467</v>
      </c>
      <c r="B1404">
        <v>36</v>
      </c>
      <c r="C1404" t="s">
        <v>50</v>
      </c>
      <c r="D1404" t="s">
        <v>45</v>
      </c>
      <c r="E1404">
        <v>1341</v>
      </c>
      <c r="F1404">
        <v>353</v>
      </c>
      <c r="G1404">
        <v>2</v>
      </c>
      <c r="H1404">
        <v>1688.91</v>
      </c>
      <c r="I1404">
        <v>3566.18</v>
      </c>
      <c r="J1404">
        <v>19</v>
      </c>
      <c r="K1404">
        <v>0</v>
      </c>
      <c r="L1404">
        <v>2.8</v>
      </c>
      <c r="M1404">
        <v>30.8</v>
      </c>
      <c r="N1404" t="s">
        <v>61</v>
      </c>
      <c r="O1404" t="s">
        <v>47</v>
      </c>
      <c r="P1404" t="s">
        <v>58</v>
      </c>
      <c r="R1404">
        <f>SUMIF(A1404:A6403,"C01403",I1404:I6403)</f>
        <v>3566.18</v>
      </c>
      <c r="S1404" s="1">
        <v>39526</v>
      </c>
      <c r="T1404">
        <f t="shared" si="153"/>
        <v>187.693684210526</v>
      </c>
      <c r="U1404">
        <f t="shared" si="155"/>
        <v>585.2</v>
      </c>
      <c r="V1404">
        <f t="shared" si="149"/>
        <v>48.7666666666667</v>
      </c>
      <c r="W1404">
        <f t="shared" si="151"/>
        <v>1752.03</v>
      </c>
      <c r="X1404">
        <f t="shared" si="156"/>
        <v>0.794003232854326</v>
      </c>
      <c r="AH1404" t="str">
        <f t="shared" si="154"/>
        <v>3rd Quality</v>
      </c>
      <c r="AJ1404">
        <f>((T1404-X1404)*2)/2.8</f>
        <v>133.499772126908</v>
      </c>
      <c r="AK1404">
        <f t="shared" si="152"/>
        <v>251697.230526316</v>
      </c>
    </row>
    <row r="1405" spans="1:37">
      <c r="A1405" t="s">
        <v>1468</v>
      </c>
      <c r="B1405">
        <v>45</v>
      </c>
      <c r="C1405" t="s">
        <v>44</v>
      </c>
      <c r="D1405" t="s">
        <v>60</v>
      </c>
      <c r="E1405">
        <v>1398</v>
      </c>
      <c r="F1405">
        <v>2</v>
      </c>
      <c r="G1405">
        <v>8</v>
      </c>
      <c r="H1405">
        <v>1075.78</v>
      </c>
      <c r="I1405">
        <v>8309.75</v>
      </c>
      <c r="J1405">
        <v>44</v>
      </c>
      <c r="K1405">
        <v>0</v>
      </c>
      <c r="L1405">
        <v>33</v>
      </c>
      <c r="M1405">
        <v>20.4</v>
      </c>
      <c r="N1405" t="s">
        <v>63</v>
      </c>
      <c r="O1405" t="s">
        <v>75</v>
      </c>
      <c r="P1405" t="s">
        <v>68</v>
      </c>
      <c r="R1405">
        <f>SUMIF(A1405:A6404,"C01404",I1405:I6404)</f>
        <v>8309.75</v>
      </c>
      <c r="S1405" s="1">
        <v>23340.23</v>
      </c>
      <c r="T1405">
        <f t="shared" si="153"/>
        <v>188.857954545455</v>
      </c>
      <c r="U1405">
        <f t="shared" si="155"/>
        <v>897.6</v>
      </c>
      <c r="V1405">
        <f t="shared" si="149"/>
        <v>74.8</v>
      </c>
      <c r="W1405">
        <f t="shared" si="151"/>
        <v>3128.84333333333</v>
      </c>
      <c r="X1405">
        <f t="shared" si="156"/>
        <v>1.29952220714272</v>
      </c>
      <c r="AH1405" t="str">
        <f t="shared" si="154"/>
        <v>3rd Quality</v>
      </c>
      <c r="AJ1405">
        <f>((T1405-X1405)*2)/33</f>
        <v>11.3671777174735</v>
      </c>
      <c r="AK1405">
        <f t="shared" si="152"/>
        <v>264023.420454545</v>
      </c>
    </row>
    <row r="1406" spans="1:37">
      <c r="A1406" t="s">
        <v>1469</v>
      </c>
      <c r="B1406">
        <v>29</v>
      </c>
      <c r="C1406" t="s">
        <v>44</v>
      </c>
      <c r="D1406" t="s">
        <v>60</v>
      </c>
      <c r="E1406">
        <v>1115</v>
      </c>
      <c r="F1406">
        <v>1</v>
      </c>
      <c r="G1406">
        <v>16</v>
      </c>
      <c r="H1406">
        <v>2658.75</v>
      </c>
      <c r="I1406">
        <v>39526</v>
      </c>
      <c r="J1406">
        <v>55</v>
      </c>
      <c r="K1406">
        <v>0</v>
      </c>
      <c r="L1406">
        <v>5.3</v>
      </c>
      <c r="M1406">
        <v>35.7</v>
      </c>
      <c r="N1406" t="s">
        <v>81</v>
      </c>
      <c r="O1406" t="s">
        <v>47</v>
      </c>
      <c r="P1406" t="s">
        <v>58</v>
      </c>
      <c r="R1406">
        <f>SUMIF(A1406:A6405,"C01405",I1406:I6405)</f>
        <v>39526</v>
      </c>
      <c r="S1406" s="1">
        <v>6101.09</v>
      </c>
      <c r="T1406">
        <f t="shared" si="153"/>
        <v>718.654545454545</v>
      </c>
      <c r="U1406">
        <f t="shared" si="155"/>
        <v>1963.5</v>
      </c>
      <c r="V1406">
        <f t="shared" si="149"/>
        <v>163.625</v>
      </c>
      <c r="W1406">
        <f t="shared" si="151"/>
        <v>14061.9166666667</v>
      </c>
      <c r="X1406">
        <f t="shared" si="156"/>
        <v>0.419370004701457</v>
      </c>
      <c r="AH1406" t="str">
        <f t="shared" si="154"/>
        <v>1st Quality</v>
      </c>
      <c r="AJ1406">
        <f>((T1406-X1406)*2)/5.3</f>
        <v>271.032141679186</v>
      </c>
      <c r="AK1406">
        <f t="shared" si="152"/>
        <v>801299.818181818</v>
      </c>
    </row>
    <row r="1407" spans="1:37">
      <c r="A1407" t="s">
        <v>1470</v>
      </c>
      <c r="B1407">
        <v>26</v>
      </c>
      <c r="C1407" t="s">
        <v>50</v>
      </c>
      <c r="D1407" t="s">
        <v>45</v>
      </c>
      <c r="E1407">
        <v>683</v>
      </c>
      <c r="F1407">
        <v>17</v>
      </c>
      <c r="G1407">
        <v>13</v>
      </c>
      <c r="H1407">
        <v>2035.76</v>
      </c>
      <c r="I1407">
        <v>23340.23</v>
      </c>
      <c r="J1407">
        <v>100</v>
      </c>
      <c r="K1407">
        <v>4</v>
      </c>
      <c r="L1407">
        <v>31.1</v>
      </c>
      <c r="M1407">
        <v>22.6</v>
      </c>
      <c r="N1407" t="s">
        <v>46</v>
      </c>
      <c r="O1407" t="s">
        <v>53</v>
      </c>
      <c r="P1407" t="s">
        <v>58</v>
      </c>
      <c r="R1407">
        <f>SUMIF(A1407:A6406,"C01406",I1407:I6406)</f>
        <v>23340.23</v>
      </c>
      <c r="S1407" s="1">
        <v>39167.17</v>
      </c>
      <c r="T1407">
        <f t="shared" si="153"/>
        <v>233.4023</v>
      </c>
      <c r="U1407">
        <f t="shared" si="155"/>
        <v>2260</v>
      </c>
      <c r="V1407">
        <f>U1407</f>
        <v>2260</v>
      </c>
      <c r="W1407">
        <f t="shared" si="151"/>
        <v>8458.99666666667</v>
      </c>
      <c r="X1407">
        <f t="shared" si="156"/>
        <v>0.335501237866939</v>
      </c>
      <c r="AH1407" t="str">
        <f t="shared" si="154"/>
        <v>2nd Quality</v>
      </c>
      <c r="AJ1407">
        <f>((T1407-X1407)*2)/31.1</f>
        <v>14.9882185699121</v>
      </c>
      <c r="AK1407">
        <f t="shared" si="152"/>
        <v>159413.7709</v>
      </c>
    </row>
    <row r="1408" spans="1:37">
      <c r="A1408" t="s">
        <v>1471</v>
      </c>
      <c r="B1408">
        <v>42</v>
      </c>
      <c r="C1408" t="s">
        <v>44</v>
      </c>
      <c r="D1408" t="s">
        <v>60</v>
      </c>
      <c r="E1408">
        <v>459</v>
      </c>
      <c r="F1408">
        <v>269</v>
      </c>
      <c r="G1408">
        <v>3</v>
      </c>
      <c r="H1408">
        <v>2258.7</v>
      </c>
      <c r="I1408">
        <v>6101.09</v>
      </c>
      <c r="J1408">
        <v>21</v>
      </c>
      <c r="K1408">
        <v>3</v>
      </c>
      <c r="L1408">
        <v>12.3</v>
      </c>
      <c r="M1408">
        <v>29.7</v>
      </c>
      <c r="N1408" t="s">
        <v>81</v>
      </c>
      <c r="O1408" t="s">
        <v>47</v>
      </c>
      <c r="P1408" t="s">
        <v>68</v>
      </c>
      <c r="R1408">
        <f>SUMIF(A1408:A6407,"C01407",I1408:I6407)</f>
        <v>6101.09</v>
      </c>
      <c r="S1408" s="1">
        <v>1023.99</v>
      </c>
      <c r="T1408">
        <f t="shared" si="153"/>
        <v>290.528095238095</v>
      </c>
      <c r="U1408">
        <f t="shared" si="155"/>
        <v>623.7</v>
      </c>
      <c r="V1408">
        <f>U1408</f>
        <v>623.7</v>
      </c>
      <c r="W1408">
        <f t="shared" si="151"/>
        <v>2786.93</v>
      </c>
      <c r="X1408">
        <f t="shared" si="156"/>
        <v>0.203214238278656</v>
      </c>
      <c r="AH1408" t="str">
        <f t="shared" si="154"/>
        <v>3rd Quality</v>
      </c>
      <c r="AJ1408">
        <f>((T1408-X1408)*2)/12.3</f>
        <v>47.2072977235474</v>
      </c>
      <c r="AK1408">
        <f t="shared" si="152"/>
        <v>133352.395714286</v>
      </c>
    </row>
    <row r="1409" spans="1:37">
      <c r="A1409" t="s">
        <v>1472</v>
      </c>
      <c r="B1409">
        <v>30</v>
      </c>
      <c r="C1409" t="s">
        <v>50</v>
      </c>
      <c r="D1409" t="s">
        <v>45</v>
      </c>
      <c r="E1409">
        <v>1246</v>
      </c>
      <c r="F1409">
        <v>12</v>
      </c>
      <c r="G1409">
        <v>23</v>
      </c>
      <c r="H1409">
        <v>1817.52</v>
      </c>
      <c r="I1409">
        <v>39167.17</v>
      </c>
      <c r="J1409">
        <v>50</v>
      </c>
      <c r="K1409">
        <v>2</v>
      </c>
      <c r="L1409">
        <v>8.4</v>
      </c>
      <c r="M1409">
        <v>32.8</v>
      </c>
      <c r="N1409" t="s">
        <v>61</v>
      </c>
      <c r="O1409" t="s">
        <v>53</v>
      </c>
      <c r="P1409" t="s">
        <v>58</v>
      </c>
      <c r="R1409">
        <f>SUMIF(A1409:A6408,"C01408",I1409:I6408)</f>
        <v>39167.17</v>
      </c>
      <c r="S1409" s="1">
        <v>495.22</v>
      </c>
      <c r="T1409">
        <f t="shared" si="153"/>
        <v>783.3434</v>
      </c>
      <c r="U1409">
        <f t="shared" si="155"/>
        <v>1640</v>
      </c>
      <c r="V1409">
        <f>U1409</f>
        <v>1640</v>
      </c>
      <c r="W1409">
        <f t="shared" si="151"/>
        <v>13661.8966666667</v>
      </c>
      <c r="X1409">
        <f t="shared" si="156"/>
        <v>0.685549540032572</v>
      </c>
      <c r="AH1409" t="str">
        <f t="shared" si="154"/>
        <v>1st Quality</v>
      </c>
      <c r="AJ1409">
        <f>((T1409-X1409)*2)/8.4</f>
        <v>186.347107252373</v>
      </c>
      <c r="AK1409">
        <f t="shared" si="152"/>
        <v>976045.8764</v>
      </c>
    </row>
    <row r="1410" spans="1:37">
      <c r="A1410" t="s">
        <v>1473</v>
      </c>
      <c r="B1410">
        <v>37</v>
      </c>
      <c r="C1410" t="s">
        <v>50</v>
      </c>
      <c r="D1410" t="s">
        <v>60</v>
      </c>
      <c r="E1410">
        <v>396</v>
      </c>
      <c r="F1410">
        <v>76</v>
      </c>
      <c r="G1410">
        <v>1</v>
      </c>
      <c r="H1410">
        <v>1057.76</v>
      </c>
      <c r="I1410">
        <v>1023.99</v>
      </c>
      <c r="J1410">
        <v>15</v>
      </c>
      <c r="K1410">
        <v>0</v>
      </c>
      <c r="L1410">
        <v>11.5</v>
      </c>
      <c r="M1410">
        <v>5.3</v>
      </c>
      <c r="N1410" t="s">
        <v>46</v>
      </c>
      <c r="O1410" t="s">
        <v>47</v>
      </c>
      <c r="P1410" t="s">
        <v>58</v>
      </c>
      <c r="R1410">
        <f>SUMIF(A1410:A6409,"C01409",I1410:I6409)</f>
        <v>1023.99</v>
      </c>
      <c r="S1410" s="1">
        <v>2570.76</v>
      </c>
      <c r="T1410">
        <f t="shared" si="153"/>
        <v>68.266</v>
      </c>
      <c r="U1410">
        <f t="shared" si="155"/>
        <v>79.5</v>
      </c>
      <c r="V1410">
        <f t="shared" ref="V1407:V1470" si="157">U1410/12</f>
        <v>6.625</v>
      </c>
      <c r="W1410">
        <f t="shared" si="151"/>
        <v>694.25</v>
      </c>
      <c r="X1410">
        <f t="shared" si="156"/>
        <v>0.374376039933444</v>
      </c>
      <c r="AH1410" t="str">
        <f t="shared" si="154"/>
        <v>3rd Quality</v>
      </c>
      <c r="AJ1410">
        <f>((T1410-X1410)*2)/11.5</f>
        <v>11.8072389495768</v>
      </c>
      <c r="AK1410">
        <f t="shared" si="152"/>
        <v>27033.336</v>
      </c>
    </row>
    <row r="1411" spans="1:37">
      <c r="A1411" t="s">
        <v>1474</v>
      </c>
      <c r="B1411">
        <v>26</v>
      </c>
      <c r="C1411" t="s">
        <v>44</v>
      </c>
      <c r="D1411" t="s">
        <v>45</v>
      </c>
      <c r="E1411">
        <v>924</v>
      </c>
      <c r="F1411">
        <v>224</v>
      </c>
      <c r="G1411">
        <v>1</v>
      </c>
      <c r="H1411">
        <v>540.16</v>
      </c>
      <c r="I1411">
        <v>495.22</v>
      </c>
      <c r="J1411">
        <v>15</v>
      </c>
      <c r="K1411">
        <v>0</v>
      </c>
      <c r="L1411">
        <v>22.5</v>
      </c>
      <c r="M1411">
        <v>24.6</v>
      </c>
      <c r="N1411" t="s">
        <v>81</v>
      </c>
      <c r="O1411" t="s">
        <v>47</v>
      </c>
      <c r="P1411" t="s">
        <v>58</v>
      </c>
      <c r="R1411">
        <f>SUMIF(A1411:A6410,"C01410",I1411:I6410)</f>
        <v>495.22</v>
      </c>
      <c r="S1411" s="1">
        <v>815.89</v>
      </c>
      <c r="T1411">
        <f t="shared" si="153"/>
        <v>33.0146666666667</v>
      </c>
      <c r="U1411">
        <f t="shared" si="155"/>
        <v>369</v>
      </c>
      <c r="V1411">
        <f t="shared" si="157"/>
        <v>30.75</v>
      </c>
      <c r="W1411">
        <f t="shared" ref="W1411:W1474" si="158">(H1411+I1411+1)/3</f>
        <v>345.46</v>
      </c>
      <c r="X1411">
        <f t="shared" si="156"/>
        <v>1.71060426540284</v>
      </c>
      <c r="AH1411" t="str">
        <f t="shared" si="154"/>
        <v>3rd Quality</v>
      </c>
      <c r="AJ1411">
        <f>((T1411-X1411)*2)/22.5</f>
        <v>2.78258332455679</v>
      </c>
      <c r="AK1411">
        <f t="shared" ref="AK1411:AK1474" si="159">I1411/J1411*E1411</f>
        <v>30505.552</v>
      </c>
    </row>
    <row r="1412" spans="1:37">
      <c r="A1412" t="s">
        <v>1475</v>
      </c>
      <c r="B1412">
        <v>34</v>
      </c>
      <c r="C1412" t="s">
        <v>50</v>
      </c>
      <c r="D1412" t="s">
        <v>45</v>
      </c>
      <c r="E1412">
        <v>690</v>
      </c>
      <c r="F1412">
        <v>358</v>
      </c>
      <c r="G1412">
        <v>2</v>
      </c>
      <c r="H1412">
        <v>1271.65</v>
      </c>
      <c r="I1412">
        <v>2570.76</v>
      </c>
      <c r="J1412">
        <v>21</v>
      </c>
      <c r="K1412">
        <v>0</v>
      </c>
      <c r="L1412">
        <v>26.9</v>
      </c>
      <c r="M1412">
        <v>16.5</v>
      </c>
      <c r="N1412" t="s">
        <v>78</v>
      </c>
      <c r="O1412" t="s">
        <v>47</v>
      </c>
      <c r="P1412" t="s">
        <v>68</v>
      </c>
      <c r="R1412">
        <f>SUMIF(A1412:A6411,"C01411",I1412:I6411)</f>
        <v>2570.76</v>
      </c>
      <c r="S1412" s="1">
        <v>1271.14</v>
      </c>
      <c r="T1412">
        <f t="shared" si="153"/>
        <v>122.417142857143</v>
      </c>
      <c r="U1412">
        <f t="shared" si="155"/>
        <v>346.5</v>
      </c>
      <c r="V1412">
        <f t="shared" si="157"/>
        <v>28.875</v>
      </c>
      <c r="W1412">
        <f t="shared" si="158"/>
        <v>1281.13666666667</v>
      </c>
      <c r="X1412">
        <f t="shared" si="156"/>
        <v>0.542602131089529</v>
      </c>
      <c r="AH1412" t="str">
        <f t="shared" si="154"/>
        <v>3rd Quality</v>
      </c>
      <c r="AJ1412">
        <f>((T1412-X1412)*2)/26.9</f>
        <v>9.061304143201</v>
      </c>
      <c r="AK1412">
        <f t="shared" si="159"/>
        <v>84467.8285714286</v>
      </c>
    </row>
    <row r="1413" spans="1:37">
      <c r="A1413" t="s">
        <v>1476</v>
      </c>
      <c r="B1413">
        <v>41</v>
      </c>
      <c r="C1413" t="s">
        <v>50</v>
      </c>
      <c r="D1413" t="s">
        <v>51</v>
      </c>
      <c r="E1413">
        <v>846</v>
      </c>
      <c r="F1413">
        <v>353</v>
      </c>
      <c r="G1413">
        <v>1</v>
      </c>
      <c r="H1413">
        <v>880.47</v>
      </c>
      <c r="I1413">
        <v>815.89</v>
      </c>
      <c r="J1413">
        <v>7</v>
      </c>
      <c r="K1413">
        <v>0</v>
      </c>
      <c r="L1413">
        <v>16</v>
      </c>
      <c r="M1413">
        <v>2.3</v>
      </c>
      <c r="N1413" t="s">
        <v>57</v>
      </c>
      <c r="O1413" t="s">
        <v>53</v>
      </c>
      <c r="P1413" t="s">
        <v>48</v>
      </c>
      <c r="R1413">
        <f>SUMIF(A1413:A6412,"C01412",I1413:I6412)</f>
        <v>815.89</v>
      </c>
      <c r="S1413" s="1">
        <v>2008.6</v>
      </c>
      <c r="T1413">
        <f t="shared" si="153"/>
        <v>116.555714285714</v>
      </c>
      <c r="U1413">
        <f t="shared" si="155"/>
        <v>16.1</v>
      </c>
      <c r="V1413">
        <f t="shared" si="157"/>
        <v>1.34166666666667</v>
      </c>
      <c r="W1413">
        <f t="shared" si="158"/>
        <v>565.786666666667</v>
      </c>
      <c r="X1413">
        <f t="shared" si="156"/>
        <v>0.960850454870694</v>
      </c>
      <c r="AH1413" t="str">
        <f t="shared" si="154"/>
        <v>3rd Quality</v>
      </c>
      <c r="AJ1413">
        <f>((T1413-X1413)*2)/16</f>
        <v>14.4493579788554</v>
      </c>
      <c r="AK1413">
        <f t="shared" si="159"/>
        <v>98606.1342857143</v>
      </c>
    </row>
    <row r="1414" spans="1:37">
      <c r="A1414" t="s">
        <v>1477</v>
      </c>
      <c r="B1414">
        <v>46</v>
      </c>
      <c r="C1414" t="s">
        <v>50</v>
      </c>
      <c r="D1414" t="s">
        <v>60</v>
      </c>
      <c r="E1414">
        <v>1328</v>
      </c>
      <c r="F1414">
        <v>110</v>
      </c>
      <c r="G1414">
        <v>1</v>
      </c>
      <c r="H1414">
        <v>1146.08</v>
      </c>
      <c r="I1414">
        <v>1271.14</v>
      </c>
      <c r="J1414">
        <v>8</v>
      </c>
      <c r="K1414">
        <v>0</v>
      </c>
      <c r="L1414">
        <v>26.4</v>
      </c>
      <c r="M1414">
        <v>12.2</v>
      </c>
      <c r="N1414" t="s">
        <v>78</v>
      </c>
      <c r="O1414" t="s">
        <v>47</v>
      </c>
      <c r="P1414" t="s">
        <v>58</v>
      </c>
      <c r="R1414">
        <f>SUMIF(A1414:A6413,"C01413",I1414:I6413)</f>
        <v>1271.14</v>
      </c>
      <c r="S1414" s="1">
        <v>90611.91</v>
      </c>
      <c r="T1414">
        <f t="shared" si="153"/>
        <v>158.8925</v>
      </c>
      <c r="U1414">
        <f t="shared" si="155"/>
        <v>97.6</v>
      </c>
      <c r="V1414">
        <f t="shared" si="157"/>
        <v>8.13333333333333</v>
      </c>
      <c r="W1414">
        <f t="shared" si="158"/>
        <v>806.073333333333</v>
      </c>
      <c r="X1414">
        <f t="shared" si="156"/>
        <v>1.15873237470334</v>
      </c>
      <c r="AH1414" t="str">
        <f t="shared" si="154"/>
        <v>3rd Quality</v>
      </c>
      <c r="AJ1414">
        <f>((T1414-X1414)*2)/26.4</f>
        <v>11.9495278504013</v>
      </c>
      <c r="AK1414">
        <f t="shared" si="159"/>
        <v>211009.24</v>
      </c>
    </row>
    <row r="1415" spans="1:37">
      <c r="A1415" t="s">
        <v>1478</v>
      </c>
      <c r="B1415">
        <v>28</v>
      </c>
      <c r="C1415" t="s">
        <v>44</v>
      </c>
      <c r="D1415" t="s">
        <v>60</v>
      </c>
      <c r="E1415">
        <v>878</v>
      </c>
      <c r="F1415">
        <v>273</v>
      </c>
      <c r="G1415">
        <v>1</v>
      </c>
      <c r="H1415">
        <v>1977.84</v>
      </c>
      <c r="I1415">
        <v>2008.6</v>
      </c>
      <c r="J1415">
        <v>13</v>
      </c>
      <c r="K1415">
        <v>0</v>
      </c>
      <c r="L1415">
        <v>6.3</v>
      </c>
      <c r="M1415">
        <v>46.8</v>
      </c>
      <c r="N1415" t="s">
        <v>46</v>
      </c>
      <c r="O1415" t="s">
        <v>47</v>
      </c>
      <c r="P1415" t="s">
        <v>48</v>
      </c>
      <c r="R1415">
        <f>SUMIF(A1415:A6414,"C01414",I1415:I6414)</f>
        <v>2008.6</v>
      </c>
      <c r="S1415" s="1">
        <v>4181.07</v>
      </c>
      <c r="T1415">
        <f t="shared" si="153"/>
        <v>154.507692307692</v>
      </c>
      <c r="U1415">
        <f t="shared" si="155"/>
        <v>608.4</v>
      </c>
      <c r="V1415">
        <f t="shared" si="157"/>
        <v>50.7</v>
      </c>
      <c r="W1415">
        <f t="shared" si="158"/>
        <v>1329.14666666667</v>
      </c>
      <c r="X1415">
        <f t="shared" si="156"/>
        <v>0.443918618290661</v>
      </c>
      <c r="AH1415" t="str">
        <f t="shared" si="154"/>
        <v>3rd Quality</v>
      </c>
      <c r="AJ1415">
        <f>((T1415-X1415)*2)/6.3</f>
        <v>48.9091345045719</v>
      </c>
      <c r="AK1415">
        <f t="shared" si="159"/>
        <v>135657.753846154</v>
      </c>
    </row>
    <row r="1416" spans="1:37">
      <c r="A1416" t="s">
        <v>1479</v>
      </c>
      <c r="B1416">
        <v>53</v>
      </c>
      <c r="C1416" t="s">
        <v>44</v>
      </c>
      <c r="D1416" t="s">
        <v>45</v>
      </c>
      <c r="E1416">
        <v>531</v>
      </c>
      <c r="F1416">
        <v>5</v>
      </c>
      <c r="G1416">
        <v>25</v>
      </c>
      <c r="H1416">
        <v>3383.6</v>
      </c>
      <c r="I1416">
        <v>90611.91</v>
      </c>
      <c r="J1416">
        <v>184</v>
      </c>
      <c r="K1416">
        <v>2</v>
      </c>
      <c r="L1416">
        <v>11</v>
      </c>
      <c r="M1416">
        <v>5.5</v>
      </c>
      <c r="N1416" t="s">
        <v>61</v>
      </c>
      <c r="O1416" t="s">
        <v>47</v>
      </c>
      <c r="P1416" t="s">
        <v>66</v>
      </c>
      <c r="R1416">
        <f>SUMIF(A1416:A6415,"C01415",I1416:I6415)</f>
        <v>90611.91</v>
      </c>
      <c r="S1416" s="1">
        <v>27733.78</v>
      </c>
      <c r="T1416">
        <f t="shared" si="153"/>
        <v>492.456032608696</v>
      </c>
      <c r="U1416">
        <f t="shared" si="155"/>
        <v>1012</v>
      </c>
      <c r="V1416">
        <f>U1416</f>
        <v>1012</v>
      </c>
      <c r="W1416">
        <f t="shared" si="158"/>
        <v>31332.17</v>
      </c>
      <c r="X1416">
        <f t="shared" si="156"/>
        <v>0.156933443669464</v>
      </c>
      <c r="AH1416" t="str">
        <f t="shared" si="154"/>
        <v>3rd Quality</v>
      </c>
      <c r="AJ1416">
        <f>((T1416-X1416)*2)/11</f>
        <v>89.5089271209139</v>
      </c>
      <c r="AK1416">
        <f t="shared" si="159"/>
        <v>261494.153315217</v>
      </c>
    </row>
    <row r="1417" spans="1:37">
      <c r="A1417" t="s">
        <v>1480</v>
      </c>
      <c r="B1417">
        <v>38</v>
      </c>
      <c r="C1417" t="s">
        <v>50</v>
      </c>
      <c r="D1417" t="s">
        <v>45</v>
      </c>
      <c r="E1417">
        <v>841</v>
      </c>
      <c r="F1417">
        <v>26</v>
      </c>
      <c r="G1417">
        <v>6</v>
      </c>
      <c r="H1417">
        <v>710.17</v>
      </c>
      <c r="I1417">
        <v>4181.07</v>
      </c>
      <c r="J1417">
        <v>52</v>
      </c>
      <c r="K1417">
        <v>1</v>
      </c>
      <c r="L1417">
        <v>15.3</v>
      </c>
      <c r="M1417">
        <v>50.7</v>
      </c>
      <c r="N1417" t="s">
        <v>52</v>
      </c>
      <c r="O1417" t="s">
        <v>75</v>
      </c>
      <c r="P1417" t="s">
        <v>48</v>
      </c>
      <c r="R1417">
        <f>SUMIF(A1417:A6416,"C01416",I1417:I6416)</f>
        <v>4181.07</v>
      </c>
      <c r="S1417" s="1">
        <v>39193.99</v>
      </c>
      <c r="T1417">
        <f t="shared" si="153"/>
        <v>80.4051923076923</v>
      </c>
      <c r="U1417">
        <f t="shared" si="155"/>
        <v>2636.4</v>
      </c>
      <c r="V1417">
        <f>U1417</f>
        <v>2636.4</v>
      </c>
      <c r="W1417">
        <f t="shared" si="158"/>
        <v>1630.74666666667</v>
      </c>
      <c r="X1417">
        <f t="shared" si="156"/>
        <v>1.1842234957827</v>
      </c>
      <c r="AH1417" t="str">
        <f t="shared" si="154"/>
        <v>3rd Quality</v>
      </c>
      <c r="AJ1417">
        <f>((T1417-X1417)*2)/15.3</f>
        <v>10.3556821976352</v>
      </c>
      <c r="AK1417">
        <f t="shared" si="159"/>
        <v>67620.7667307692</v>
      </c>
    </row>
    <row r="1418" spans="1:37">
      <c r="A1418" t="s">
        <v>1481</v>
      </c>
      <c r="B1418">
        <v>34</v>
      </c>
      <c r="C1418" t="s">
        <v>44</v>
      </c>
      <c r="D1418" t="s">
        <v>45</v>
      </c>
      <c r="E1418">
        <v>480</v>
      </c>
      <c r="F1418">
        <v>56</v>
      </c>
      <c r="G1418">
        <v>2</v>
      </c>
      <c r="H1418">
        <v>14923.93</v>
      </c>
      <c r="I1418">
        <v>27733.78</v>
      </c>
      <c r="J1418">
        <v>25</v>
      </c>
      <c r="K1418">
        <v>0</v>
      </c>
      <c r="L1418">
        <v>3.6</v>
      </c>
      <c r="M1418">
        <v>18.8</v>
      </c>
      <c r="N1418" t="s">
        <v>57</v>
      </c>
      <c r="O1418" t="s">
        <v>47</v>
      </c>
      <c r="P1418" t="s">
        <v>48</v>
      </c>
      <c r="R1418">
        <f>SUMIF(A1418:A6417,"C01417",I1418:I6417)</f>
        <v>27733.78</v>
      </c>
      <c r="S1418" s="1">
        <v>961.33</v>
      </c>
      <c r="T1418">
        <f t="shared" si="153"/>
        <v>1109.3512</v>
      </c>
      <c r="U1418">
        <f t="shared" si="155"/>
        <v>470</v>
      </c>
      <c r="V1418">
        <f t="shared" si="157"/>
        <v>39.1666666666667</v>
      </c>
      <c r="W1418">
        <f t="shared" si="158"/>
        <v>14219.57</v>
      </c>
      <c r="X1418">
        <f t="shared" si="156"/>
        <v>0.0321631098510915</v>
      </c>
      <c r="AH1418" t="str">
        <f t="shared" si="154"/>
        <v>2nd Quality</v>
      </c>
      <c r="AJ1418">
        <f>((T1418-X1418)*2)/3.6</f>
        <v>616.288353827861</v>
      </c>
      <c r="AK1418">
        <f t="shared" si="159"/>
        <v>532488.576</v>
      </c>
    </row>
    <row r="1419" spans="1:37">
      <c r="A1419" t="s">
        <v>1482</v>
      </c>
      <c r="B1419">
        <v>37</v>
      </c>
      <c r="C1419" t="s">
        <v>44</v>
      </c>
      <c r="D1419" t="s">
        <v>45</v>
      </c>
      <c r="E1419">
        <v>1326</v>
      </c>
      <c r="F1419">
        <v>50</v>
      </c>
      <c r="G1419">
        <v>4</v>
      </c>
      <c r="H1419">
        <v>9918.58</v>
      </c>
      <c r="I1419">
        <v>39193.99</v>
      </c>
      <c r="J1419">
        <v>15</v>
      </c>
      <c r="K1419">
        <v>0</v>
      </c>
      <c r="L1419">
        <v>0</v>
      </c>
      <c r="M1419">
        <v>14</v>
      </c>
      <c r="N1419" t="s">
        <v>46</v>
      </c>
      <c r="O1419" t="s">
        <v>47</v>
      </c>
      <c r="P1419" t="s">
        <v>58</v>
      </c>
      <c r="R1419">
        <f>SUMIF(A1419:A6418,"C01418",I1419:I6418)</f>
        <v>39193.99</v>
      </c>
      <c r="S1419" s="1">
        <v>1104.7</v>
      </c>
      <c r="T1419">
        <f t="shared" si="153"/>
        <v>2612.93266666667</v>
      </c>
      <c r="U1419">
        <f t="shared" si="155"/>
        <v>210</v>
      </c>
      <c r="V1419">
        <f t="shared" si="157"/>
        <v>17.5</v>
      </c>
      <c r="W1419">
        <f t="shared" si="158"/>
        <v>16371.19</v>
      </c>
      <c r="X1419">
        <f t="shared" si="156"/>
        <v>0.133688491699417</v>
      </c>
      <c r="AH1419" t="str">
        <f t="shared" si="154"/>
        <v>2nd Quality</v>
      </c>
      <c r="AJ1419">
        <f>((T1419-X1419)*2)</f>
        <v>5225.59795634994</v>
      </c>
      <c r="AK1419">
        <f t="shared" si="159"/>
        <v>3464748.716</v>
      </c>
    </row>
    <row r="1420" spans="1:37">
      <c r="A1420" t="s">
        <v>1483</v>
      </c>
      <c r="B1420">
        <v>35</v>
      </c>
      <c r="C1420" t="s">
        <v>44</v>
      </c>
      <c r="D1420" t="s">
        <v>51</v>
      </c>
      <c r="E1420">
        <v>412</v>
      </c>
      <c r="F1420">
        <v>365</v>
      </c>
      <c r="G1420">
        <v>1</v>
      </c>
      <c r="H1420">
        <v>981.99</v>
      </c>
      <c r="I1420">
        <v>961.33</v>
      </c>
      <c r="J1420">
        <v>10</v>
      </c>
      <c r="K1420">
        <v>0</v>
      </c>
      <c r="L1420">
        <v>23.3</v>
      </c>
      <c r="M1420">
        <v>42</v>
      </c>
      <c r="N1420" t="s">
        <v>61</v>
      </c>
      <c r="O1420" t="s">
        <v>47</v>
      </c>
      <c r="P1420" t="s">
        <v>58</v>
      </c>
      <c r="R1420">
        <f>SUMIF(A1420:A6419,"C01419",I1420:I6419)</f>
        <v>961.33</v>
      </c>
      <c r="S1420" s="1">
        <v>2998.84</v>
      </c>
      <c r="T1420">
        <f t="shared" si="153"/>
        <v>96.133</v>
      </c>
      <c r="U1420">
        <f t="shared" si="155"/>
        <v>420</v>
      </c>
      <c r="V1420">
        <f t="shared" si="157"/>
        <v>35</v>
      </c>
      <c r="W1420">
        <f t="shared" si="158"/>
        <v>648.106666666667</v>
      </c>
      <c r="X1420">
        <f t="shared" si="156"/>
        <v>0.419556207293353</v>
      </c>
      <c r="AH1420" t="str">
        <f t="shared" si="154"/>
        <v>3rd Quality</v>
      </c>
      <c r="AJ1420">
        <f>((T1420-X1420)*2)/23.3</f>
        <v>8.215746248301</v>
      </c>
      <c r="AK1420">
        <f t="shared" si="159"/>
        <v>39606.796</v>
      </c>
    </row>
    <row r="1421" spans="1:37">
      <c r="A1421" t="s">
        <v>1484</v>
      </c>
      <c r="B1421">
        <v>37</v>
      </c>
      <c r="C1421" t="s">
        <v>50</v>
      </c>
      <c r="D1421" t="s">
        <v>60</v>
      </c>
      <c r="E1421">
        <v>1400</v>
      </c>
      <c r="F1421">
        <v>262</v>
      </c>
      <c r="G1421">
        <v>1</v>
      </c>
      <c r="H1421">
        <v>1072.86</v>
      </c>
      <c r="I1421">
        <v>1104.7</v>
      </c>
      <c r="J1421">
        <v>8</v>
      </c>
      <c r="K1421">
        <v>0</v>
      </c>
      <c r="L1421">
        <v>25.6</v>
      </c>
      <c r="M1421">
        <v>58.9</v>
      </c>
      <c r="N1421" t="s">
        <v>63</v>
      </c>
      <c r="O1421" t="s">
        <v>53</v>
      </c>
      <c r="P1421" t="s">
        <v>66</v>
      </c>
      <c r="R1421">
        <f>SUMIF(A1421:A6420,"C01420",I1421:I6420)</f>
        <v>1104.7</v>
      </c>
      <c r="S1421" s="1">
        <v>13971.19</v>
      </c>
      <c r="T1421">
        <f t="shared" si="153"/>
        <v>138.0875</v>
      </c>
      <c r="U1421">
        <f t="shared" si="155"/>
        <v>471.2</v>
      </c>
      <c r="V1421">
        <f t="shared" si="157"/>
        <v>39.2666666666667</v>
      </c>
      <c r="W1421">
        <f t="shared" si="158"/>
        <v>726.186666666667</v>
      </c>
      <c r="X1421">
        <f t="shared" si="156"/>
        <v>1.30492328915236</v>
      </c>
      <c r="AH1421" t="str">
        <f t="shared" si="154"/>
        <v>3rd Quality</v>
      </c>
      <c r="AJ1421">
        <f>((T1421-X1421)*2)/25.6</f>
        <v>10.686138805535</v>
      </c>
      <c r="AK1421">
        <f t="shared" si="159"/>
        <v>193322.5</v>
      </c>
    </row>
    <row r="1422" spans="1:37">
      <c r="A1422" t="s">
        <v>1485</v>
      </c>
      <c r="B1422">
        <v>38</v>
      </c>
      <c r="C1422" t="s">
        <v>44</v>
      </c>
      <c r="D1422" t="s">
        <v>60</v>
      </c>
      <c r="E1422">
        <v>611</v>
      </c>
      <c r="F1422">
        <v>24</v>
      </c>
      <c r="G1422">
        <v>6</v>
      </c>
      <c r="H1422">
        <v>454.97</v>
      </c>
      <c r="I1422">
        <v>2998.84</v>
      </c>
      <c r="J1422">
        <v>31</v>
      </c>
      <c r="K1422">
        <v>0</v>
      </c>
      <c r="L1422">
        <v>33.1</v>
      </c>
      <c r="M1422">
        <v>5.8</v>
      </c>
      <c r="N1422" t="s">
        <v>52</v>
      </c>
      <c r="O1422" t="s">
        <v>47</v>
      </c>
      <c r="P1422" t="s">
        <v>58</v>
      </c>
      <c r="R1422">
        <f>SUMIF(A1422:A6421,"C01421",I1422:I6421)</f>
        <v>2998.84</v>
      </c>
      <c r="S1422" s="1">
        <v>27232.96</v>
      </c>
      <c r="T1422">
        <f t="shared" ref="T1422:T1485" si="160">I1422/J1422</f>
        <v>96.7367741935484</v>
      </c>
      <c r="U1422">
        <f t="shared" si="155"/>
        <v>179.8</v>
      </c>
      <c r="V1422">
        <f t="shared" si="157"/>
        <v>14.9833333333333</v>
      </c>
      <c r="W1422">
        <f t="shared" si="158"/>
        <v>1151.60333333333</v>
      </c>
      <c r="X1422">
        <f t="shared" si="156"/>
        <v>1.34294568872673</v>
      </c>
      <c r="AH1422" t="str">
        <f t="shared" ref="AH1422:AH1485" si="161">IF(AND(W1422&gt;=12550,B1422&lt;=33,E1422&gt;=915),"1st Quality",IF(AND(W1422&gt;=6275,B1422&lt;=43,E1422&gt;=457),"2nd Quality","3rd Quality"))</f>
        <v>3rd Quality</v>
      </c>
      <c r="AJ1422">
        <f>((T1422-X1422)*2)/33.1</f>
        <v>5.76397755316143</v>
      </c>
      <c r="AK1422">
        <f t="shared" si="159"/>
        <v>59106.1690322581</v>
      </c>
    </row>
    <row r="1423" spans="1:37">
      <c r="A1423" t="s">
        <v>1486</v>
      </c>
      <c r="B1423">
        <v>34</v>
      </c>
      <c r="C1423" t="s">
        <v>44</v>
      </c>
      <c r="D1423" t="s">
        <v>45</v>
      </c>
      <c r="E1423">
        <v>1093</v>
      </c>
      <c r="F1423">
        <v>8</v>
      </c>
      <c r="G1423">
        <v>7</v>
      </c>
      <c r="H1423">
        <v>2130.23</v>
      </c>
      <c r="I1423">
        <v>13971.19</v>
      </c>
      <c r="J1423">
        <v>45</v>
      </c>
      <c r="K1423">
        <v>0</v>
      </c>
      <c r="L1423">
        <v>18.7</v>
      </c>
      <c r="M1423">
        <v>42.5</v>
      </c>
      <c r="N1423" t="s">
        <v>63</v>
      </c>
      <c r="O1423" t="s">
        <v>53</v>
      </c>
      <c r="P1423" t="s">
        <v>66</v>
      </c>
      <c r="R1423">
        <f>SUMIF(A1423:A6422,"C01422",I1423:I6422)</f>
        <v>13971.19</v>
      </c>
      <c r="S1423" s="1">
        <v>12871.7</v>
      </c>
      <c r="T1423">
        <f t="shared" si="160"/>
        <v>310.470888888889</v>
      </c>
      <c r="U1423">
        <f t="shared" si="155"/>
        <v>1912.5</v>
      </c>
      <c r="V1423">
        <f t="shared" si="157"/>
        <v>159.375</v>
      </c>
      <c r="W1423">
        <f t="shared" si="158"/>
        <v>5367.47333333333</v>
      </c>
      <c r="X1423">
        <f t="shared" si="156"/>
        <v>0.513090135806932</v>
      </c>
      <c r="AH1423" t="str">
        <f t="shared" si="161"/>
        <v>3rd Quality</v>
      </c>
      <c r="AJ1423">
        <f>((T1423-X1423)*2)/18.7</f>
        <v>33.1505667115596</v>
      </c>
      <c r="AK1423">
        <f t="shared" si="159"/>
        <v>339344.681555556</v>
      </c>
    </row>
    <row r="1424" spans="1:37">
      <c r="A1424" t="s">
        <v>1487</v>
      </c>
      <c r="B1424">
        <v>50</v>
      </c>
      <c r="C1424" t="s">
        <v>44</v>
      </c>
      <c r="D1424" t="s">
        <v>60</v>
      </c>
      <c r="E1424">
        <v>1333</v>
      </c>
      <c r="F1424">
        <v>13</v>
      </c>
      <c r="G1424">
        <v>13</v>
      </c>
      <c r="H1424">
        <v>2319.43</v>
      </c>
      <c r="I1424">
        <v>27232.96</v>
      </c>
      <c r="J1424">
        <v>111</v>
      </c>
      <c r="K1424">
        <v>0</v>
      </c>
      <c r="L1424">
        <v>16.8</v>
      </c>
      <c r="M1424">
        <v>39.5</v>
      </c>
      <c r="N1424" t="s">
        <v>78</v>
      </c>
      <c r="O1424" t="s">
        <v>47</v>
      </c>
      <c r="P1424" t="s">
        <v>58</v>
      </c>
      <c r="R1424">
        <f>SUMIF(A1424:A6423,"C01423",I1424:I6423)</f>
        <v>27232.96</v>
      </c>
      <c r="S1424" s="1">
        <v>4500.91</v>
      </c>
      <c r="T1424">
        <f t="shared" si="160"/>
        <v>245.341981981982</v>
      </c>
      <c r="U1424">
        <f t="shared" si="155"/>
        <v>4384.5</v>
      </c>
      <c r="V1424">
        <f t="shared" si="157"/>
        <v>365.375</v>
      </c>
      <c r="W1424">
        <f t="shared" si="158"/>
        <v>9851.13</v>
      </c>
      <c r="X1424">
        <f t="shared" si="156"/>
        <v>0.574710165859716</v>
      </c>
      <c r="AH1424" t="str">
        <f t="shared" si="161"/>
        <v>3rd Quality</v>
      </c>
      <c r="AJ1424">
        <f>((T1424-X1424)*2)/16.8</f>
        <v>29.1389609304907</v>
      </c>
      <c r="AK1424">
        <f t="shared" si="159"/>
        <v>327040.861981982</v>
      </c>
    </row>
    <row r="1425" spans="1:37">
      <c r="A1425" t="s">
        <v>1488</v>
      </c>
      <c r="B1425">
        <v>34</v>
      </c>
      <c r="C1425" t="s">
        <v>101</v>
      </c>
      <c r="D1425" t="s">
        <v>60</v>
      </c>
      <c r="E1425">
        <v>580</v>
      </c>
      <c r="F1425">
        <v>94</v>
      </c>
      <c r="G1425">
        <v>6</v>
      </c>
      <c r="H1425">
        <v>2039.88</v>
      </c>
      <c r="I1425">
        <v>12871.7</v>
      </c>
      <c r="J1425">
        <v>25</v>
      </c>
      <c r="K1425">
        <v>0</v>
      </c>
      <c r="L1425">
        <v>20.2</v>
      </c>
      <c r="M1425">
        <v>11.8</v>
      </c>
      <c r="N1425" t="s">
        <v>61</v>
      </c>
      <c r="O1425" t="s">
        <v>47</v>
      </c>
      <c r="P1425" t="s">
        <v>68</v>
      </c>
      <c r="R1425">
        <f>SUMIF(A1425:A6424,"C01424",I1425:I6424)</f>
        <v>12871.7</v>
      </c>
      <c r="S1425" s="1">
        <v>6725.05</v>
      </c>
      <c r="T1425">
        <f t="shared" si="160"/>
        <v>514.868</v>
      </c>
      <c r="U1425">
        <f t="shared" si="155"/>
        <v>295</v>
      </c>
      <c r="V1425">
        <f t="shared" si="157"/>
        <v>24.5833333333333</v>
      </c>
      <c r="W1425">
        <f t="shared" si="158"/>
        <v>4970.86</v>
      </c>
      <c r="X1425">
        <f t="shared" si="156"/>
        <v>0.284330450810832</v>
      </c>
      <c r="AH1425" t="str">
        <f t="shared" si="161"/>
        <v>3rd Quality</v>
      </c>
      <c r="AJ1425">
        <f>((T1425-X1425)*2)/20.2</f>
        <v>50.9488781731871</v>
      </c>
      <c r="AK1425">
        <f t="shared" si="159"/>
        <v>298623.44</v>
      </c>
    </row>
    <row r="1426" spans="1:37">
      <c r="A1426" t="s">
        <v>1489</v>
      </c>
      <c r="B1426">
        <v>18</v>
      </c>
      <c r="C1426" t="s">
        <v>50</v>
      </c>
      <c r="D1426" t="s">
        <v>60</v>
      </c>
      <c r="E1426">
        <v>1384</v>
      </c>
      <c r="F1426">
        <v>7</v>
      </c>
      <c r="G1426">
        <v>4</v>
      </c>
      <c r="H1426">
        <v>1278.53</v>
      </c>
      <c r="I1426">
        <v>4500.91</v>
      </c>
      <c r="J1426">
        <v>33</v>
      </c>
      <c r="K1426">
        <v>0</v>
      </c>
      <c r="L1426">
        <v>21.6</v>
      </c>
      <c r="M1426">
        <v>1.1</v>
      </c>
      <c r="N1426" t="s">
        <v>78</v>
      </c>
      <c r="O1426" t="s">
        <v>47</v>
      </c>
      <c r="P1426" t="s">
        <v>58</v>
      </c>
      <c r="R1426">
        <f>SUMIF(A1426:A6425,"C01425",I1426:I6425)</f>
        <v>4500.91</v>
      </c>
      <c r="S1426" s="1">
        <v>29395.04</v>
      </c>
      <c r="T1426">
        <f t="shared" si="160"/>
        <v>136.391212121212</v>
      </c>
      <c r="U1426">
        <f t="shared" si="155"/>
        <v>36.3</v>
      </c>
      <c r="V1426">
        <f t="shared" si="157"/>
        <v>3.025</v>
      </c>
      <c r="W1426">
        <f t="shared" si="158"/>
        <v>1926.81333333333</v>
      </c>
      <c r="X1426">
        <f t="shared" si="156"/>
        <v>1.08249317575653</v>
      </c>
      <c r="AH1426" t="str">
        <f t="shared" si="161"/>
        <v>3rd Quality</v>
      </c>
      <c r="AJ1426">
        <f>((T1426-X1426)*2)/21.6</f>
        <v>12.5285850875422</v>
      </c>
      <c r="AK1426">
        <f t="shared" si="159"/>
        <v>188765.437575758</v>
      </c>
    </row>
    <row r="1427" spans="1:37">
      <c r="A1427" t="s">
        <v>1490</v>
      </c>
      <c r="B1427">
        <v>53</v>
      </c>
      <c r="C1427" t="s">
        <v>50</v>
      </c>
      <c r="D1427" t="s">
        <v>45</v>
      </c>
      <c r="E1427">
        <v>828</v>
      </c>
      <c r="F1427">
        <v>30</v>
      </c>
      <c r="G1427">
        <v>8</v>
      </c>
      <c r="H1427">
        <v>785.12</v>
      </c>
      <c r="I1427">
        <v>6725.05</v>
      </c>
      <c r="J1427">
        <v>27</v>
      </c>
      <c r="K1427">
        <v>1</v>
      </c>
      <c r="L1427">
        <v>25.4</v>
      </c>
      <c r="M1427">
        <v>56.4</v>
      </c>
      <c r="N1427" t="s">
        <v>57</v>
      </c>
      <c r="O1427" t="s">
        <v>47</v>
      </c>
      <c r="P1427" t="s">
        <v>54</v>
      </c>
      <c r="R1427">
        <f>SUMIF(A1427:A6426,"C01426",I1427:I6426)</f>
        <v>6725.05</v>
      </c>
      <c r="S1427" s="1">
        <v>75823.02</v>
      </c>
      <c r="T1427">
        <f t="shared" si="160"/>
        <v>249.075925925926</v>
      </c>
      <c r="U1427">
        <f t="shared" si="155"/>
        <v>1522.8</v>
      </c>
      <c r="V1427">
        <f>U1427</f>
        <v>1522.8</v>
      </c>
      <c r="W1427">
        <f t="shared" si="158"/>
        <v>2503.72333333333</v>
      </c>
      <c r="X1427">
        <f t="shared" si="156"/>
        <v>1.05461585490116</v>
      </c>
      <c r="AH1427" t="str">
        <f t="shared" si="161"/>
        <v>3rd Quality</v>
      </c>
      <c r="AJ1427">
        <f>((T1427-X1427)*2)/25.4</f>
        <v>19.5292370134665</v>
      </c>
      <c r="AK1427">
        <f t="shared" si="159"/>
        <v>206234.866666667</v>
      </c>
    </row>
    <row r="1428" spans="1:37">
      <c r="A1428" t="s">
        <v>1491</v>
      </c>
      <c r="B1428">
        <v>38</v>
      </c>
      <c r="C1428" t="s">
        <v>44</v>
      </c>
      <c r="D1428" t="s">
        <v>60</v>
      </c>
      <c r="E1428">
        <v>926</v>
      </c>
      <c r="F1428">
        <v>6</v>
      </c>
      <c r="G1428">
        <v>13</v>
      </c>
      <c r="H1428">
        <v>2143.9</v>
      </c>
      <c r="I1428">
        <v>29395.04</v>
      </c>
      <c r="J1428">
        <v>78</v>
      </c>
      <c r="K1428">
        <v>1</v>
      </c>
      <c r="L1428">
        <v>11.8</v>
      </c>
      <c r="M1428">
        <v>43.1</v>
      </c>
      <c r="N1428" t="s">
        <v>46</v>
      </c>
      <c r="O1428" t="s">
        <v>47</v>
      </c>
      <c r="P1428" t="s">
        <v>48</v>
      </c>
      <c r="R1428">
        <f>SUMIF(A1428:A6427,"C01427",I1428:I6427)</f>
        <v>29395.04</v>
      </c>
      <c r="S1428" s="1">
        <v>753.29</v>
      </c>
      <c r="T1428">
        <f t="shared" si="160"/>
        <v>376.859487179487</v>
      </c>
      <c r="U1428">
        <f t="shared" si="155"/>
        <v>3361.8</v>
      </c>
      <c r="V1428">
        <f>U1428</f>
        <v>3361.8</v>
      </c>
      <c r="W1428">
        <f t="shared" si="158"/>
        <v>10513.3133333333</v>
      </c>
      <c r="X1428">
        <f t="shared" si="156"/>
        <v>0.431923130743038</v>
      </c>
      <c r="AH1428" t="str">
        <f t="shared" si="161"/>
        <v>2nd Quality</v>
      </c>
      <c r="AJ1428">
        <f>((T1428-X1428)*2)/11.8</f>
        <v>63.80128204216</v>
      </c>
      <c r="AK1428">
        <f t="shared" si="159"/>
        <v>348971.885128205</v>
      </c>
    </row>
    <row r="1429" spans="1:37">
      <c r="A1429" t="s">
        <v>1492</v>
      </c>
      <c r="B1429">
        <v>18</v>
      </c>
      <c r="C1429" t="s">
        <v>44</v>
      </c>
      <c r="D1429" t="s">
        <v>45</v>
      </c>
      <c r="E1429">
        <v>757</v>
      </c>
      <c r="F1429">
        <v>2</v>
      </c>
      <c r="G1429">
        <v>32</v>
      </c>
      <c r="H1429">
        <v>2197.63</v>
      </c>
      <c r="I1429">
        <v>75823.02</v>
      </c>
      <c r="J1429">
        <v>72</v>
      </c>
      <c r="K1429">
        <v>4</v>
      </c>
      <c r="L1429">
        <v>0</v>
      </c>
      <c r="M1429">
        <v>59.3</v>
      </c>
      <c r="N1429" t="s">
        <v>61</v>
      </c>
      <c r="O1429" t="s">
        <v>47</v>
      </c>
      <c r="P1429" t="s">
        <v>58</v>
      </c>
      <c r="R1429">
        <f>SUMIF(A1429:A6428,"C01428",I1429:I6428)</f>
        <v>75823.02</v>
      </c>
      <c r="S1429" s="1">
        <v>23370.24</v>
      </c>
      <c r="T1429">
        <f t="shared" si="160"/>
        <v>1053.0975</v>
      </c>
      <c r="U1429">
        <f t="shared" si="155"/>
        <v>4269.6</v>
      </c>
      <c r="V1429">
        <f>U1429</f>
        <v>4269.6</v>
      </c>
      <c r="W1429">
        <f t="shared" si="158"/>
        <v>26007.2166666667</v>
      </c>
      <c r="X1429">
        <f t="shared" si="156"/>
        <v>0.344461988596807</v>
      </c>
      <c r="AH1429" t="str">
        <f t="shared" si="161"/>
        <v>2nd Quality</v>
      </c>
      <c r="AJ1429">
        <f>((T1429-X1429)*2)</f>
        <v>2105.50607602281</v>
      </c>
      <c r="AK1429">
        <f t="shared" si="159"/>
        <v>797194.8075</v>
      </c>
    </row>
    <row r="1430" spans="1:37">
      <c r="A1430" t="s">
        <v>1493</v>
      </c>
      <c r="B1430">
        <v>23</v>
      </c>
      <c r="C1430" t="s">
        <v>44</v>
      </c>
      <c r="D1430" t="s">
        <v>51</v>
      </c>
      <c r="E1430">
        <v>1446</v>
      </c>
      <c r="F1430">
        <v>128</v>
      </c>
      <c r="G1430">
        <v>1</v>
      </c>
      <c r="H1430">
        <v>835.37</v>
      </c>
      <c r="I1430">
        <v>753.29</v>
      </c>
      <c r="J1430">
        <v>14</v>
      </c>
      <c r="K1430">
        <v>0</v>
      </c>
      <c r="L1430">
        <v>33.6</v>
      </c>
      <c r="M1430">
        <v>21.8</v>
      </c>
      <c r="N1430" t="s">
        <v>63</v>
      </c>
      <c r="O1430" t="s">
        <v>47</v>
      </c>
      <c r="P1430" t="s">
        <v>68</v>
      </c>
      <c r="R1430">
        <f>SUMIF(A1430:A6429,"C01429",I1430:I6429)</f>
        <v>753.29</v>
      </c>
      <c r="S1430" s="1">
        <v>8734.65</v>
      </c>
      <c r="T1430">
        <f t="shared" si="160"/>
        <v>53.8064285714286</v>
      </c>
      <c r="U1430">
        <f t="shared" si="155"/>
        <v>305.2</v>
      </c>
      <c r="V1430">
        <f t="shared" si="157"/>
        <v>25.4333333333333</v>
      </c>
      <c r="W1430">
        <f t="shared" si="158"/>
        <v>529.886666666667</v>
      </c>
      <c r="X1430">
        <f t="shared" si="156"/>
        <v>1.7309695105163</v>
      </c>
      <c r="AH1430" t="str">
        <f t="shared" si="161"/>
        <v>3rd Quality</v>
      </c>
      <c r="AJ1430">
        <f>((T1430-X1430)*2)/33.6</f>
        <v>3.09972970600668</v>
      </c>
      <c r="AK1430">
        <f t="shared" si="159"/>
        <v>77804.0957142857</v>
      </c>
    </row>
    <row r="1431" spans="1:37">
      <c r="A1431" t="s">
        <v>1494</v>
      </c>
      <c r="B1431">
        <v>31</v>
      </c>
      <c r="C1431" t="s">
        <v>44</v>
      </c>
      <c r="D1431" t="s">
        <v>60</v>
      </c>
      <c r="E1431">
        <v>1102</v>
      </c>
      <c r="F1431">
        <v>96</v>
      </c>
      <c r="G1431">
        <v>11</v>
      </c>
      <c r="H1431">
        <v>2287.21</v>
      </c>
      <c r="I1431">
        <v>23370.24</v>
      </c>
      <c r="J1431">
        <v>50</v>
      </c>
      <c r="K1431">
        <v>0</v>
      </c>
      <c r="L1431">
        <v>24.7</v>
      </c>
      <c r="M1431">
        <v>38.4</v>
      </c>
      <c r="N1431" t="s">
        <v>57</v>
      </c>
      <c r="O1431" t="s">
        <v>47</v>
      </c>
      <c r="P1431" t="s">
        <v>58</v>
      </c>
      <c r="R1431">
        <f>SUMIF(A1431:A6430,"C01430",I1431:I6430)</f>
        <v>23370.24</v>
      </c>
      <c r="S1431" s="1">
        <v>52947.58</v>
      </c>
      <c r="T1431">
        <f t="shared" si="160"/>
        <v>467.4048</v>
      </c>
      <c r="U1431">
        <f t="shared" si="155"/>
        <v>1920</v>
      </c>
      <c r="V1431">
        <f t="shared" si="157"/>
        <v>160</v>
      </c>
      <c r="W1431">
        <f t="shared" si="158"/>
        <v>8552.81666666667</v>
      </c>
      <c r="X1431">
        <f t="shared" si="156"/>
        <v>0.481809715767245</v>
      </c>
      <c r="AH1431" t="str">
        <f t="shared" si="161"/>
        <v>2nd Quality</v>
      </c>
      <c r="AJ1431">
        <f>((T1431-X1431)*2)/24.7</f>
        <v>37.8075295776707</v>
      </c>
      <c r="AK1431">
        <f t="shared" si="159"/>
        <v>515080.0896</v>
      </c>
    </row>
    <row r="1432" spans="1:37">
      <c r="A1432" t="s">
        <v>1495</v>
      </c>
      <c r="B1432">
        <v>38</v>
      </c>
      <c r="C1432" t="s">
        <v>44</v>
      </c>
      <c r="D1432" t="s">
        <v>45</v>
      </c>
      <c r="E1432">
        <v>760</v>
      </c>
      <c r="F1432">
        <v>188</v>
      </c>
      <c r="G1432">
        <v>3</v>
      </c>
      <c r="H1432">
        <v>2875.9</v>
      </c>
      <c r="I1432">
        <v>8734.65</v>
      </c>
      <c r="J1432">
        <v>18</v>
      </c>
      <c r="K1432">
        <v>0</v>
      </c>
      <c r="L1432">
        <v>11.5</v>
      </c>
      <c r="M1432">
        <v>49.1</v>
      </c>
      <c r="N1432" t="s">
        <v>81</v>
      </c>
      <c r="O1432" t="s">
        <v>47</v>
      </c>
      <c r="P1432" t="s">
        <v>58</v>
      </c>
      <c r="R1432">
        <f>SUMIF(A1432:A6431,"C01431",I1432:I6431)</f>
        <v>8734.65</v>
      </c>
      <c r="S1432" s="1">
        <v>29628.27</v>
      </c>
      <c r="T1432">
        <f t="shared" si="160"/>
        <v>485.258333333333</v>
      </c>
      <c r="U1432">
        <f t="shared" si="155"/>
        <v>883.8</v>
      </c>
      <c r="V1432">
        <f t="shared" si="157"/>
        <v>73.65</v>
      </c>
      <c r="W1432">
        <f t="shared" si="158"/>
        <v>3870.51666666667</v>
      </c>
      <c r="X1432">
        <f t="shared" si="156"/>
        <v>0.264265099620988</v>
      </c>
      <c r="AH1432" t="str">
        <f t="shared" si="161"/>
        <v>3rd Quality</v>
      </c>
      <c r="AJ1432">
        <f>((T1432-X1432)*2)/11.5</f>
        <v>84.3467944754282</v>
      </c>
      <c r="AK1432">
        <f t="shared" si="159"/>
        <v>368796.333333333</v>
      </c>
    </row>
    <row r="1433" spans="1:37">
      <c r="A1433" t="s">
        <v>1496</v>
      </c>
      <c r="B1433">
        <v>18</v>
      </c>
      <c r="C1433" t="s">
        <v>50</v>
      </c>
      <c r="D1433" t="s">
        <v>51</v>
      </c>
      <c r="E1433">
        <v>446</v>
      </c>
      <c r="F1433">
        <v>5</v>
      </c>
      <c r="G1433">
        <v>7</v>
      </c>
      <c r="H1433">
        <v>7891.01</v>
      </c>
      <c r="I1433">
        <v>52947.58</v>
      </c>
      <c r="J1433">
        <v>33</v>
      </c>
      <c r="K1433">
        <v>0</v>
      </c>
      <c r="L1433">
        <v>0</v>
      </c>
      <c r="M1433">
        <v>25</v>
      </c>
      <c r="N1433" t="s">
        <v>78</v>
      </c>
      <c r="O1433" t="s">
        <v>47</v>
      </c>
      <c r="P1433" t="s">
        <v>48</v>
      </c>
      <c r="R1433">
        <f>SUMIF(A1433:A6432,"C01432",I1433:I6432)</f>
        <v>52947.58</v>
      </c>
      <c r="S1433" s="1">
        <v>38632.2</v>
      </c>
      <c r="T1433">
        <f t="shared" si="160"/>
        <v>1604.47212121212</v>
      </c>
      <c r="U1433">
        <f t="shared" si="155"/>
        <v>825</v>
      </c>
      <c r="V1433">
        <f t="shared" si="157"/>
        <v>68.75</v>
      </c>
      <c r="W1433">
        <f t="shared" si="158"/>
        <v>20279.8633333333</v>
      </c>
      <c r="X1433">
        <f t="shared" si="156"/>
        <v>0.0565200145482011</v>
      </c>
      <c r="AH1433" t="str">
        <f t="shared" si="161"/>
        <v>3rd Quality</v>
      </c>
      <c r="AJ1433">
        <f>((T1433-X1433)*2)</f>
        <v>3208.83120239514</v>
      </c>
      <c r="AK1433">
        <f t="shared" si="159"/>
        <v>715594.566060606</v>
      </c>
    </row>
    <row r="1434" spans="1:37">
      <c r="A1434" t="s">
        <v>1497</v>
      </c>
      <c r="B1434">
        <v>18</v>
      </c>
      <c r="C1434" t="s">
        <v>44</v>
      </c>
      <c r="D1434" t="s">
        <v>60</v>
      </c>
      <c r="E1434">
        <v>1343</v>
      </c>
      <c r="F1434">
        <v>7</v>
      </c>
      <c r="G1434">
        <v>20</v>
      </c>
      <c r="H1434">
        <v>1367.88</v>
      </c>
      <c r="I1434">
        <v>29628.27</v>
      </c>
      <c r="J1434">
        <v>76</v>
      </c>
      <c r="K1434">
        <v>2</v>
      </c>
      <c r="L1434">
        <v>9.4</v>
      </c>
      <c r="M1434">
        <v>40.9</v>
      </c>
      <c r="N1434" t="s">
        <v>52</v>
      </c>
      <c r="O1434" t="s">
        <v>47</v>
      </c>
      <c r="P1434" t="s">
        <v>58</v>
      </c>
      <c r="R1434">
        <f>SUMIF(A1434:A6433,"C01433",I1434:I6433)</f>
        <v>29628.27</v>
      </c>
      <c r="S1434" s="1">
        <v>158140.98</v>
      </c>
      <c r="T1434">
        <f t="shared" si="160"/>
        <v>389.845657894737</v>
      </c>
      <c r="U1434">
        <f t="shared" si="155"/>
        <v>3108.4</v>
      </c>
      <c r="V1434">
        <f>U1434</f>
        <v>3108.4</v>
      </c>
      <c r="W1434">
        <f t="shared" si="158"/>
        <v>10332.3833333333</v>
      </c>
      <c r="X1434">
        <f t="shared" si="156"/>
        <v>0.981811269994444</v>
      </c>
      <c r="AH1434" t="str">
        <f t="shared" si="161"/>
        <v>2nd Quality</v>
      </c>
      <c r="AJ1434">
        <f>((T1434-X1434)*2)/9.4</f>
        <v>82.7369886435622</v>
      </c>
      <c r="AK1434">
        <f t="shared" si="159"/>
        <v>523562.718552632</v>
      </c>
    </row>
    <row r="1435" spans="1:37">
      <c r="A1435" t="s">
        <v>1498</v>
      </c>
      <c r="B1435">
        <v>34</v>
      </c>
      <c r="C1435" t="s">
        <v>50</v>
      </c>
      <c r="D1435" t="s">
        <v>45</v>
      </c>
      <c r="E1435">
        <v>1083</v>
      </c>
      <c r="F1435">
        <v>5</v>
      </c>
      <c r="G1435">
        <v>19</v>
      </c>
      <c r="H1435">
        <v>2053.81</v>
      </c>
      <c r="I1435">
        <v>38632.2</v>
      </c>
      <c r="J1435">
        <v>98</v>
      </c>
      <c r="K1435">
        <v>3</v>
      </c>
      <c r="L1435">
        <v>10.3</v>
      </c>
      <c r="M1435">
        <v>37</v>
      </c>
      <c r="N1435" t="s">
        <v>46</v>
      </c>
      <c r="O1435" t="s">
        <v>47</v>
      </c>
      <c r="P1435" t="s">
        <v>58</v>
      </c>
      <c r="R1435">
        <f>SUMIF(A1435:A6434,"C01434",I1435:I6434)</f>
        <v>38632.2</v>
      </c>
      <c r="S1435" s="1">
        <v>1715.95</v>
      </c>
      <c r="T1435">
        <f t="shared" si="160"/>
        <v>394.20612244898</v>
      </c>
      <c r="U1435">
        <f t="shared" si="155"/>
        <v>3626</v>
      </c>
      <c r="V1435">
        <f>U1435</f>
        <v>3626</v>
      </c>
      <c r="W1435">
        <f t="shared" si="158"/>
        <v>13562.3366666667</v>
      </c>
      <c r="X1435">
        <f t="shared" si="156"/>
        <v>0.527312653069174</v>
      </c>
      <c r="AH1435" t="str">
        <f t="shared" si="161"/>
        <v>2nd Quality</v>
      </c>
      <c r="AJ1435">
        <f>((T1435-X1435)*2)/10.3</f>
        <v>76.4424873390118</v>
      </c>
      <c r="AK1435">
        <f t="shared" si="159"/>
        <v>426925.230612245</v>
      </c>
    </row>
    <row r="1436" spans="1:37">
      <c r="A1436" t="s">
        <v>1499</v>
      </c>
      <c r="B1436">
        <v>49</v>
      </c>
      <c r="C1436" t="s">
        <v>44</v>
      </c>
      <c r="D1436" t="s">
        <v>60</v>
      </c>
      <c r="E1436">
        <v>507</v>
      </c>
      <c r="F1436">
        <v>7</v>
      </c>
      <c r="G1436">
        <v>32</v>
      </c>
      <c r="H1436">
        <v>5026.98</v>
      </c>
      <c r="I1436">
        <v>158140.98</v>
      </c>
      <c r="J1436">
        <v>131</v>
      </c>
      <c r="K1436">
        <v>0</v>
      </c>
      <c r="L1436">
        <v>1.3</v>
      </c>
      <c r="M1436">
        <v>31.5</v>
      </c>
      <c r="N1436" t="s">
        <v>46</v>
      </c>
      <c r="O1436" t="s">
        <v>47</v>
      </c>
      <c r="P1436" t="s">
        <v>66</v>
      </c>
      <c r="R1436">
        <f>SUMIF(A1436:A6435,"C01435",I1436:I6435)</f>
        <v>158140.98</v>
      </c>
      <c r="S1436" s="1">
        <v>62416.07</v>
      </c>
      <c r="T1436">
        <f t="shared" si="160"/>
        <v>1207.18305343511</v>
      </c>
      <c r="U1436">
        <f t="shared" si="155"/>
        <v>4126.5</v>
      </c>
      <c r="V1436">
        <f t="shared" si="157"/>
        <v>343.875</v>
      </c>
      <c r="W1436">
        <f t="shared" si="158"/>
        <v>54389.6533333333</v>
      </c>
      <c r="X1436">
        <f t="shared" si="156"/>
        <v>0.100855782199253</v>
      </c>
      <c r="AH1436" t="str">
        <f t="shared" si="161"/>
        <v>3rd Quality</v>
      </c>
      <c r="AJ1436">
        <f>((T1436-X1436)*2)/1.3</f>
        <v>1857.04953485063</v>
      </c>
      <c r="AK1436">
        <f t="shared" si="159"/>
        <v>612041.808091603</v>
      </c>
    </row>
    <row r="1437" spans="1:37">
      <c r="A1437" t="s">
        <v>1500</v>
      </c>
      <c r="B1437">
        <v>48</v>
      </c>
      <c r="C1437" t="s">
        <v>44</v>
      </c>
      <c r="D1437" t="s">
        <v>60</v>
      </c>
      <c r="E1437">
        <v>879</v>
      </c>
      <c r="F1437">
        <v>166</v>
      </c>
      <c r="G1437">
        <v>1</v>
      </c>
      <c r="H1437">
        <v>1856.41</v>
      </c>
      <c r="I1437">
        <v>1715.95</v>
      </c>
      <c r="J1437">
        <v>9</v>
      </c>
      <c r="K1437">
        <v>0</v>
      </c>
      <c r="L1437">
        <v>17.4</v>
      </c>
      <c r="M1437">
        <v>15</v>
      </c>
      <c r="N1437" t="s">
        <v>81</v>
      </c>
      <c r="O1437" t="s">
        <v>47</v>
      </c>
      <c r="P1437" t="s">
        <v>58</v>
      </c>
      <c r="R1437">
        <f>SUMIF(A1437:A6436,"C01436",I1437:I6436)</f>
        <v>1715.95</v>
      </c>
      <c r="S1437" s="1">
        <v>38916.47</v>
      </c>
      <c r="T1437">
        <f t="shared" si="160"/>
        <v>190.661111111111</v>
      </c>
      <c r="U1437">
        <f t="shared" si="155"/>
        <v>135</v>
      </c>
      <c r="V1437">
        <f t="shared" si="157"/>
        <v>11.25</v>
      </c>
      <c r="W1437">
        <f t="shared" si="158"/>
        <v>1191.12</v>
      </c>
      <c r="X1437">
        <f t="shared" si="156"/>
        <v>0.47349454053792</v>
      </c>
      <c r="AH1437" t="str">
        <f t="shared" si="161"/>
        <v>3rd Quality</v>
      </c>
      <c r="AJ1437">
        <f>((T1437-X1437)*2)/17.4</f>
        <v>21.8606455828245</v>
      </c>
      <c r="AK1437">
        <f t="shared" si="159"/>
        <v>167591.116666667</v>
      </c>
    </row>
    <row r="1438" spans="1:37">
      <c r="A1438" t="s">
        <v>1501</v>
      </c>
      <c r="B1438">
        <v>23</v>
      </c>
      <c r="C1438" t="s">
        <v>50</v>
      </c>
      <c r="D1438" t="s">
        <v>51</v>
      </c>
      <c r="E1438">
        <v>658</v>
      </c>
      <c r="F1438">
        <v>30</v>
      </c>
      <c r="G1438">
        <v>22</v>
      </c>
      <c r="H1438">
        <v>2795.48</v>
      </c>
      <c r="I1438">
        <v>62416.07</v>
      </c>
      <c r="J1438">
        <v>73</v>
      </c>
      <c r="K1438">
        <v>4</v>
      </c>
      <c r="L1438">
        <v>10.3</v>
      </c>
      <c r="M1438">
        <v>66.3</v>
      </c>
      <c r="N1438" t="s">
        <v>81</v>
      </c>
      <c r="O1438" t="s">
        <v>75</v>
      </c>
      <c r="P1438" t="s">
        <v>48</v>
      </c>
      <c r="R1438">
        <f>SUMIF(A1438:A6437,"C01437",I1438:I6437)</f>
        <v>62416.07</v>
      </c>
      <c r="S1438" s="1">
        <v>1262.84</v>
      </c>
      <c r="T1438">
        <f t="shared" si="160"/>
        <v>855.014657534247</v>
      </c>
      <c r="U1438">
        <f t="shared" si="155"/>
        <v>4839.9</v>
      </c>
      <c r="V1438">
        <f>U1438</f>
        <v>4839.9</v>
      </c>
      <c r="W1438">
        <f t="shared" si="158"/>
        <v>21737.5166666667</v>
      </c>
      <c r="X1438">
        <f t="shared" si="156"/>
        <v>0.235379970523846</v>
      </c>
      <c r="AH1438" t="str">
        <f t="shared" si="161"/>
        <v>2nd Quality</v>
      </c>
      <c r="AJ1438">
        <f>((T1438-X1438)*2)/10.3</f>
        <v>165.976558750238</v>
      </c>
      <c r="AK1438">
        <f t="shared" si="159"/>
        <v>562599.644657534</v>
      </c>
    </row>
    <row r="1439" spans="1:37">
      <c r="A1439" t="s">
        <v>1502</v>
      </c>
      <c r="B1439">
        <v>40</v>
      </c>
      <c r="C1439" t="s">
        <v>50</v>
      </c>
      <c r="D1439" t="s">
        <v>45</v>
      </c>
      <c r="E1439">
        <v>654</v>
      </c>
      <c r="F1439">
        <v>39</v>
      </c>
      <c r="G1439">
        <v>5</v>
      </c>
      <c r="H1439">
        <v>8082.11</v>
      </c>
      <c r="I1439">
        <v>38916.47</v>
      </c>
      <c r="J1439">
        <v>42</v>
      </c>
      <c r="K1439">
        <v>2</v>
      </c>
      <c r="L1439">
        <v>12</v>
      </c>
      <c r="M1439">
        <v>8.8</v>
      </c>
      <c r="N1439" t="s">
        <v>52</v>
      </c>
      <c r="O1439" t="s">
        <v>47</v>
      </c>
      <c r="P1439" t="s">
        <v>48</v>
      </c>
      <c r="R1439">
        <f>SUMIF(A1439:A6438,"C01438",I1439:I6438)</f>
        <v>38916.47</v>
      </c>
      <c r="S1439" s="1">
        <v>2033.76</v>
      </c>
      <c r="T1439">
        <f t="shared" si="160"/>
        <v>926.582619047619</v>
      </c>
      <c r="U1439">
        <f t="shared" si="155"/>
        <v>369.6</v>
      </c>
      <c r="V1439">
        <f>U1439</f>
        <v>369.6</v>
      </c>
      <c r="W1439">
        <f t="shared" si="158"/>
        <v>15666.5266666667</v>
      </c>
      <c r="X1439">
        <f t="shared" si="156"/>
        <v>0.0809194628630395</v>
      </c>
      <c r="AH1439" t="str">
        <f t="shared" si="161"/>
        <v>2nd Quality</v>
      </c>
      <c r="AJ1439">
        <f>((T1439-X1439)*2)/12</f>
        <v>154.416949930793</v>
      </c>
      <c r="AK1439">
        <f t="shared" si="159"/>
        <v>605985.032857143</v>
      </c>
    </row>
    <row r="1440" spans="1:37">
      <c r="A1440" t="s">
        <v>1503</v>
      </c>
      <c r="B1440">
        <v>40</v>
      </c>
      <c r="C1440" t="s">
        <v>50</v>
      </c>
      <c r="D1440" t="s">
        <v>45</v>
      </c>
      <c r="E1440">
        <v>892</v>
      </c>
      <c r="F1440">
        <v>272</v>
      </c>
      <c r="G1440">
        <v>1</v>
      </c>
      <c r="H1440">
        <v>1278.01</v>
      </c>
      <c r="I1440">
        <v>1262.84</v>
      </c>
      <c r="J1440">
        <v>6</v>
      </c>
      <c r="K1440">
        <v>0</v>
      </c>
      <c r="L1440">
        <v>16.2</v>
      </c>
      <c r="M1440">
        <v>35.4</v>
      </c>
      <c r="N1440" t="s">
        <v>81</v>
      </c>
      <c r="O1440" t="s">
        <v>47</v>
      </c>
      <c r="P1440" t="s">
        <v>66</v>
      </c>
      <c r="R1440">
        <f>SUMIF(A1440:A6439,"C01439",I1440:I6439)</f>
        <v>1262.84</v>
      </c>
      <c r="S1440" s="1">
        <v>24354.52</v>
      </c>
      <c r="T1440">
        <f t="shared" si="160"/>
        <v>210.473333333333</v>
      </c>
      <c r="U1440">
        <f t="shared" si="155"/>
        <v>212.4</v>
      </c>
      <c r="V1440">
        <f t="shared" si="157"/>
        <v>17.7</v>
      </c>
      <c r="W1440">
        <f t="shared" si="158"/>
        <v>847.283333333333</v>
      </c>
      <c r="X1440">
        <f t="shared" si="156"/>
        <v>0.697960109858295</v>
      </c>
      <c r="AH1440" t="str">
        <f t="shared" si="161"/>
        <v>3rd Quality</v>
      </c>
      <c r="AJ1440">
        <f>((T1440-X1440)*2)/16.2</f>
        <v>25.8981942251203</v>
      </c>
      <c r="AK1440">
        <f t="shared" si="159"/>
        <v>187742.213333333</v>
      </c>
    </row>
    <row r="1441" spans="1:37">
      <c r="A1441" t="s">
        <v>1504</v>
      </c>
      <c r="B1441">
        <v>36</v>
      </c>
      <c r="C1441" t="s">
        <v>50</v>
      </c>
      <c r="D1441" t="s">
        <v>60</v>
      </c>
      <c r="E1441">
        <v>439</v>
      </c>
      <c r="F1441">
        <v>115</v>
      </c>
      <c r="G1441">
        <v>2</v>
      </c>
      <c r="H1441">
        <v>1075.94</v>
      </c>
      <c r="I1441">
        <v>2033.76</v>
      </c>
      <c r="J1441">
        <v>19</v>
      </c>
      <c r="K1441">
        <v>0</v>
      </c>
      <c r="L1441">
        <v>2.8</v>
      </c>
      <c r="M1441">
        <v>11.4</v>
      </c>
      <c r="N1441" t="s">
        <v>63</v>
      </c>
      <c r="O1441" t="s">
        <v>47</v>
      </c>
      <c r="P1441" t="s">
        <v>58</v>
      </c>
      <c r="R1441">
        <f>SUMIF(A1441:A6440,"C01440",I1441:I6440)</f>
        <v>2033.76</v>
      </c>
      <c r="S1441" s="1">
        <v>132942.64</v>
      </c>
      <c r="T1441">
        <f t="shared" si="160"/>
        <v>107.04</v>
      </c>
      <c r="U1441">
        <f t="shared" si="155"/>
        <v>216.6</v>
      </c>
      <c r="V1441">
        <f t="shared" si="157"/>
        <v>18.05</v>
      </c>
      <c r="W1441">
        <f t="shared" si="158"/>
        <v>1036.9</v>
      </c>
      <c r="X1441">
        <f t="shared" si="156"/>
        <v>0.408015316839229</v>
      </c>
      <c r="AH1441" t="str">
        <f t="shared" si="161"/>
        <v>3rd Quality</v>
      </c>
      <c r="AJ1441">
        <f>((T1441-X1441)*2)/2.8</f>
        <v>76.1657033451148</v>
      </c>
      <c r="AK1441">
        <f t="shared" si="159"/>
        <v>46990.56</v>
      </c>
    </row>
    <row r="1442" spans="1:37">
      <c r="A1442" t="s">
        <v>1505</v>
      </c>
      <c r="B1442">
        <v>47</v>
      </c>
      <c r="C1442" t="s">
        <v>50</v>
      </c>
      <c r="D1442" t="s">
        <v>60</v>
      </c>
      <c r="E1442">
        <v>638</v>
      </c>
      <c r="F1442">
        <v>66</v>
      </c>
      <c r="G1442">
        <v>8</v>
      </c>
      <c r="H1442">
        <v>2966.81</v>
      </c>
      <c r="I1442">
        <v>24354.52</v>
      </c>
      <c r="J1442">
        <v>58</v>
      </c>
      <c r="K1442">
        <v>0</v>
      </c>
      <c r="L1442">
        <v>23.8</v>
      </c>
      <c r="M1442">
        <v>36.7</v>
      </c>
      <c r="N1442" t="s">
        <v>63</v>
      </c>
      <c r="O1442" t="s">
        <v>47</v>
      </c>
      <c r="P1442" t="s">
        <v>66</v>
      </c>
      <c r="R1442">
        <f>SUMIF(A1442:A6441,"C01441",I1442:I6441)</f>
        <v>24354.52</v>
      </c>
      <c r="S1442" s="1">
        <v>43515.73</v>
      </c>
      <c r="T1442">
        <f t="shared" si="160"/>
        <v>419.905517241379</v>
      </c>
      <c r="U1442">
        <f t="shared" ref="U1442:U1505" si="162">J1442*M1442</f>
        <v>2128.6</v>
      </c>
      <c r="V1442">
        <f t="shared" si="157"/>
        <v>177.383333333333</v>
      </c>
      <c r="W1442">
        <f t="shared" si="158"/>
        <v>9107.44333333333</v>
      </c>
      <c r="X1442">
        <f t="shared" si="156"/>
        <v>0.215045789922509</v>
      </c>
      <c r="AH1442" t="str">
        <f t="shared" si="161"/>
        <v>3rd Quality</v>
      </c>
      <c r="AJ1442">
        <f>((T1442-X1442)*2)/23.8</f>
        <v>35.2681068446602</v>
      </c>
      <c r="AK1442">
        <f t="shared" si="159"/>
        <v>267899.72</v>
      </c>
    </row>
    <row r="1443" spans="1:37">
      <c r="A1443" t="s">
        <v>1506</v>
      </c>
      <c r="B1443">
        <v>25</v>
      </c>
      <c r="C1443" t="s">
        <v>44</v>
      </c>
      <c r="D1443" t="s">
        <v>45</v>
      </c>
      <c r="E1443">
        <v>427</v>
      </c>
      <c r="F1443">
        <v>20</v>
      </c>
      <c r="G1443">
        <v>20</v>
      </c>
      <c r="H1443">
        <v>6148.29</v>
      </c>
      <c r="I1443">
        <v>132942.64</v>
      </c>
      <c r="J1443">
        <v>52</v>
      </c>
      <c r="K1443">
        <v>3</v>
      </c>
      <c r="L1443">
        <v>0</v>
      </c>
      <c r="M1443">
        <v>21.4</v>
      </c>
      <c r="N1443" t="s">
        <v>81</v>
      </c>
      <c r="O1443" t="s">
        <v>53</v>
      </c>
      <c r="P1443" t="s">
        <v>58</v>
      </c>
      <c r="R1443">
        <f>SUMIF(A1443:A6442,"C01442",I1443:I6442)</f>
        <v>132942.64</v>
      </c>
      <c r="S1443" s="1">
        <v>43039.87</v>
      </c>
      <c r="T1443">
        <f t="shared" si="160"/>
        <v>2556.58923076923</v>
      </c>
      <c r="U1443">
        <f t="shared" si="162"/>
        <v>1112.8</v>
      </c>
      <c r="V1443">
        <f>U1443</f>
        <v>1112.8</v>
      </c>
      <c r="W1443">
        <f t="shared" si="158"/>
        <v>46363.9766666667</v>
      </c>
      <c r="X1443">
        <f t="shared" si="156"/>
        <v>0.0694502048537073</v>
      </c>
      <c r="AH1443" t="str">
        <f t="shared" si="161"/>
        <v>3rd Quality</v>
      </c>
      <c r="AJ1443">
        <f>((T1443-X1443)*2)</f>
        <v>5113.03956112875</v>
      </c>
      <c r="AK1443">
        <f t="shared" si="159"/>
        <v>1091663.60153846</v>
      </c>
    </row>
    <row r="1444" spans="1:37">
      <c r="A1444" t="s">
        <v>1507</v>
      </c>
      <c r="B1444">
        <v>38</v>
      </c>
      <c r="C1444" t="s">
        <v>44</v>
      </c>
      <c r="D1444" t="s">
        <v>60</v>
      </c>
      <c r="E1444">
        <v>1395</v>
      </c>
      <c r="F1444">
        <v>15</v>
      </c>
      <c r="G1444">
        <v>21</v>
      </c>
      <c r="H1444">
        <v>2341.62</v>
      </c>
      <c r="I1444">
        <v>43515.73</v>
      </c>
      <c r="J1444">
        <v>133</v>
      </c>
      <c r="K1444">
        <v>0</v>
      </c>
      <c r="L1444">
        <v>3.1</v>
      </c>
      <c r="M1444">
        <v>32.7</v>
      </c>
      <c r="N1444" t="s">
        <v>78</v>
      </c>
      <c r="O1444" t="s">
        <v>47</v>
      </c>
      <c r="P1444" t="s">
        <v>58</v>
      </c>
      <c r="R1444">
        <f>SUMIF(A1444:A6443,"C01443",I1444:I6443)</f>
        <v>43515.73</v>
      </c>
      <c r="S1444" s="1">
        <v>60477.64</v>
      </c>
      <c r="T1444">
        <f t="shared" si="160"/>
        <v>327.185939849624</v>
      </c>
      <c r="U1444">
        <f t="shared" si="162"/>
        <v>4349.1</v>
      </c>
      <c r="V1444">
        <f t="shared" si="157"/>
        <v>362.425</v>
      </c>
      <c r="W1444">
        <f t="shared" si="158"/>
        <v>15286.1166666667</v>
      </c>
      <c r="X1444">
        <f t="shared" si="156"/>
        <v>0.59574140979322</v>
      </c>
      <c r="AH1444" t="str">
        <f t="shared" si="161"/>
        <v>2nd Quality</v>
      </c>
      <c r="AJ1444">
        <f>((T1444-X1444)*2)/3.1</f>
        <v>210.703353832149</v>
      </c>
      <c r="AK1444">
        <f t="shared" si="159"/>
        <v>456424.386090226</v>
      </c>
    </row>
    <row r="1445" spans="1:37">
      <c r="A1445" t="s">
        <v>1508</v>
      </c>
      <c r="B1445">
        <v>55</v>
      </c>
      <c r="C1445" t="s">
        <v>56</v>
      </c>
      <c r="D1445" t="s">
        <v>60</v>
      </c>
      <c r="E1445">
        <v>1343</v>
      </c>
      <c r="F1445">
        <v>14</v>
      </c>
      <c r="G1445">
        <v>28</v>
      </c>
      <c r="H1445">
        <v>1643.26</v>
      </c>
      <c r="I1445">
        <v>43039.87</v>
      </c>
      <c r="J1445">
        <v>90</v>
      </c>
      <c r="K1445">
        <v>2</v>
      </c>
      <c r="L1445">
        <v>0</v>
      </c>
      <c r="M1445">
        <v>19.6</v>
      </c>
      <c r="N1445" t="s">
        <v>46</v>
      </c>
      <c r="O1445" t="s">
        <v>47</v>
      </c>
      <c r="P1445" t="s">
        <v>48</v>
      </c>
      <c r="R1445">
        <f>SUMIF(A1445:A6444,"C01444",I1445:I6444)</f>
        <v>43039.87</v>
      </c>
      <c r="S1445" s="1">
        <v>37710.97</v>
      </c>
      <c r="T1445">
        <f t="shared" si="160"/>
        <v>478.220777777778</v>
      </c>
      <c r="U1445">
        <f t="shared" si="162"/>
        <v>1764</v>
      </c>
      <c r="V1445">
        <f>U1445</f>
        <v>1764</v>
      </c>
      <c r="W1445">
        <f t="shared" si="158"/>
        <v>14894.71</v>
      </c>
      <c r="X1445">
        <f t="shared" si="156"/>
        <v>0.817277850127186</v>
      </c>
      <c r="AH1445" t="str">
        <f t="shared" si="161"/>
        <v>3rd Quality</v>
      </c>
      <c r="AJ1445">
        <f>((T1445-X1445)*2)</f>
        <v>954.806999855302</v>
      </c>
      <c r="AK1445">
        <f t="shared" si="159"/>
        <v>642250.504555556</v>
      </c>
    </row>
    <row r="1446" spans="1:37">
      <c r="A1446" t="s">
        <v>1509</v>
      </c>
      <c r="B1446">
        <v>30</v>
      </c>
      <c r="C1446" t="s">
        <v>44</v>
      </c>
      <c r="D1446" t="s">
        <v>60</v>
      </c>
      <c r="E1446">
        <v>547</v>
      </c>
      <c r="F1446">
        <v>2</v>
      </c>
      <c r="G1446">
        <v>17</v>
      </c>
      <c r="H1446">
        <v>3412.27</v>
      </c>
      <c r="I1446">
        <v>60477.64</v>
      </c>
      <c r="J1446">
        <v>90</v>
      </c>
      <c r="K1446">
        <v>0</v>
      </c>
      <c r="L1446">
        <v>12.5</v>
      </c>
      <c r="M1446">
        <v>57.4</v>
      </c>
      <c r="N1446" t="s">
        <v>46</v>
      </c>
      <c r="O1446" t="s">
        <v>75</v>
      </c>
      <c r="P1446" t="s">
        <v>54</v>
      </c>
      <c r="R1446">
        <f>SUMIF(A1446:A6445,"C01445",I1446:I6445)</f>
        <v>60477.64</v>
      </c>
      <c r="S1446" s="1">
        <v>2051.74</v>
      </c>
      <c r="T1446">
        <f t="shared" si="160"/>
        <v>671.973777777778</v>
      </c>
      <c r="U1446">
        <f t="shared" si="162"/>
        <v>5166</v>
      </c>
      <c r="V1446">
        <f t="shared" si="157"/>
        <v>430.5</v>
      </c>
      <c r="W1446">
        <f t="shared" si="158"/>
        <v>21296.97</v>
      </c>
      <c r="X1446">
        <f t="shared" si="156"/>
        <v>0.160303844654731</v>
      </c>
      <c r="AH1446" t="str">
        <f t="shared" si="161"/>
        <v>2nd Quality</v>
      </c>
      <c r="AJ1446">
        <f>((T1446-X1446)*2)/12.5</f>
        <v>107.4901558293</v>
      </c>
      <c r="AK1446">
        <f t="shared" si="159"/>
        <v>367569.656444444</v>
      </c>
    </row>
    <row r="1447" spans="1:37">
      <c r="A1447" t="s">
        <v>1510</v>
      </c>
      <c r="B1447">
        <v>28</v>
      </c>
      <c r="C1447" t="s">
        <v>50</v>
      </c>
      <c r="D1447" t="s">
        <v>60</v>
      </c>
      <c r="E1447">
        <v>999</v>
      </c>
      <c r="F1447">
        <v>37</v>
      </c>
      <c r="G1447">
        <v>4</v>
      </c>
      <c r="H1447">
        <v>8982.28</v>
      </c>
      <c r="I1447">
        <v>37710.97</v>
      </c>
      <c r="J1447">
        <v>31</v>
      </c>
      <c r="K1447">
        <v>0</v>
      </c>
      <c r="L1447">
        <v>0</v>
      </c>
      <c r="M1447">
        <v>44.4</v>
      </c>
      <c r="N1447" t="s">
        <v>63</v>
      </c>
      <c r="O1447" t="s">
        <v>47</v>
      </c>
      <c r="P1447" t="s">
        <v>58</v>
      </c>
      <c r="R1447">
        <f>SUMIF(A1447:A6446,"C01446",I1447:I6446)</f>
        <v>37710.97</v>
      </c>
      <c r="S1447" s="1">
        <v>49881.84</v>
      </c>
      <c r="T1447">
        <f t="shared" si="160"/>
        <v>1216.48290322581</v>
      </c>
      <c r="U1447">
        <f t="shared" si="162"/>
        <v>1376.4</v>
      </c>
      <c r="V1447">
        <f t="shared" si="157"/>
        <v>114.7</v>
      </c>
      <c r="W1447">
        <f t="shared" si="158"/>
        <v>15564.75</v>
      </c>
      <c r="X1447">
        <f t="shared" si="156"/>
        <v>0.111218977809643</v>
      </c>
      <c r="AH1447" t="str">
        <f t="shared" si="161"/>
        <v>1st Quality</v>
      </c>
      <c r="AJ1447">
        <f>((T1447-X1447)*2)</f>
        <v>2432.743368496</v>
      </c>
      <c r="AK1447">
        <f t="shared" si="159"/>
        <v>1215266.42032258</v>
      </c>
    </row>
    <row r="1448" spans="1:37">
      <c r="A1448" t="s">
        <v>1511</v>
      </c>
      <c r="B1448">
        <v>42</v>
      </c>
      <c r="C1448" t="s">
        <v>44</v>
      </c>
      <c r="D1448" t="s">
        <v>60</v>
      </c>
      <c r="E1448">
        <v>614</v>
      </c>
      <c r="F1448">
        <v>365</v>
      </c>
      <c r="G1448">
        <v>1</v>
      </c>
      <c r="H1448">
        <v>2158.3</v>
      </c>
      <c r="I1448">
        <v>2051.74</v>
      </c>
      <c r="J1448">
        <v>13</v>
      </c>
      <c r="K1448">
        <v>0</v>
      </c>
      <c r="L1448">
        <v>24</v>
      </c>
      <c r="M1448">
        <v>24.3</v>
      </c>
      <c r="N1448" t="s">
        <v>61</v>
      </c>
      <c r="O1448" t="s">
        <v>75</v>
      </c>
      <c r="P1448" t="s">
        <v>58</v>
      </c>
      <c r="R1448">
        <f>SUMIF(A1448:A6447,"C01447",I1448:I6447)</f>
        <v>2051.74</v>
      </c>
      <c r="S1448" s="1">
        <v>38705.78</v>
      </c>
      <c r="T1448">
        <f t="shared" si="160"/>
        <v>157.826153846154</v>
      </c>
      <c r="U1448">
        <f t="shared" si="162"/>
        <v>315.9</v>
      </c>
      <c r="V1448">
        <f t="shared" si="157"/>
        <v>26.325</v>
      </c>
      <c r="W1448">
        <f t="shared" si="158"/>
        <v>1403.68</v>
      </c>
      <c r="X1448">
        <f t="shared" si="156"/>
        <v>0.284483158041051</v>
      </c>
      <c r="AH1448" t="str">
        <f t="shared" si="161"/>
        <v>3rd Quality</v>
      </c>
      <c r="AJ1448">
        <f>((T1448-X1448)*2)/24</f>
        <v>13.1284725573427</v>
      </c>
      <c r="AK1448">
        <f t="shared" si="159"/>
        <v>96905.2584615385</v>
      </c>
    </row>
    <row r="1449" spans="1:37">
      <c r="A1449" t="s">
        <v>1512</v>
      </c>
      <c r="B1449">
        <v>38</v>
      </c>
      <c r="C1449" t="s">
        <v>44</v>
      </c>
      <c r="D1449" t="s">
        <v>45</v>
      </c>
      <c r="E1449">
        <v>971</v>
      </c>
      <c r="F1449">
        <v>39</v>
      </c>
      <c r="G1449">
        <v>4</v>
      </c>
      <c r="H1449">
        <v>13145.01</v>
      </c>
      <c r="I1449">
        <v>49881.84</v>
      </c>
      <c r="J1449">
        <v>19</v>
      </c>
      <c r="K1449">
        <v>0</v>
      </c>
      <c r="L1449">
        <v>0</v>
      </c>
      <c r="M1449">
        <v>21.1</v>
      </c>
      <c r="N1449" t="s">
        <v>57</v>
      </c>
      <c r="O1449" t="s">
        <v>47</v>
      </c>
      <c r="P1449" t="s">
        <v>58</v>
      </c>
      <c r="R1449">
        <f>SUMIF(A1449:A6448,"C01448",I1449:I6448)</f>
        <v>49881.84</v>
      </c>
      <c r="S1449" s="1">
        <v>126671.35</v>
      </c>
      <c r="T1449">
        <f t="shared" si="160"/>
        <v>2625.36</v>
      </c>
      <c r="U1449">
        <f t="shared" si="162"/>
        <v>400.9</v>
      </c>
      <c r="V1449">
        <f t="shared" si="157"/>
        <v>33.4083333333333</v>
      </c>
      <c r="W1449">
        <f t="shared" si="158"/>
        <v>21009.2833333333</v>
      </c>
      <c r="X1449">
        <f t="shared" si="156"/>
        <v>0.0738683348281972</v>
      </c>
      <c r="AH1449" t="str">
        <f t="shared" si="161"/>
        <v>2nd Quality</v>
      </c>
      <c r="AJ1449">
        <f>((T1449-X1449)*2)</f>
        <v>5250.57226333034</v>
      </c>
      <c r="AK1449">
        <f t="shared" si="159"/>
        <v>2549224.56</v>
      </c>
    </row>
    <row r="1450" spans="1:37">
      <c r="A1450" t="s">
        <v>1513</v>
      </c>
      <c r="B1450">
        <v>18</v>
      </c>
      <c r="C1450" t="s">
        <v>44</v>
      </c>
      <c r="D1450" t="s">
        <v>45</v>
      </c>
      <c r="E1450">
        <v>867</v>
      </c>
      <c r="F1450">
        <v>50</v>
      </c>
      <c r="G1450">
        <v>6</v>
      </c>
      <c r="H1450">
        <v>6090.21</v>
      </c>
      <c r="I1450">
        <v>38705.78</v>
      </c>
      <c r="J1450">
        <v>45</v>
      </c>
      <c r="K1450">
        <v>0</v>
      </c>
      <c r="L1450">
        <v>0</v>
      </c>
      <c r="M1450">
        <v>11.7</v>
      </c>
      <c r="N1450" t="s">
        <v>78</v>
      </c>
      <c r="O1450" t="s">
        <v>47</v>
      </c>
      <c r="P1450" t="s">
        <v>58</v>
      </c>
      <c r="R1450">
        <f>SUMIF(A1450:A6449,"C01449",I1450:I6449)</f>
        <v>38705.78</v>
      </c>
      <c r="S1450" s="1">
        <v>2170.32</v>
      </c>
      <c r="T1450">
        <f t="shared" si="160"/>
        <v>860.128444444444</v>
      </c>
      <c r="U1450">
        <f t="shared" si="162"/>
        <v>526.5</v>
      </c>
      <c r="V1450">
        <f t="shared" si="157"/>
        <v>43.875</v>
      </c>
      <c r="W1450">
        <f t="shared" si="158"/>
        <v>14932.33</v>
      </c>
      <c r="X1450">
        <f t="shared" si="156"/>
        <v>0.142359623067185</v>
      </c>
      <c r="AH1450" t="str">
        <f t="shared" si="161"/>
        <v>2nd Quality</v>
      </c>
      <c r="AJ1450">
        <f>((T1450-X1450)*2)</f>
        <v>1719.97216964275</v>
      </c>
      <c r="AK1450">
        <f t="shared" si="159"/>
        <v>745731.361333333</v>
      </c>
    </row>
    <row r="1451" spans="1:37">
      <c r="A1451" t="s">
        <v>1514</v>
      </c>
      <c r="B1451">
        <v>45</v>
      </c>
      <c r="C1451" t="s">
        <v>44</v>
      </c>
      <c r="D1451" t="s">
        <v>45</v>
      </c>
      <c r="E1451">
        <v>389</v>
      </c>
      <c r="F1451">
        <v>7</v>
      </c>
      <c r="G1451">
        <v>24</v>
      </c>
      <c r="H1451">
        <v>5205.07</v>
      </c>
      <c r="I1451">
        <v>126671.35</v>
      </c>
      <c r="J1451">
        <v>177</v>
      </c>
      <c r="K1451">
        <v>0</v>
      </c>
      <c r="L1451">
        <v>6.6</v>
      </c>
      <c r="M1451">
        <v>66.8</v>
      </c>
      <c r="N1451" t="s">
        <v>52</v>
      </c>
      <c r="O1451" t="s">
        <v>47</v>
      </c>
      <c r="P1451" t="s">
        <v>58</v>
      </c>
      <c r="R1451">
        <f>SUMIF(A1451:A6450,"C01450",I1451:I6450)</f>
        <v>126671.35</v>
      </c>
      <c r="S1451" s="1">
        <v>64150.14</v>
      </c>
      <c r="T1451">
        <f t="shared" si="160"/>
        <v>715.657344632768</v>
      </c>
      <c r="U1451">
        <f t="shared" si="162"/>
        <v>11823.6</v>
      </c>
      <c r="V1451">
        <f t="shared" si="157"/>
        <v>985.3</v>
      </c>
      <c r="W1451">
        <f t="shared" si="158"/>
        <v>43959.14</v>
      </c>
      <c r="X1451">
        <f t="shared" si="156"/>
        <v>0.0747348258524861</v>
      </c>
      <c r="AH1451" t="str">
        <f t="shared" si="161"/>
        <v>3rd Quality</v>
      </c>
      <c r="AJ1451">
        <f>((T1451-X1451)*2)/6.6</f>
        <v>216.843215093005</v>
      </c>
      <c r="AK1451">
        <f t="shared" si="159"/>
        <v>278390.707062147</v>
      </c>
    </row>
    <row r="1452" spans="1:37">
      <c r="A1452" t="s">
        <v>1515</v>
      </c>
      <c r="B1452">
        <v>20</v>
      </c>
      <c r="C1452" t="s">
        <v>44</v>
      </c>
      <c r="D1452" t="s">
        <v>60</v>
      </c>
      <c r="E1452">
        <v>1235</v>
      </c>
      <c r="F1452">
        <v>48</v>
      </c>
      <c r="G1452">
        <v>3</v>
      </c>
      <c r="H1452">
        <v>743.25</v>
      </c>
      <c r="I1452">
        <v>2170.32</v>
      </c>
      <c r="J1452">
        <v>22</v>
      </c>
      <c r="K1452">
        <v>2</v>
      </c>
      <c r="L1452">
        <v>19.7</v>
      </c>
      <c r="M1452">
        <v>35.3</v>
      </c>
      <c r="N1452" t="s">
        <v>63</v>
      </c>
      <c r="O1452" t="s">
        <v>47</v>
      </c>
      <c r="P1452" t="s">
        <v>58</v>
      </c>
      <c r="R1452">
        <f>SUMIF(A1452:A6451,"C01451",I1452:I6451)</f>
        <v>2170.32</v>
      </c>
      <c r="S1452" s="1">
        <v>1595.74</v>
      </c>
      <c r="T1452">
        <f t="shared" si="160"/>
        <v>98.6509090909091</v>
      </c>
      <c r="U1452">
        <f t="shared" si="162"/>
        <v>776.6</v>
      </c>
      <c r="V1452">
        <f>U1452</f>
        <v>776.6</v>
      </c>
      <c r="W1452">
        <f t="shared" si="158"/>
        <v>971.523333333333</v>
      </c>
      <c r="X1452">
        <f t="shared" si="156"/>
        <v>1.66162125798856</v>
      </c>
      <c r="AH1452" t="str">
        <f t="shared" si="161"/>
        <v>3rd Quality</v>
      </c>
      <c r="AJ1452">
        <f>((T1452-X1452)*2)/19.7</f>
        <v>9.84662820638787</v>
      </c>
      <c r="AK1452">
        <f t="shared" si="159"/>
        <v>121833.872727273</v>
      </c>
    </row>
    <row r="1453" spans="1:37">
      <c r="A1453" t="s">
        <v>1516</v>
      </c>
      <c r="B1453">
        <v>43</v>
      </c>
      <c r="C1453" t="s">
        <v>50</v>
      </c>
      <c r="D1453" t="s">
        <v>45</v>
      </c>
      <c r="E1453">
        <v>1211</v>
      </c>
      <c r="F1453">
        <v>10</v>
      </c>
      <c r="G1453">
        <v>6</v>
      </c>
      <c r="H1453">
        <v>11968.73</v>
      </c>
      <c r="I1453">
        <v>64150.14</v>
      </c>
      <c r="J1453">
        <v>44</v>
      </c>
      <c r="K1453">
        <v>1</v>
      </c>
      <c r="L1453">
        <v>15.2</v>
      </c>
      <c r="M1453">
        <v>25.7</v>
      </c>
      <c r="N1453" t="s">
        <v>63</v>
      </c>
      <c r="O1453" t="s">
        <v>47</v>
      </c>
      <c r="P1453" t="s">
        <v>48</v>
      </c>
      <c r="R1453">
        <f>SUMIF(A1453:A6452,"C01452",I1453:I6452)</f>
        <v>64150.14</v>
      </c>
      <c r="S1453" s="1">
        <v>2293.78</v>
      </c>
      <c r="T1453">
        <f t="shared" si="160"/>
        <v>1457.95772727273</v>
      </c>
      <c r="U1453">
        <f t="shared" si="162"/>
        <v>1130.8</v>
      </c>
      <c r="V1453">
        <f>U1453</f>
        <v>1130.8</v>
      </c>
      <c r="W1453">
        <f t="shared" si="158"/>
        <v>25373.29</v>
      </c>
      <c r="X1453">
        <f t="shared" si="156"/>
        <v>0.101180325732137</v>
      </c>
      <c r="AH1453" t="str">
        <f t="shared" si="161"/>
        <v>2nd Quality</v>
      </c>
      <c r="AJ1453">
        <f>((T1453-X1453)*2)/15.2</f>
        <v>191.823229861447</v>
      </c>
      <c r="AK1453">
        <f t="shared" si="159"/>
        <v>1765586.80772727</v>
      </c>
    </row>
    <row r="1454" spans="1:37">
      <c r="A1454" t="s">
        <v>1517</v>
      </c>
      <c r="B1454">
        <v>32</v>
      </c>
      <c r="C1454" t="s">
        <v>44</v>
      </c>
      <c r="D1454" t="s">
        <v>60</v>
      </c>
      <c r="E1454">
        <v>435</v>
      </c>
      <c r="F1454">
        <v>365</v>
      </c>
      <c r="G1454">
        <v>1</v>
      </c>
      <c r="H1454">
        <v>1539.21</v>
      </c>
      <c r="I1454">
        <v>1595.74</v>
      </c>
      <c r="J1454">
        <v>3</v>
      </c>
      <c r="K1454">
        <v>0</v>
      </c>
      <c r="L1454">
        <v>12.2</v>
      </c>
      <c r="M1454">
        <v>67.1</v>
      </c>
      <c r="N1454" t="s">
        <v>78</v>
      </c>
      <c r="O1454" t="s">
        <v>75</v>
      </c>
      <c r="P1454" t="s">
        <v>48</v>
      </c>
      <c r="R1454">
        <f>SUMIF(A1454:A6453,"C01453",I1454:I6453)</f>
        <v>1595.74</v>
      </c>
      <c r="S1454" s="1">
        <v>1680.99</v>
      </c>
      <c r="T1454">
        <f t="shared" si="160"/>
        <v>531.913333333333</v>
      </c>
      <c r="U1454">
        <f t="shared" si="162"/>
        <v>201.3</v>
      </c>
      <c r="V1454">
        <f t="shared" si="157"/>
        <v>16.775</v>
      </c>
      <c r="W1454">
        <f t="shared" si="158"/>
        <v>1045.31666666667</v>
      </c>
      <c r="X1454">
        <f t="shared" si="156"/>
        <v>0.282612509014365</v>
      </c>
      <c r="AH1454" t="str">
        <f t="shared" si="161"/>
        <v>3rd Quality</v>
      </c>
      <c r="AJ1454">
        <f>((T1454-X1454)*2)/12.2</f>
        <v>87.1525771843145</v>
      </c>
      <c r="AK1454">
        <f t="shared" si="159"/>
        <v>231382.3</v>
      </c>
    </row>
    <row r="1455" spans="1:37">
      <c r="A1455" t="s">
        <v>1518</v>
      </c>
      <c r="B1455">
        <v>33</v>
      </c>
      <c r="C1455" t="s">
        <v>50</v>
      </c>
      <c r="D1455" t="s">
        <v>45</v>
      </c>
      <c r="E1455">
        <v>599</v>
      </c>
      <c r="F1455">
        <v>180</v>
      </c>
      <c r="G1455">
        <v>1</v>
      </c>
      <c r="H1455">
        <v>2413.73</v>
      </c>
      <c r="I1455">
        <v>2293.78</v>
      </c>
      <c r="J1455">
        <v>14</v>
      </c>
      <c r="K1455">
        <v>0</v>
      </c>
      <c r="L1455">
        <v>25.1</v>
      </c>
      <c r="M1455">
        <v>7.6</v>
      </c>
      <c r="N1455" t="s">
        <v>52</v>
      </c>
      <c r="O1455" t="s">
        <v>47</v>
      </c>
      <c r="P1455" t="s">
        <v>58</v>
      </c>
      <c r="R1455">
        <f>SUMIF(A1455:A6454,"C01454",I1455:I6454)</f>
        <v>2293.78</v>
      </c>
      <c r="S1455" s="1">
        <v>129413.23</v>
      </c>
      <c r="T1455">
        <f t="shared" si="160"/>
        <v>163.841428571429</v>
      </c>
      <c r="U1455">
        <f t="shared" si="162"/>
        <v>106.4</v>
      </c>
      <c r="V1455">
        <f t="shared" si="157"/>
        <v>8.86666666666667</v>
      </c>
      <c r="W1455">
        <f t="shared" si="158"/>
        <v>1569.50333333333</v>
      </c>
      <c r="X1455">
        <f t="shared" ref="X1455:X1518" si="163">E1455/H1455</f>
        <v>0.248163630563485</v>
      </c>
      <c r="AH1455" t="str">
        <f t="shared" si="161"/>
        <v>3rd Quality</v>
      </c>
      <c r="AJ1455">
        <f>((T1455-X1455)*2)/25.1</f>
        <v>13.0353199156068</v>
      </c>
      <c r="AK1455">
        <f t="shared" si="159"/>
        <v>98141.0157142857</v>
      </c>
    </row>
    <row r="1456" spans="1:37">
      <c r="A1456" t="s">
        <v>1519</v>
      </c>
      <c r="B1456">
        <v>34</v>
      </c>
      <c r="C1456" t="s">
        <v>44</v>
      </c>
      <c r="D1456" t="s">
        <v>45</v>
      </c>
      <c r="E1456">
        <v>495</v>
      </c>
      <c r="F1456">
        <v>72</v>
      </c>
      <c r="G1456">
        <v>3</v>
      </c>
      <c r="H1456">
        <v>550.15</v>
      </c>
      <c r="I1456">
        <v>1680.99</v>
      </c>
      <c r="J1456">
        <v>30</v>
      </c>
      <c r="K1456">
        <v>1</v>
      </c>
      <c r="L1456">
        <v>19.9</v>
      </c>
      <c r="M1456">
        <v>35.4</v>
      </c>
      <c r="N1456" t="s">
        <v>57</v>
      </c>
      <c r="O1456" t="s">
        <v>47</v>
      </c>
      <c r="P1456" t="s">
        <v>58</v>
      </c>
      <c r="R1456">
        <f>SUMIF(A1456:A6455,"C01455",I1456:I6455)</f>
        <v>1680.99</v>
      </c>
      <c r="S1456" s="1">
        <v>12680.53</v>
      </c>
      <c r="T1456">
        <f t="shared" si="160"/>
        <v>56.033</v>
      </c>
      <c r="U1456">
        <f t="shared" si="162"/>
        <v>1062</v>
      </c>
      <c r="V1456">
        <f>U1456</f>
        <v>1062</v>
      </c>
      <c r="W1456">
        <f t="shared" si="158"/>
        <v>744.046666666667</v>
      </c>
      <c r="X1456">
        <f t="shared" si="163"/>
        <v>0.899754612378442</v>
      </c>
      <c r="AH1456" t="str">
        <f t="shared" si="161"/>
        <v>3rd Quality</v>
      </c>
      <c r="AJ1456">
        <f>((T1456-X1456)*2)/19.9</f>
        <v>5.54102968719815</v>
      </c>
      <c r="AK1456">
        <f t="shared" si="159"/>
        <v>27736.335</v>
      </c>
    </row>
    <row r="1457" spans="1:37">
      <c r="A1457" t="s">
        <v>1520</v>
      </c>
      <c r="B1457">
        <v>24</v>
      </c>
      <c r="C1457" t="s">
        <v>50</v>
      </c>
      <c r="D1457" t="s">
        <v>60</v>
      </c>
      <c r="E1457">
        <v>788</v>
      </c>
      <c r="F1457">
        <v>6</v>
      </c>
      <c r="G1457">
        <v>29</v>
      </c>
      <c r="H1457">
        <v>4236.42</v>
      </c>
      <c r="I1457">
        <v>129413.23</v>
      </c>
      <c r="J1457">
        <v>64</v>
      </c>
      <c r="K1457">
        <v>4</v>
      </c>
      <c r="L1457">
        <v>11.5</v>
      </c>
      <c r="M1457">
        <v>29.6</v>
      </c>
      <c r="N1457" t="s">
        <v>78</v>
      </c>
      <c r="O1457" t="s">
        <v>47</v>
      </c>
      <c r="P1457" t="s">
        <v>68</v>
      </c>
      <c r="R1457">
        <f>SUMIF(A1457:A6456,"C01456",I1457:I6456)</f>
        <v>129413.23</v>
      </c>
      <c r="S1457" s="1">
        <v>7836.11</v>
      </c>
      <c r="T1457">
        <f t="shared" si="160"/>
        <v>2022.08171875</v>
      </c>
      <c r="U1457">
        <f t="shared" si="162"/>
        <v>1894.4</v>
      </c>
      <c r="V1457">
        <f>U1457</f>
        <v>1894.4</v>
      </c>
      <c r="W1457">
        <f t="shared" si="158"/>
        <v>44550.2166666667</v>
      </c>
      <c r="X1457">
        <f t="shared" si="163"/>
        <v>0.186006108931598</v>
      </c>
      <c r="AH1457" t="str">
        <f t="shared" si="161"/>
        <v>2nd Quality</v>
      </c>
      <c r="AJ1457">
        <f>((T1457-X1457)*2)/11.5</f>
        <v>351.634036981055</v>
      </c>
      <c r="AK1457">
        <f t="shared" si="159"/>
        <v>1593400.394375</v>
      </c>
    </row>
    <row r="1458" spans="1:37">
      <c r="A1458" t="s">
        <v>1521</v>
      </c>
      <c r="B1458">
        <v>47</v>
      </c>
      <c r="C1458" t="s">
        <v>50</v>
      </c>
      <c r="D1458" t="s">
        <v>60</v>
      </c>
      <c r="E1458">
        <v>858</v>
      </c>
      <c r="F1458">
        <v>76</v>
      </c>
      <c r="G1458">
        <v>13</v>
      </c>
      <c r="H1458">
        <v>984.1</v>
      </c>
      <c r="I1458">
        <v>12680.53</v>
      </c>
      <c r="J1458">
        <v>58</v>
      </c>
      <c r="K1458">
        <v>0</v>
      </c>
      <c r="L1458">
        <v>18.3</v>
      </c>
      <c r="M1458">
        <v>17.9</v>
      </c>
      <c r="N1458" t="s">
        <v>46</v>
      </c>
      <c r="O1458" t="s">
        <v>47</v>
      </c>
      <c r="P1458" t="s">
        <v>58</v>
      </c>
      <c r="R1458">
        <f>SUMIF(A1458:A6457,"C01457",I1458:I6457)</f>
        <v>12680.53</v>
      </c>
      <c r="S1458" s="1">
        <v>5081.94</v>
      </c>
      <c r="T1458">
        <f t="shared" si="160"/>
        <v>218.629827586207</v>
      </c>
      <c r="U1458">
        <f t="shared" si="162"/>
        <v>1038.2</v>
      </c>
      <c r="V1458">
        <f t="shared" si="157"/>
        <v>86.5166666666667</v>
      </c>
      <c r="W1458">
        <f t="shared" si="158"/>
        <v>4555.21</v>
      </c>
      <c r="X1458">
        <f t="shared" si="163"/>
        <v>0.871862615587847</v>
      </c>
      <c r="AH1458" t="str">
        <f t="shared" si="161"/>
        <v>3rd Quality</v>
      </c>
      <c r="AJ1458">
        <f>((T1458-X1458)*2)/18.3</f>
        <v>23.7986846962425</v>
      </c>
      <c r="AK1458">
        <f t="shared" si="159"/>
        <v>187584.392068966</v>
      </c>
    </row>
    <row r="1459" spans="1:37">
      <c r="A1459" t="s">
        <v>1522</v>
      </c>
      <c r="B1459">
        <v>35</v>
      </c>
      <c r="C1459" t="s">
        <v>50</v>
      </c>
      <c r="D1459" t="s">
        <v>60</v>
      </c>
      <c r="E1459">
        <v>1075</v>
      </c>
      <c r="F1459">
        <v>36</v>
      </c>
      <c r="G1459">
        <v>6</v>
      </c>
      <c r="H1459">
        <v>1388.22</v>
      </c>
      <c r="I1459">
        <v>7836.11</v>
      </c>
      <c r="J1459">
        <v>65</v>
      </c>
      <c r="K1459">
        <v>1</v>
      </c>
      <c r="L1459">
        <v>38.6</v>
      </c>
      <c r="M1459">
        <v>30.1</v>
      </c>
      <c r="N1459" t="s">
        <v>57</v>
      </c>
      <c r="O1459" t="s">
        <v>47</v>
      </c>
      <c r="P1459" t="s">
        <v>68</v>
      </c>
      <c r="R1459">
        <f>SUMIF(A1459:A6458,"C01458",I1459:I6458)</f>
        <v>7836.11</v>
      </c>
      <c r="S1459" s="1">
        <v>13570.06</v>
      </c>
      <c r="T1459">
        <f t="shared" si="160"/>
        <v>120.555538461538</v>
      </c>
      <c r="U1459">
        <f t="shared" si="162"/>
        <v>1956.5</v>
      </c>
      <c r="V1459">
        <f>U1459</f>
        <v>1956.5</v>
      </c>
      <c r="W1459">
        <f t="shared" si="158"/>
        <v>3075.11</v>
      </c>
      <c r="X1459">
        <f t="shared" si="163"/>
        <v>0.774372938006944</v>
      </c>
      <c r="AH1459" t="str">
        <f t="shared" si="161"/>
        <v>3rd Quality</v>
      </c>
      <c r="AJ1459">
        <f>((T1459-X1459)*2)/38.6</f>
        <v>6.20627800640057</v>
      </c>
      <c r="AK1459">
        <f t="shared" si="159"/>
        <v>129597.203846154</v>
      </c>
    </row>
    <row r="1460" spans="1:37">
      <c r="A1460" t="s">
        <v>1523</v>
      </c>
      <c r="B1460">
        <v>30</v>
      </c>
      <c r="C1460" t="s">
        <v>50</v>
      </c>
      <c r="D1460" t="s">
        <v>60</v>
      </c>
      <c r="E1460">
        <v>1060</v>
      </c>
      <c r="F1460">
        <v>151</v>
      </c>
      <c r="G1460">
        <v>2</v>
      </c>
      <c r="H1460">
        <v>2728.13</v>
      </c>
      <c r="I1460">
        <v>5081.94</v>
      </c>
      <c r="J1460">
        <v>22</v>
      </c>
      <c r="K1460">
        <v>0</v>
      </c>
      <c r="L1460">
        <v>9</v>
      </c>
      <c r="M1460">
        <v>53.9</v>
      </c>
      <c r="N1460" t="s">
        <v>57</v>
      </c>
      <c r="O1460" t="s">
        <v>53</v>
      </c>
      <c r="P1460" t="s">
        <v>58</v>
      </c>
      <c r="R1460">
        <f>SUMIF(A1460:A6459,"C01459",I1460:I6459)</f>
        <v>5081.94</v>
      </c>
      <c r="S1460" s="1">
        <v>1291.28</v>
      </c>
      <c r="T1460">
        <f t="shared" si="160"/>
        <v>230.997272727273</v>
      </c>
      <c r="U1460">
        <f t="shared" si="162"/>
        <v>1185.8</v>
      </c>
      <c r="V1460">
        <f t="shared" si="157"/>
        <v>98.8166666666667</v>
      </c>
      <c r="W1460">
        <f t="shared" si="158"/>
        <v>2603.69</v>
      </c>
      <c r="X1460">
        <f t="shared" si="163"/>
        <v>0.388544534168093</v>
      </c>
      <c r="AH1460" t="str">
        <f t="shared" si="161"/>
        <v>3rd Quality</v>
      </c>
      <c r="AJ1460">
        <f>((T1460-X1460)*2)/9</f>
        <v>51.2463840429122</v>
      </c>
      <c r="AK1460">
        <f t="shared" si="159"/>
        <v>244857.109090909</v>
      </c>
    </row>
    <row r="1461" spans="1:37">
      <c r="A1461" t="s">
        <v>1524</v>
      </c>
      <c r="B1461">
        <v>52</v>
      </c>
      <c r="C1461" t="s">
        <v>50</v>
      </c>
      <c r="D1461" t="s">
        <v>60</v>
      </c>
      <c r="E1461">
        <v>516</v>
      </c>
      <c r="F1461">
        <v>26</v>
      </c>
      <c r="G1461">
        <v>13</v>
      </c>
      <c r="H1461">
        <v>994.92</v>
      </c>
      <c r="I1461">
        <v>13570.06</v>
      </c>
      <c r="J1461">
        <v>47</v>
      </c>
      <c r="K1461">
        <v>0</v>
      </c>
      <c r="L1461">
        <v>0.6</v>
      </c>
      <c r="M1461">
        <v>19.8</v>
      </c>
      <c r="N1461" t="s">
        <v>63</v>
      </c>
      <c r="O1461" t="s">
        <v>47</v>
      </c>
      <c r="P1461" t="s">
        <v>68</v>
      </c>
      <c r="R1461">
        <f>SUMIF(A1461:A6460,"C01460",I1461:I6460)</f>
        <v>13570.06</v>
      </c>
      <c r="S1461" s="1">
        <v>18395.68</v>
      </c>
      <c r="T1461">
        <f t="shared" si="160"/>
        <v>288.724680851064</v>
      </c>
      <c r="U1461">
        <f t="shared" si="162"/>
        <v>930.6</v>
      </c>
      <c r="V1461">
        <f t="shared" si="157"/>
        <v>77.55</v>
      </c>
      <c r="W1461">
        <f t="shared" si="158"/>
        <v>4855.32666666667</v>
      </c>
      <c r="X1461">
        <f t="shared" si="163"/>
        <v>0.518634664093595</v>
      </c>
      <c r="AH1461" t="str">
        <f t="shared" si="161"/>
        <v>3rd Quality</v>
      </c>
      <c r="AJ1461">
        <f>((T1461-X1461)*2)/0.6</f>
        <v>960.686820623235</v>
      </c>
      <c r="AK1461">
        <f t="shared" si="159"/>
        <v>148981.935319149</v>
      </c>
    </row>
    <row r="1462" spans="1:37">
      <c r="A1462" t="s">
        <v>1525</v>
      </c>
      <c r="B1462">
        <v>33</v>
      </c>
      <c r="C1462" t="s">
        <v>44</v>
      </c>
      <c r="D1462" t="s">
        <v>51</v>
      </c>
      <c r="E1462">
        <v>893</v>
      </c>
      <c r="F1462">
        <v>169</v>
      </c>
      <c r="G1462">
        <v>2</v>
      </c>
      <c r="H1462">
        <v>590.18</v>
      </c>
      <c r="I1462">
        <v>1291.28</v>
      </c>
      <c r="J1462">
        <v>19</v>
      </c>
      <c r="K1462">
        <v>0</v>
      </c>
      <c r="L1462">
        <v>30.8</v>
      </c>
      <c r="M1462">
        <v>30.1</v>
      </c>
      <c r="N1462" t="s">
        <v>81</v>
      </c>
      <c r="O1462" t="s">
        <v>47</v>
      </c>
      <c r="P1462" t="s">
        <v>58</v>
      </c>
      <c r="R1462">
        <f>SUMIF(A1462:A6461,"C01461",I1462:I6461)</f>
        <v>1291.28</v>
      </c>
      <c r="S1462" s="1">
        <v>61105.57</v>
      </c>
      <c r="T1462">
        <f t="shared" si="160"/>
        <v>67.9621052631579</v>
      </c>
      <c r="U1462">
        <f t="shared" si="162"/>
        <v>571.9</v>
      </c>
      <c r="V1462">
        <f t="shared" si="157"/>
        <v>47.6583333333333</v>
      </c>
      <c r="W1462">
        <f t="shared" si="158"/>
        <v>627.486666666667</v>
      </c>
      <c r="X1462">
        <f t="shared" si="163"/>
        <v>1.51309769900708</v>
      </c>
      <c r="AH1462" t="str">
        <f t="shared" si="161"/>
        <v>3rd Quality</v>
      </c>
      <c r="AJ1462">
        <f>((T1462-X1462)*2)/30.8</f>
        <v>4.31487062104875</v>
      </c>
      <c r="AK1462">
        <f t="shared" si="159"/>
        <v>60690.16</v>
      </c>
    </row>
    <row r="1463" spans="1:37">
      <c r="A1463" t="s">
        <v>1526</v>
      </c>
      <c r="B1463">
        <v>24</v>
      </c>
      <c r="C1463" t="s">
        <v>44</v>
      </c>
      <c r="D1463" t="s">
        <v>60</v>
      </c>
      <c r="E1463">
        <v>1239</v>
      </c>
      <c r="F1463">
        <v>39</v>
      </c>
      <c r="G1463">
        <v>2</v>
      </c>
      <c r="H1463">
        <v>8247.75</v>
      </c>
      <c r="I1463">
        <v>18395.68</v>
      </c>
      <c r="J1463">
        <v>22</v>
      </c>
      <c r="K1463">
        <v>0</v>
      </c>
      <c r="L1463">
        <v>0</v>
      </c>
      <c r="M1463">
        <v>34.2</v>
      </c>
      <c r="N1463" t="s">
        <v>61</v>
      </c>
      <c r="O1463" t="s">
        <v>47</v>
      </c>
      <c r="P1463" t="s">
        <v>58</v>
      </c>
      <c r="R1463">
        <f>SUMIF(A1463:A6462,"C01462",I1463:I6462)</f>
        <v>18395.68</v>
      </c>
      <c r="S1463" s="1">
        <v>10209.17</v>
      </c>
      <c r="T1463">
        <f t="shared" si="160"/>
        <v>836.167272727273</v>
      </c>
      <c r="U1463">
        <f t="shared" si="162"/>
        <v>752.4</v>
      </c>
      <c r="V1463">
        <f t="shared" si="157"/>
        <v>62.7</v>
      </c>
      <c r="W1463">
        <f t="shared" si="158"/>
        <v>8881.47666666667</v>
      </c>
      <c r="X1463">
        <f t="shared" si="163"/>
        <v>0.1502227880331</v>
      </c>
      <c r="AH1463" t="str">
        <f t="shared" si="161"/>
        <v>2nd Quality</v>
      </c>
      <c r="AJ1463">
        <f>((T1463-X1463)*2)</f>
        <v>1672.03409987848</v>
      </c>
      <c r="AK1463">
        <f t="shared" si="159"/>
        <v>1036011.25090909</v>
      </c>
    </row>
    <row r="1464" spans="1:37">
      <c r="A1464" t="s">
        <v>1527</v>
      </c>
      <c r="B1464">
        <v>43</v>
      </c>
      <c r="C1464" t="s">
        <v>44</v>
      </c>
      <c r="D1464" t="s">
        <v>60</v>
      </c>
      <c r="E1464">
        <v>1339</v>
      </c>
      <c r="F1464">
        <v>18</v>
      </c>
      <c r="G1464">
        <v>21</v>
      </c>
      <c r="H1464">
        <v>2712.37</v>
      </c>
      <c r="I1464">
        <v>61105.57</v>
      </c>
      <c r="J1464">
        <v>111</v>
      </c>
      <c r="K1464">
        <v>1</v>
      </c>
      <c r="L1464">
        <v>10.4</v>
      </c>
      <c r="M1464">
        <v>21.8</v>
      </c>
      <c r="N1464" t="s">
        <v>81</v>
      </c>
      <c r="O1464" t="s">
        <v>47</v>
      </c>
      <c r="P1464" t="s">
        <v>58</v>
      </c>
      <c r="R1464">
        <f>SUMIF(A1464:A6463,"C01463",I1464:I6463)</f>
        <v>61105.57</v>
      </c>
      <c r="S1464" s="1">
        <v>53781.92</v>
      </c>
      <c r="T1464">
        <f t="shared" si="160"/>
        <v>550.500630630631</v>
      </c>
      <c r="U1464">
        <f t="shared" si="162"/>
        <v>2419.8</v>
      </c>
      <c r="V1464">
        <f>U1464</f>
        <v>2419.8</v>
      </c>
      <c r="W1464">
        <f t="shared" si="158"/>
        <v>21272.98</v>
      </c>
      <c r="X1464">
        <f t="shared" si="163"/>
        <v>0.493664212478386</v>
      </c>
      <c r="AH1464" t="str">
        <f t="shared" si="161"/>
        <v>2nd Quality</v>
      </c>
      <c r="AJ1464">
        <f>((T1464-X1464)*2)/10.4</f>
        <v>105.770570465029</v>
      </c>
      <c r="AK1464">
        <f t="shared" si="159"/>
        <v>737120.344414414</v>
      </c>
    </row>
    <row r="1465" spans="1:37">
      <c r="A1465" t="s">
        <v>1528</v>
      </c>
      <c r="B1465">
        <v>27</v>
      </c>
      <c r="C1465" t="s">
        <v>44</v>
      </c>
      <c r="D1465" t="s">
        <v>45</v>
      </c>
      <c r="E1465">
        <v>1281</v>
      </c>
      <c r="F1465">
        <v>89</v>
      </c>
      <c r="G1465">
        <v>11</v>
      </c>
      <c r="H1465">
        <v>905.78</v>
      </c>
      <c r="I1465">
        <v>10209.17</v>
      </c>
      <c r="J1465">
        <v>71</v>
      </c>
      <c r="K1465">
        <v>0</v>
      </c>
      <c r="L1465">
        <v>21.5</v>
      </c>
      <c r="M1465">
        <v>33.7</v>
      </c>
      <c r="N1465" t="s">
        <v>46</v>
      </c>
      <c r="O1465" t="s">
        <v>53</v>
      </c>
      <c r="P1465" t="s">
        <v>48</v>
      </c>
      <c r="R1465">
        <f>SUMIF(A1465:A6464,"C01464",I1465:I6464)</f>
        <v>10209.17</v>
      </c>
      <c r="S1465" s="1">
        <v>2636.27</v>
      </c>
      <c r="T1465">
        <f t="shared" si="160"/>
        <v>143.791126760563</v>
      </c>
      <c r="U1465">
        <f t="shared" si="162"/>
        <v>2392.7</v>
      </c>
      <c r="V1465">
        <f t="shared" si="157"/>
        <v>199.391666666667</v>
      </c>
      <c r="W1465">
        <f t="shared" si="158"/>
        <v>3705.31666666667</v>
      </c>
      <c r="X1465">
        <f t="shared" si="163"/>
        <v>1.41425070105324</v>
      </c>
      <c r="AH1465" t="str">
        <f t="shared" si="161"/>
        <v>3rd Quality</v>
      </c>
      <c r="AJ1465">
        <f>((T1465-X1465)*2)/21.5</f>
        <v>13.2443605636753</v>
      </c>
      <c r="AK1465">
        <f t="shared" si="159"/>
        <v>184196.433380282</v>
      </c>
    </row>
    <row r="1466" spans="1:37">
      <c r="A1466" t="s">
        <v>1529</v>
      </c>
      <c r="B1466">
        <v>52</v>
      </c>
      <c r="C1466" t="s">
        <v>44</v>
      </c>
      <c r="D1466" t="s">
        <v>51</v>
      </c>
      <c r="E1466">
        <v>696</v>
      </c>
      <c r="F1466">
        <v>24</v>
      </c>
      <c r="G1466">
        <v>5</v>
      </c>
      <c r="H1466">
        <v>9891.49</v>
      </c>
      <c r="I1466">
        <v>53781.92</v>
      </c>
      <c r="J1466">
        <v>39</v>
      </c>
      <c r="K1466">
        <v>2</v>
      </c>
      <c r="L1466">
        <v>2.3</v>
      </c>
      <c r="M1466">
        <v>39.8</v>
      </c>
      <c r="N1466" t="s">
        <v>46</v>
      </c>
      <c r="O1466" t="s">
        <v>47</v>
      </c>
      <c r="P1466" t="s">
        <v>68</v>
      </c>
      <c r="R1466">
        <f>SUMIF(A1466:A6465,"C01465",I1466:I6465)</f>
        <v>53781.92</v>
      </c>
      <c r="S1466" s="1">
        <v>22845.4</v>
      </c>
      <c r="T1466">
        <f t="shared" si="160"/>
        <v>1379.02358974359</v>
      </c>
      <c r="U1466">
        <f t="shared" si="162"/>
        <v>1552.2</v>
      </c>
      <c r="V1466">
        <f>U1466</f>
        <v>1552.2</v>
      </c>
      <c r="W1466">
        <f t="shared" si="158"/>
        <v>21224.8033333333</v>
      </c>
      <c r="X1466">
        <f t="shared" si="163"/>
        <v>0.0703635144957939</v>
      </c>
      <c r="AH1466" t="str">
        <f t="shared" si="161"/>
        <v>3rd Quality</v>
      </c>
      <c r="AJ1466">
        <f>((T1466-X1466)*2)/2.3</f>
        <v>1199.08976193834</v>
      </c>
      <c r="AK1466">
        <f t="shared" si="159"/>
        <v>959800.418461538</v>
      </c>
    </row>
    <row r="1467" spans="1:37">
      <c r="A1467" t="s">
        <v>1530</v>
      </c>
      <c r="B1467">
        <v>30</v>
      </c>
      <c r="C1467" t="s">
        <v>101</v>
      </c>
      <c r="D1467" t="s">
        <v>60</v>
      </c>
      <c r="E1467">
        <v>936</v>
      </c>
      <c r="F1467">
        <v>143</v>
      </c>
      <c r="G1467">
        <v>3</v>
      </c>
      <c r="H1467">
        <v>902.66</v>
      </c>
      <c r="I1467">
        <v>2636.27</v>
      </c>
      <c r="J1467">
        <v>21</v>
      </c>
      <c r="K1467">
        <v>0</v>
      </c>
      <c r="L1467">
        <v>26.2</v>
      </c>
      <c r="M1467">
        <v>12</v>
      </c>
      <c r="N1467" t="s">
        <v>63</v>
      </c>
      <c r="O1467" t="s">
        <v>75</v>
      </c>
      <c r="P1467" t="s">
        <v>58</v>
      </c>
      <c r="R1467">
        <f>SUMIF(A1467:A6466,"C01466",I1467:I6466)</f>
        <v>2636.27</v>
      </c>
      <c r="S1467" s="1">
        <v>5833.06</v>
      </c>
      <c r="T1467">
        <f t="shared" si="160"/>
        <v>125.536666666667</v>
      </c>
      <c r="U1467">
        <f t="shared" si="162"/>
        <v>252</v>
      </c>
      <c r="V1467">
        <f t="shared" si="157"/>
        <v>21</v>
      </c>
      <c r="W1467">
        <f t="shared" si="158"/>
        <v>1179.97666666667</v>
      </c>
      <c r="X1467">
        <f t="shared" si="163"/>
        <v>1.03693528017194</v>
      </c>
      <c r="AH1467" t="str">
        <f t="shared" si="161"/>
        <v>3rd Quality</v>
      </c>
      <c r="AJ1467">
        <f>((T1467-X1467)*2)/26.2</f>
        <v>9.50379628904543</v>
      </c>
      <c r="AK1467">
        <f t="shared" si="159"/>
        <v>117502.32</v>
      </c>
    </row>
    <row r="1468" spans="1:37">
      <c r="A1468" t="s">
        <v>1531</v>
      </c>
      <c r="B1468">
        <v>28</v>
      </c>
      <c r="C1468" t="s">
        <v>50</v>
      </c>
      <c r="D1468" t="s">
        <v>45</v>
      </c>
      <c r="E1468">
        <v>526</v>
      </c>
      <c r="F1468">
        <v>32</v>
      </c>
      <c r="G1468">
        <v>13</v>
      </c>
      <c r="H1468">
        <v>1609.69</v>
      </c>
      <c r="I1468">
        <v>22845.4</v>
      </c>
      <c r="J1468">
        <v>50</v>
      </c>
      <c r="K1468">
        <v>1</v>
      </c>
      <c r="L1468">
        <v>24.9</v>
      </c>
      <c r="M1468">
        <v>18.5</v>
      </c>
      <c r="N1468" t="s">
        <v>63</v>
      </c>
      <c r="O1468" t="s">
        <v>47</v>
      </c>
      <c r="P1468" t="s">
        <v>58</v>
      </c>
      <c r="R1468">
        <f>SUMIF(A1468:A6467,"C01467",I1468:I6467)</f>
        <v>22845.4</v>
      </c>
      <c r="S1468" s="1">
        <v>1214.73</v>
      </c>
      <c r="T1468">
        <f t="shared" si="160"/>
        <v>456.908</v>
      </c>
      <c r="U1468">
        <f t="shared" si="162"/>
        <v>925</v>
      </c>
      <c r="V1468">
        <f>U1468</f>
        <v>925</v>
      </c>
      <c r="W1468">
        <f t="shared" si="158"/>
        <v>8152.03</v>
      </c>
      <c r="X1468">
        <f t="shared" si="163"/>
        <v>0.326770993172598</v>
      </c>
      <c r="AH1468" t="str">
        <f t="shared" si="161"/>
        <v>2nd Quality</v>
      </c>
      <c r="AJ1468">
        <f>((T1468-X1468)*2)/24.9</f>
        <v>36.6731910848857</v>
      </c>
      <c r="AK1468">
        <f t="shared" si="159"/>
        <v>240333.608</v>
      </c>
    </row>
    <row r="1469" spans="1:37">
      <c r="A1469" t="s">
        <v>1532</v>
      </c>
      <c r="B1469">
        <v>25</v>
      </c>
      <c r="C1469" t="s">
        <v>50</v>
      </c>
      <c r="D1469" t="s">
        <v>45</v>
      </c>
      <c r="E1469">
        <v>768</v>
      </c>
      <c r="F1469">
        <v>24</v>
      </c>
      <c r="G1469">
        <v>6</v>
      </c>
      <c r="H1469">
        <v>988.73</v>
      </c>
      <c r="I1469">
        <v>5833.06</v>
      </c>
      <c r="J1469">
        <v>40</v>
      </c>
      <c r="K1469">
        <v>0</v>
      </c>
      <c r="L1469">
        <v>19.5</v>
      </c>
      <c r="M1469">
        <v>27.9</v>
      </c>
      <c r="N1469" t="s">
        <v>81</v>
      </c>
      <c r="O1469" t="s">
        <v>75</v>
      </c>
      <c r="P1469" t="s">
        <v>58</v>
      </c>
      <c r="R1469">
        <f>SUMIF(A1469:A6468,"C01468",I1469:I6468)</f>
        <v>5833.06</v>
      </c>
      <c r="S1469" s="1">
        <v>56333.24</v>
      </c>
      <c r="T1469">
        <f t="shared" si="160"/>
        <v>145.8265</v>
      </c>
      <c r="U1469">
        <f t="shared" si="162"/>
        <v>1116</v>
      </c>
      <c r="V1469">
        <f t="shared" si="157"/>
        <v>93</v>
      </c>
      <c r="W1469">
        <f t="shared" si="158"/>
        <v>2274.26333333333</v>
      </c>
      <c r="X1469">
        <f t="shared" si="163"/>
        <v>0.776754017780385</v>
      </c>
      <c r="AH1469" t="str">
        <f t="shared" si="161"/>
        <v>3rd Quality</v>
      </c>
      <c r="AJ1469">
        <f>((T1469-X1469)*2)/19.5</f>
        <v>14.8768970238174</v>
      </c>
      <c r="AK1469">
        <f t="shared" si="159"/>
        <v>111994.752</v>
      </c>
    </row>
    <row r="1470" spans="1:37">
      <c r="A1470" t="s">
        <v>1533</v>
      </c>
      <c r="B1470">
        <v>34</v>
      </c>
      <c r="C1470" t="s">
        <v>44</v>
      </c>
      <c r="D1470" t="s">
        <v>45</v>
      </c>
      <c r="E1470">
        <v>676</v>
      </c>
      <c r="F1470">
        <v>124</v>
      </c>
      <c r="G1470">
        <v>2</v>
      </c>
      <c r="H1470">
        <v>593.78</v>
      </c>
      <c r="I1470">
        <v>1214.73</v>
      </c>
      <c r="J1470">
        <v>14</v>
      </c>
      <c r="K1470">
        <v>0</v>
      </c>
      <c r="L1470">
        <v>27.9</v>
      </c>
      <c r="M1470">
        <v>7.4</v>
      </c>
      <c r="N1470" t="s">
        <v>46</v>
      </c>
      <c r="O1470" t="s">
        <v>47</v>
      </c>
      <c r="P1470" t="s">
        <v>58</v>
      </c>
      <c r="R1470">
        <f>SUMIF(A1470:A6469,"C01469",I1470:I6469)</f>
        <v>1214.73</v>
      </c>
      <c r="S1470" s="1">
        <v>3095.62</v>
      </c>
      <c r="T1470">
        <f t="shared" si="160"/>
        <v>86.7664285714286</v>
      </c>
      <c r="U1470">
        <f t="shared" si="162"/>
        <v>103.6</v>
      </c>
      <c r="V1470">
        <f t="shared" si="157"/>
        <v>8.63333333333333</v>
      </c>
      <c r="W1470">
        <f t="shared" si="158"/>
        <v>603.17</v>
      </c>
      <c r="X1470">
        <f t="shared" si="163"/>
        <v>1.13846879315571</v>
      </c>
      <c r="AH1470" t="str">
        <f t="shared" si="161"/>
        <v>3rd Quality</v>
      </c>
      <c r="AJ1470">
        <f>((T1470-X1470)*2)/27.9</f>
        <v>6.13820500202673</v>
      </c>
      <c r="AK1470">
        <f t="shared" si="159"/>
        <v>58654.1057142857</v>
      </c>
    </row>
    <row r="1471" spans="1:37">
      <c r="A1471" t="s">
        <v>1534</v>
      </c>
      <c r="B1471">
        <v>29</v>
      </c>
      <c r="C1471" t="s">
        <v>50</v>
      </c>
      <c r="D1471" t="s">
        <v>45</v>
      </c>
      <c r="E1471">
        <v>644</v>
      </c>
      <c r="F1471">
        <v>2</v>
      </c>
      <c r="G1471">
        <v>20</v>
      </c>
      <c r="H1471">
        <v>3058.99</v>
      </c>
      <c r="I1471">
        <v>56333.24</v>
      </c>
      <c r="J1471">
        <v>86</v>
      </c>
      <c r="K1471">
        <v>1</v>
      </c>
      <c r="L1471">
        <v>5.5</v>
      </c>
      <c r="M1471">
        <v>29.6</v>
      </c>
      <c r="N1471" t="s">
        <v>52</v>
      </c>
      <c r="O1471" t="s">
        <v>75</v>
      </c>
      <c r="P1471" t="s">
        <v>58</v>
      </c>
      <c r="R1471">
        <f>SUMIF(A1471:A6470,"C01470",I1471:I6470)</f>
        <v>56333.24</v>
      </c>
      <c r="S1471" s="1">
        <v>70627.71</v>
      </c>
      <c r="T1471">
        <f t="shared" si="160"/>
        <v>655.037674418605</v>
      </c>
      <c r="U1471">
        <f t="shared" si="162"/>
        <v>2545.6</v>
      </c>
      <c r="V1471">
        <f>U1471</f>
        <v>2545.6</v>
      </c>
      <c r="W1471">
        <f t="shared" si="158"/>
        <v>19797.7433333333</v>
      </c>
      <c r="X1471">
        <f t="shared" si="163"/>
        <v>0.210527004011128</v>
      </c>
      <c r="AH1471" t="str">
        <f t="shared" si="161"/>
        <v>2nd Quality</v>
      </c>
      <c r="AJ1471">
        <f>((T1471-X1471)*2)/5.5</f>
        <v>238.118962696216</v>
      </c>
      <c r="AK1471">
        <f t="shared" si="159"/>
        <v>421844.262325581</v>
      </c>
    </row>
    <row r="1472" spans="1:37">
      <c r="A1472" t="s">
        <v>1535</v>
      </c>
      <c r="B1472">
        <v>32</v>
      </c>
      <c r="C1472" t="s">
        <v>56</v>
      </c>
      <c r="D1472" t="s">
        <v>51</v>
      </c>
      <c r="E1472">
        <v>1327</v>
      </c>
      <c r="F1472">
        <v>365</v>
      </c>
      <c r="G1472">
        <v>2</v>
      </c>
      <c r="H1472">
        <v>1548.85</v>
      </c>
      <c r="I1472">
        <v>3095.62</v>
      </c>
      <c r="J1472">
        <v>13</v>
      </c>
      <c r="K1472">
        <v>0</v>
      </c>
      <c r="L1472">
        <v>28.4</v>
      </c>
      <c r="M1472">
        <v>20.9</v>
      </c>
      <c r="N1472" t="s">
        <v>61</v>
      </c>
      <c r="O1472" t="s">
        <v>47</v>
      </c>
      <c r="P1472" t="s">
        <v>48</v>
      </c>
      <c r="R1472">
        <f>SUMIF(A1472:A6471,"C01471",I1472:I6471)</f>
        <v>3095.62</v>
      </c>
      <c r="S1472" s="1">
        <v>63922.97</v>
      </c>
      <c r="T1472">
        <f t="shared" si="160"/>
        <v>238.124615384615</v>
      </c>
      <c r="U1472">
        <f t="shared" si="162"/>
        <v>271.7</v>
      </c>
      <c r="V1472">
        <f t="shared" ref="V1471:V1534" si="164">U1472/12</f>
        <v>22.6416666666667</v>
      </c>
      <c r="W1472">
        <f t="shared" si="158"/>
        <v>1548.49</v>
      </c>
      <c r="X1472">
        <f t="shared" si="163"/>
        <v>0.856764696387643</v>
      </c>
      <c r="AH1472" t="str">
        <f t="shared" si="161"/>
        <v>3rd Quality</v>
      </c>
      <c r="AJ1472">
        <f>((T1472-X1472)*2)/28.4</f>
        <v>16.7090035695935</v>
      </c>
      <c r="AK1472">
        <f t="shared" si="159"/>
        <v>315991.364615385</v>
      </c>
    </row>
    <row r="1473" spans="1:37">
      <c r="A1473" t="s">
        <v>1536</v>
      </c>
      <c r="B1473">
        <v>18</v>
      </c>
      <c r="C1473" t="s">
        <v>50</v>
      </c>
      <c r="D1473" t="s">
        <v>51</v>
      </c>
      <c r="E1473">
        <v>1159</v>
      </c>
      <c r="F1473">
        <v>12</v>
      </c>
      <c r="G1473">
        <v>25</v>
      </c>
      <c r="H1473">
        <v>2936.83</v>
      </c>
      <c r="I1473">
        <v>70627.71</v>
      </c>
      <c r="J1473">
        <v>157</v>
      </c>
      <c r="K1473">
        <v>1</v>
      </c>
      <c r="L1473">
        <v>18.2</v>
      </c>
      <c r="M1473">
        <v>37.2</v>
      </c>
      <c r="N1473" t="s">
        <v>57</v>
      </c>
      <c r="O1473" t="s">
        <v>75</v>
      </c>
      <c r="P1473" t="s">
        <v>48</v>
      </c>
      <c r="R1473">
        <f>SUMIF(A1473:A6472,"C01472",I1473:I6472)</f>
        <v>70627.71</v>
      </c>
      <c r="S1473" s="1">
        <v>66138.91</v>
      </c>
      <c r="T1473">
        <f t="shared" si="160"/>
        <v>449.858025477707</v>
      </c>
      <c r="U1473">
        <f t="shared" si="162"/>
        <v>5840.4</v>
      </c>
      <c r="V1473">
        <f>U1473</f>
        <v>5840.4</v>
      </c>
      <c r="W1473">
        <f t="shared" si="158"/>
        <v>24521.8466666667</v>
      </c>
      <c r="X1473">
        <f t="shared" si="163"/>
        <v>0.394643203726467</v>
      </c>
      <c r="AH1473" t="str">
        <f t="shared" si="161"/>
        <v>1st Quality</v>
      </c>
      <c r="AJ1473">
        <f>((T1473-X1473)*2)/18.2</f>
        <v>49.3915804696682</v>
      </c>
      <c r="AK1473">
        <f t="shared" si="159"/>
        <v>521385.451528662</v>
      </c>
    </row>
    <row r="1474" spans="1:37">
      <c r="A1474" t="s">
        <v>1537</v>
      </c>
      <c r="B1474">
        <v>37</v>
      </c>
      <c r="C1474" t="s">
        <v>50</v>
      </c>
      <c r="D1474" t="s">
        <v>45</v>
      </c>
      <c r="E1474">
        <v>1297</v>
      </c>
      <c r="F1474">
        <v>5</v>
      </c>
      <c r="G1474">
        <v>27</v>
      </c>
      <c r="H1474">
        <v>2445.88</v>
      </c>
      <c r="I1474">
        <v>63922.97</v>
      </c>
      <c r="J1474">
        <v>114</v>
      </c>
      <c r="K1474">
        <v>1</v>
      </c>
      <c r="L1474">
        <v>0</v>
      </c>
      <c r="M1474">
        <v>55.3</v>
      </c>
      <c r="N1474" t="s">
        <v>81</v>
      </c>
      <c r="O1474" t="s">
        <v>47</v>
      </c>
      <c r="P1474" t="s">
        <v>58</v>
      </c>
      <c r="R1474">
        <f>SUMIF(A1474:A6473,"C01473",I1474:I6473)</f>
        <v>63922.97</v>
      </c>
      <c r="S1474" s="1">
        <v>7248.84</v>
      </c>
      <c r="T1474">
        <f t="shared" si="160"/>
        <v>560.727807017544</v>
      </c>
      <c r="U1474">
        <f t="shared" si="162"/>
        <v>6304.2</v>
      </c>
      <c r="V1474">
        <f>U1474</f>
        <v>6304.2</v>
      </c>
      <c r="W1474">
        <f t="shared" si="158"/>
        <v>22123.2833333333</v>
      </c>
      <c r="X1474">
        <f t="shared" si="163"/>
        <v>0.53027949040836</v>
      </c>
      <c r="AH1474" t="str">
        <f t="shared" si="161"/>
        <v>2nd Quality</v>
      </c>
      <c r="AJ1474">
        <f>((T1474-X1474)*2)</f>
        <v>1120.39505505427</v>
      </c>
      <c r="AK1474">
        <f t="shared" si="159"/>
        <v>727263.965701754</v>
      </c>
    </row>
    <row r="1475" spans="1:37">
      <c r="A1475" t="s">
        <v>1538</v>
      </c>
      <c r="B1475">
        <v>40</v>
      </c>
      <c r="C1475" t="s">
        <v>44</v>
      </c>
      <c r="D1475" t="s">
        <v>51</v>
      </c>
      <c r="E1475">
        <v>741</v>
      </c>
      <c r="F1475">
        <v>36</v>
      </c>
      <c r="G1475">
        <v>6</v>
      </c>
      <c r="H1475">
        <v>10769.38</v>
      </c>
      <c r="I1475">
        <v>66138.91</v>
      </c>
      <c r="J1475">
        <v>46</v>
      </c>
      <c r="K1475">
        <v>1</v>
      </c>
      <c r="L1475">
        <v>6</v>
      </c>
      <c r="M1475">
        <v>15</v>
      </c>
      <c r="N1475" t="s">
        <v>61</v>
      </c>
      <c r="O1475" t="s">
        <v>75</v>
      </c>
      <c r="P1475" t="s">
        <v>68</v>
      </c>
      <c r="R1475">
        <f>SUMIF(A1475:A6474,"C01474",I1475:I6474)</f>
        <v>66138.91</v>
      </c>
      <c r="S1475" s="1">
        <v>58670.89</v>
      </c>
      <c r="T1475">
        <f t="shared" si="160"/>
        <v>1437.80239130435</v>
      </c>
      <c r="U1475">
        <f t="shared" si="162"/>
        <v>690</v>
      </c>
      <c r="V1475">
        <f>U1475</f>
        <v>690</v>
      </c>
      <c r="W1475">
        <f t="shared" ref="W1475:W1538" si="165">(H1475+I1475+1)/3</f>
        <v>25636.43</v>
      </c>
      <c r="X1475">
        <f t="shared" si="163"/>
        <v>0.0688061893999469</v>
      </c>
      <c r="AH1475" t="str">
        <f t="shared" si="161"/>
        <v>2nd Quality</v>
      </c>
      <c r="AJ1475">
        <f>((T1475-X1475)*2)/6</f>
        <v>479.24452837165</v>
      </c>
      <c r="AK1475">
        <f t="shared" ref="AK1475:AK1538" si="166">I1475/J1475*E1475</f>
        <v>1065411.57195652</v>
      </c>
    </row>
    <row r="1476" spans="1:37">
      <c r="A1476" t="s">
        <v>1539</v>
      </c>
      <c r="B1476">
        <v>44</v>
      </c>
      <c r="C1476" t="s">
        <v>50</v>
      </c>
      <c r="D1476" t="s">
        <v>60</v>
      </c>
      <c r="E1476">
        <v>801</v>
      </c>
      <c r="F1476">
        <v>4</v>
      </c>
      <c r="G1476">
        <v>1</v>
      </c>
      <c r="H1476">
        <v>6640.25</v>
      </c>
      <c r="I1476">
        <v>7248.84</v>
      </c>
      <c r="J1476">
        <v>11</v>
      </c>
      <c r="K1476">
        <v>0</v>
      </c>
      <c r="L1476">
        <v>0.3</v>
      </c>
      <c r="M1476">
        <v>13.2</v>
      </c>
      <c r="N1476" t="s">
        <v>52</v>
      </c>
      <c r="O1476" t="s">
        <v>47</v>
      </c>
      <c r="P1476" t="s">
        <v>58</v>
      </c>
      <c r="R1476">
        <f>SUMIF(A1476:A6475,"C01475",I1476:I6475)</f>
        <v>7248.84</v>
      </c>
      <c r="S1476" s="1">
        <v>8106.57</v>
      </c>
      <c r="T1476">
        <f t="shared" si="160"/>
        <v>658.985454545455</v>
      </c>
      <c r="U1476">
        <f t="shared" si="162"/>
        <v>145.2</v>
      </c>
      <c r="V1476">
        <f t="shared" si="164"/>
        <v>12.1</v>
      </c>
      <c r="W1476">
        <f t="shared" si="165"/>
        <v>4630.03</v>
      </c>
      <c r="X1476">
        <f t="shared" si="163"/>
        <v>0.120627988404051</v>
      </c>
      <c r="AH1476" t="str">
        <f t="shared" si="161"/>
        <v>3rd Quality</v>
      </c>
      <c r="AJ1476">
        <f>((T1476-X1476)*2)/0.3</f>
        <v>4392.43217704701</v>
      </c>
      <c r="AK1476">
        <f t="shared" si="166"/>
        <v>527847.349090909</v>
      </c>
    </row>
    <row r="1477" spans="1:37">
      <c r="A1477" t="s">
        <v>1540</v>
      </c>
      <c r="B1477">
        <v>27</v>
      </c>
      <c r="C1477" t="s">
        <v>44</v>
      </c>
      <c r="D1477" t="s">
        <v>45</v>
      </c>
      <c r="E1477">
        <v>1253</v>
      </c>
      <c r="F1477">
        <v>9</v>
      </c>
      <c r="G1477">
        <v>6</v>
      </c>
      <c r="H1477">
        <v>9069.03</v>
      </c>
      <c r="I1477">
        <v>58670.89</v>
      </c>
      <c r="J1477">
        <v>53</v>
      </c>
      <c r="K1477">
        <v>0</v>
      </c>
      <c r="L1477">
        <v>0</v>
      </c>
      <c r="M1477">
        <v>33.9</v>
      </c>
      <c r="N1477" t="s">
        <v>63</v>
      </c>
      <c r="O1477" t="s">
        <v>47</v>
      </c>
      <c r="P1477" t="s">
        <v>58</v>
      </c>
      <c r="R1477">
        <f>SUMIF(A1477:A6476,"C01476",I1477:I6476)</f>
        <v>58670.89</v>
      </c>
      <c r="S1477" s="1">
        <v>1772.72</v>
      </c>
      <c r="T1477">
        <f t="shared" si="160"/>
        <v>1106.9979245283</v>
      </c>
      <c r="U1477">
        <f t="shared" si="162"/>
        <v>1796.7</v>
      </c>
      <c r="V1477">
        <f t="shared" si="164"/>
        <v>149.725</v>
      </c>
      <c r="W1477">
        <f t="shared" si="165"/>
        <v>22580.3066666667</v>
      </c>
      <c r="X1477">
        <f t="shared" si="163"/>
        <v>0.138162515726599</v>
      </c>
      <c r="AH1477" t="str">
        <f t="shared" si="161"/>
        <v>1st Quality</v>
      </c>
      <c r="AJ1477">
        <f>((T1477-X1477)*2)</f>
        <v>2213.71952402515</v>
      </c>
      <c r="AK1477">
        <f t="shared" si="166"/>
        <v>1387068.39943396</v>
      </c>
    </row>
    <row r="1478" spans="1:37">
      <c r="A1478" t="s">
        <v>1541</v>
      </c>
      <c r="B1478">
        <v>38</v>
      </c>
      <c r="C1478" t="s">
        <v>50</v>
      </c>
      <c r="D1478" t="s">
        <v>45</v>
      </c>
      <c r="E1478">
        <v>416</v>
      </c>
      <c r="F1478">
        <v>11</v>
      </c>
      <c r="G1478">
        <v>7</v>
      </c>
      <c r="H1478">
        <v>1201.64</v>
      </c>
      <c r="I1478">
        <v>8106.57</v>
      </c>
      <c r="J1478">
        <v>39</v>
      </c>
      <c r="K1478">
        <v>1</v>
      </c>
      <c r="L1478">
        <v>0</v>
      </c>
      <c r="M1478">
        <v>46.8</v>
      </c>
      <c r="N1478" t="s">
        <v>78</v>
      </c>
      <c r="O1478" t="s">
        <v>47</v>
      </c>
      <c r="P1478" t="s">
        <v>58</v>
      </c>
      <c r="R1478">
        <f>SUMIF(A1478:A6477,"C01477",I1478:I6477)</f>
        <v>8106.57</v>
      </c>
      <c r="S1478" s="1">
        <v>10711.39</v>
      </c>
      <c r="T1478">
        <f t="shared" si="160"/>
        <v>207.860769230769</v>
      </c>
      <c r="U1478">
        <f t="shared" si="162"/>
        <v>1825.2</v>
      </c>
      <c r="V1478">
        <f>U1478</f>
        <v>1825.2</v>
      </c>
      <c r="W1478">
        <f t="shared" si="165"/>
        <v>3103.07</v>
      </c>
      <c r="X1478">
        <f t="shared" si="163"/>
        <v>0.346193535501481</v>
      </c>
      <c r="AH1478" t="str">
        <f t="shared" si="161"/>
        <v>3rd Quality</v>
      </c>
      <c r="AJ1478">
        <f>((T1478-X1478)*2)</f>
        <v>415.029151390535</v>
      </c>
      <c r="AK1478">
        <f t="shared" si="166"/>
        <v>86470.08</v>
      </c>
    </row>
    <row r="1479" spans="1:37">
      <c r="A1479" t="s">
        <v>1542</v>
      </c>
      <c r="B1479">
        <v>44</v>
      </c>
      <c r="C1479" t="s">
        <v>44</v>
      </c>
      <c r="D1479" t="s">
        <v>60</v>
      </c>
      <c r="E1479">
        <v>1169</v>
      </c>
      <c r="F1479">
        <v>61</v>
      </c>
      <c r="G1479">
        <v>1</v>
      </c>
      <c r="H1479">
        <v>1678.52</v>
      </c>
      <c r="I1479">
        <v>1772.72</v>
      </c>
      <c r="J1479">
        <v>7</v>
      </c>
      <c r="K1479">
        <v>1</v>
      </c>
      <c r="L1479">
        <v>14.7</v>
      </c>
      <c r="M1479">
        <v>16.2</v>
      </c>
      <c r="N1479" t="s">
        <v>81</v>
      </c>
      <c r="O1479" t="s">
        <v>47</v>
      </c>
      <c r="P1479" t="s">
        <v>68</v>
      </c>
      <c r="R1479">
        <f>SUMIF(A1479:A6478,"C01478",I1479:I6478)</f>
        <v>1772.72</v>
      </c>
      <c r="S1479" s="1">
        <v>7104.54</v>
      </c>
      <c r="T1479">
        <f t="shared" si="160"/>
        <v>253.245714285714</v>
      </c>
      <c r="U1479">
        <f t="shared" si="162"/>
        <v>113.4</v>
      </c>
      <c r="V1479">
        <f>U1479</f>
        <v>113.4</v>
      </c>
      <c r="W1479">
        <f t="shared" si="165"/>
        <v>1150.74666666667</v>
      </c>
      <c r="X1479">
        <f t="shared" si="163"/>
        <v>0.696446869861545</v>
      </c>
      <c r="AH1479" t="str">
        <f t="shared" si="161"/>
        <v>3rd Quality</v>
      </c>
      <c r="AJ1479">
        <f>((T1479-X1479)*2)/14.7</f>
        <v>34.3604445463745</v>
      </c>
      <c r="AK1479">
        <f t="shared" si="166"/>
        <v>296044.24</v>
      </c>
    </row>
    <row r="1480" spans="1:37">
      <c r="A1480" t="s">
        <v>1543</v>
      </c>
      <c r="B1480">
        <v>38</v>
      </c>
      <c r="C1480" t="s">
        <v>50</v>
      </c>
      <c r="D1480" t="s">
        <v>60</v>
      </c>
      <c r="E1480">
        <v>1111</v>
      </c>
      <c r="F1480">
        <v>29</v>
      </c>
      <c r="G1480">
        <v>5</v>
      </c>
      <c r="H1480">
        <v>2118.07</v>
      </c>
      <c r="I1480">
        <v>10711.39</v>
      </c>
      <c r="J1480">
        <v>40</v>
      </c>
      <c r="K1480">
        <v>0</v>
      </c>
      <c r="L1480">
        <v>20.3</v>
      </c>
      <c r="M1480">
        <v>5.1</v>
      </c>
      <c r="N1480" t="s">
        <v>63</v>
      </c>
      <c r="O1480" t="s">
        <v>47</v>
      </c>
      <c r="P1480" t="s">
        <v>68</v>
      </c>
      <c r="R1480">
        <f>SUMIF(A1480:A6479,"C01479",I1480:I6479)</f>
        <v>10711.39</v>
      </c>
      <c r="S1480" s="1">
        <v>2986.98</v>
      </c>
      <c r="T1480">
        <f t="shared" si="160"/>
        <v>267.78475</v>
      </c>
      <c r="U1480">
        <f t="shared" si="162"/>
        <v>204</v>
      </c>
      <c r="V1480">
        <f t="shared" si="164"/>
        <v>17</v>
      </c>
      <c r="W1480">
        <f t="shared" si="165"/>
        <v>4276.82</v>
      </c>
      <c r="X1480">
        <f t="shared" si="163"/>
        <v>0.52453412776726</v>
      </c>
      <c r="AH1480" t="str">
        <f t="shared" si="161"/>
        <v>3rd Quality</v>
      </c>
      <c r="AJ1480">
        <f>((T1480-X1480)*2)/20.3</f>
        <v>26.3310557509589</v>
      </c>
      <c r="AK1480">
        <f t="shared" si="166"/>
        <v>297508.85725</v>
      </c>
    </row>
    <row r="1481" spans="1:37">
      <c r="A1481" t="s">
        <v>1544</v>
      </c>
      <c r="B1481">
        <v>26</v>
      </c>
      <c r="C1481" t="s">
        <v>44</v>
      </c>
      <c r="D1481" t="s">
        <v>60</v>
      </c>
      <c r="E1481">
        <v>755</v>
      </c>
      <c r="F1481">
        <v>44</v>
      </c>
      <c r="G1481">
        <v>9</v>
      </c>
      <c r="H1481">
        <v>819.22</v>
      </c>
      <c r="I1481">
        <v>7104.54</v>
      </c>
      <c r="J1481">
        <v>76</v>
      </c>
      <c r="K1481">
        <v>1</v>
      </c>
      <c r="L1481">
        <v>31.5</v>
      </c>
      <c r="M1481">
        <v>19.5</v>
      </c>
      <c r="N1481" t="s">
        <v>46</v>
      </c>
      <c r="O1481" t="s">
        <v>47</v>
      </c>
      <c r="P1481" t="s">
        <v>48</v>
      </c>
      <c r="R1481">
        <f>SUMIF(A1481:A6480,"C01480",I1481:I6480)</f>
        <v>7104.54</v>
      </c>
      <c r="S1481" s="1">
        <v>46913.16</v>
      </c>
      <c r="T1481">
        <f t="shared" si="160"/>
        <v>93.4807894736842</v>
      </c>
      <c r="U1481">
        <f t="shared" si="162"/>
        <v>1482</v>
      </c>
      <c r="V1481">
        <f>U1481</f>
        <v>1482</v>
      </c>
      <c r="W1481">
        <f t="shared" si="165"/>
        <v>2641.58666666667</v>
      </c>
      <c r="X1481">
        <f t="shared" si="163"/>
        <v>0.921608359170919</v>
      </c>
      <c r="AH1481" t="str">
        <f t="shared" si="161"/>
        <v>3rd Quality</v>
      </c>
      <c r="AJ1481">
        <f>((T1481-X1481)*2)/31.5</f>
        <v>5.87677340409608</v>
      </c>
      <c r="AK1481">
        <f t="shared" si="166"/>
        <v>70577.9960526316</v>
      </c>
    </row>
    <row r="1482" spans="1:37">
      <c r="A1482" t="s">
        <v>1545</v>
      </c>
      <c r="B1482">
        <v>42</v>
      </c>
      <c r="C1482" t="s">
        <v>50</v>
      </c>
      <c r="D1482" t="s">
        <v>60</v>
      </c>
      <c r="E1482">
        <v>1398</v>
      </c>
      <c r="F1482">
        <v>171</v>
      </c>
      <c r="G1482">
        <v>5</v>
      </c>
      <c r="H1482">
        <v>544.11</v>
      </c>
      <c r="I1482">
        <v>2986.98</v>
      </c>
      <c r="J1482">
        <v>27</v>
      </c>
      <c r="K1482">
        <v>1</v>
      </c>
      <c r="L1482">
        <v>29.3</v>
      </c>
      <c r="M1482">
        <v>39.5</v>
      </c>
      <c r="N1482" t="s">
        <v>52</v>
      </c>
      <c r="O1482" t="s">
        <v>75</v>
      </c>
      <c r="P1482" t="s">
        <v>68</v>
      </c>
      <c r="R1482">
        <f>SUMIF(A1482:A6481,"C01481",I1482:I6481)</f>
        <v>2986.98</v>
      </c>
      <c r="S1482" s="1">
        <v>26331.54</v>
      </c>
      <c r="T1482">
        <f t="shared" si="160"/>
        <v>110.628888888889</v>
      </c>
      <c r="U1482">
        <f t="shared" si="162"/>
        <v>1066.5</v>
      </c>
      <c r="V1482">
        <f>U1482</f>
        <v>1066.5</v>
      </c>
      <c r="W1482">
        <f t="shared" si="165"/>
        <v>1177.36333333333</v>
      </c>
      <c r="X1482">
        <f t="shared" si="163"/>
        <v>2.56933340684788</v>
      </c>
      <c r="AH1482" t="str">
        <f t="shared" si="161"/>
        <v>3rd Quality</v>
      </c>
      <c r="AJ1482">
        <f>((T1482-X1482)*2)/28.3</f>
        <v>7.63671770191103</v>
      </c>
      <c r="AK1482">
        <f t="shared" si="166"/>
        <v>154659.186666667</v>
      </c>
    </row>
    <row r="1483" spans="1:37">
      <c r="A1483" t="s">
        <v>1546</v>
      </c>
      <c r="B1483">
        <v>48</v>
      </c>
      <c r="C1483" t="s">
        <v>44</v>
      </c>
      <c r="D1483" t="s">
        <v>45</v>
      </c>
      <c r="E1483">
        <v>619</v>
      </c>
      <c r="F1483">
        <v>22</v>
      </c>
      <c r="G1483">
        <v>20</v>
      </c>
      <c r="H1483">
        <v>2553.23</v>
      </c>
      <c r="I1483">
        <v>46913.16</v>
      </c>
      <c r="J1483">
        <v>127</v>
      </c>
      <c r="K1483">
        <v>0</v>
      </c>
      <c r="L1483">
        <v>12.4</v>
      </c>
      <c r="M1483">
        <v>19.1</v>
      </c>
      <c r="N1483" t="s">
        <v>46</v>
      </c>
      <c r="O1483" t="s">
        <v>47</v>
      </c>
      <c r="P1483" t="s">
        <v>58</v>
      </c>
      <c r="R1483">
        <f>SUMIF(A1483:A6482,"C01482",I1483:I6482)</f>
        <v>46913.16</v>
      </c>
      <c r="S1483" s="1">
        <v>4400.35</v>
      </c>
      <c r="T1483">
        <f t="shared" si="160"/>
        <v>369.394960629921</v>
      </c>
      <c r="U1483">
        <f t="shared" si="162"/>
        <v>2425.7</v>
      </c>
      <c r="V1483">
        <f>U1483/12</f>
        <v>202.141666666667</v>
      </c>
      <c r="W1483">
        <f t="shared" si="165"/>
        <v>16489.13</v>
      </c>
      <c r="X1483">
        <f t="shared" si="163"/>
        <v>0.242438009893351</v>
      </c>
      <c r="AH1483" t="str">
        <f t="shared" si="161"/>
        <v>3rd Quality</v>
      </c>
      <c r="AJ1483">
        <f>((T1483-X1483)*2)/12.4</f>
        <v>59.5407294548432</v>
      </c>
      <c r="AK1483">
        <f t="shared" si="166"/>
        <v>228655.480629921</v>
      </c>
    </row>
    <row r="1484" spans="1:37">
      <c r="A1484" t="s">
        <v>1547</v>
      </c>
      <c r="B1484">
        <v>35</v>
      </c>
      <c r="C1484" t="s">
        <v>44</v>
      </c>
      <c r="D1484" t="s">
        <v>45</v>
      </c>
      <c r="E1484">
        <v>737</v>
      </c>
      <c r="F1484">
        <v>3</v>
      </c>
      <c r="G1484">
        <v>4</v>
      </c>
      <c r="H1484">
        <v>6133.68</v>
      </c>
      <c r="I1484">
        <v>26331.54</v>
      </c>
      <c r="J1484">
        <v>37</v>
      </c>
      <c r="K1484">
        <v>2</v>
      </c>
      <c r="L1484">
        <v>11.2</v>
      </c>
      <c r="M1484">
        <v>37.2</v>
      </c>
      <c r="N1484" t="s">
        <v>57</v>
      </c>
      <c r="O1484" t="s">
        <v>47</v>
      </c>
      <c r="P1484" t="s">
        <v>58</v>
      </c>
      <c r="R1484">
        <f>SUMIF(A1484:A6483,"C01483",I1484:I6483)</f>
        <v>26331.54</v>
      </c>
      <c r="S1484" s="1">
        <v>121107.4</v>
      </c>
      <c r="T1484">
        <f t="shared" si="160"/>
        <v>711.663243243243</v>
      </c>
      <c r="U1484">
        <f t="shared" si="162"/>
        <v>1376.4</v>
      </c>
      <c r="V1484">
        <f>U1484</f>
        <v>1376.4</v>
      </c>
      <c r="W1484">
        <f t="shared" si="165"/>
        <v>10822.0733333333</v>
      </c>
      <c r="X1484">
        <f t="shared" si="163"/>
        <v>0.120156252037928</v>
      </c>
      <c r="AH1484" t="str">
        <f t="shared" si="161"/>
        <v>2nd Quality</v>
      </c>
      <c r="AJ1484">
        <f>((T1484-X1484)*2)/11.2</f>
        <v>127.061265534144</v>
      </c>
      <c r="AK1484">
        <f t="shared" si="166"/>
        <v>524495.81027027</v>
      </c>
    </row>
    <row r="1485" spans="1:37">
      <c r="A1485" t="s">
        <v>1548</v>
      </c>
      <c r="B1485">
        <v>38</v>
      </c>
      <c r="C1485" t="s">
        <v>50</v>
      </c>
      <c r="D1485" t="s">
        <v>51</v>
      </c>
      <c r="E1485">
        <v>760</v>
      </c>
      <c r="F1485">
        <v>109</v>
      </c>
      <c r="G1485">
        <v>11</v>
      </c>
      <c r="H1485">
        <v>429.71</v>
      </c>
      <c r="I1485">
        <v>4400.35</v>
      </c>
      <c r="J1485">
        <v>62</v>
      </c>
      <c r="K1485">
        <v>1</v>
      </c>
      <c r="L1485">
        <v>28</v>
      </c>
      <c r="M1485">
        <v>26.9</v>
      </c>
      <c r="N1485" t="s">
        <v>52</v>
      </c>
      <c r="O1485" t="s">
        <v>47</v>
      </c>
      <c r="P1485" t="s">
        <v>66</v>
      </c>
      <c r="R1485">
        <f>SUMIF(A1485:A6484,"C01484",I1485:I6484)</f>
        <v>4400.35</v>
      </c>
      <c r="S1485" s="1">
        <v>66698.8</v>
      </c>
      <c r="T1485">
        <f t="shared" si="160"/>
        <v>70.9733870967742</v>
      </c>
      <c r="U1485">
        <f t="shared" si="162"/>
        <v>1667.8</v>
      </c>
      <c r="V1485">
        <f>U1485</f>
        <v>1667.8</v>
      </c>
      <c r="W1485">
        <f t="shared" si="165"/>
        <v>1610.35333333333</v>
      </c>
      <c r="X1485">
        <f t="shared" si="163"/>
        <v>1.76863466058505</v>
      </c>
      <c r="AH1485" t="str">
        <f t="shared" si="161"/>
        <v>3rd Quality</v>
      </c>
      <c r="AJ1485">
        <f>((T1485-X1485)*2)/28</f>
        <v>4.94319660258494</v>
      </c>
      <c r="AK1485">
        <f t="shared" si="166"/>
        <v>53939.7741935484</v>
      </c>
    </row>
    <row r="1486" spans="1:37">
      <c r="A1486" t="s">
        <v>1549</v>
      </c>
      <c r="B1486">
        <v>22</v>
      </c>
      <c r="C1486" t="s">
        <v>50</v>
      </c>
      <c r="D1486" t="s">
        <v>45</v>
      </c>
      <c r="E1486">
        <v>770</v>
      </c>
      <c r="F1486">
        <v>16</v>
      </c>
      <c r="G1486">
        <v>6</v>
      </c>
      <c r="H1486">
        <v>18447.06</v>
      </c>
      <c r="I1486">
        <v>121107.4</v>
      </c>
      <c r="J1486">
        <v>26</v>
      </c>
      <c r="K1486">
        <v>0</v>
      </c>
      <c r="L1486">
        <v>9.4</v>
      </c>
      <c r="M1486">
        <v>45.6</v>
      </c>
      <c r="N1486" t="s">
        <v>81</v>
      </c>
      <c r="O1486" t="s">
        <v>75</v>
      </c>
      <c r="P1486" t="s">
        <v>58</v>
      </c>
      <c r="R1486">
        <f>SUMIF(A1486:A6485,"C01485",I1486:I6485)</f>
        <v>121107.4</v>
      </c>
      <c r="S1486" s="1">
        <v>2172.11</v>
      </c>
      <c r="T1486">
        <f t="shared" ref="T1486:T1549" si="167">I1486/J1486</f>
        <v>4657.97692307692</v>
      </c>
      <c r="U1486">
        <f t="shared" si="162"/>
        <v>1185.6</v>
      </c>
      <c r="V1486">
        <f t="shared" si="164"/>
        <v>98.8</v>
      </c>
      <c r="W1486">
        <f t="shared" si="165"/>
        <v>46518.4866666667</v>
      </c>
      <c r="X1486">
        <f t="shared" si="163"/>
        <v>0.0417410687665135</v>
      </c>
      <c r="AH1486" t="str">
        <f t="shared" ref="AH1486:AH1549" si="168">IF(AND(W1486&gt;=12550,B1486&lt;=33,E1486&gt;=915),"1st Quality",IF(AND(W1486&gt;=6275,B1486&lt;=43,E1486&gt;=457),"2nd Quality","3rd Quality"))</f>
        <v>2nd Quality</v>
      </c>
      <c r="AJ1486">
        <f>((T1486-X1486)*2)/9.4</f>
        <v>991.050038725139</v>
      </c>
      <c r="AK1486">
        <f t="shared" si="166"/>
        <v>3586642.23076923</v>
      </c>
    </row>
    <row r="1487" spans="1:37">
      <c r="A1487" t="s">
        <v>1550</v>
      </c>
      <c r="B1487">
        <v>28</v>
      </c>
      <c r="C1487" t="s">
        <v>50</v>
      </c>
      <c r="D1487" t="s">
        <v>60</v>
      </c>
      <c r="E1487">
        <v>743</v>
      </c>
      <c r="F1487">
        <v>14</v>
      </c>
      <c r="G1487">
        <v>16</v>
      </c>
      <c r="H1487">
        <v>3958.4</v>
      </c>
      <c r="I1487">
        <v>66698.8</v>
      </c>
      <c r="J1487">
        <v>91</v>
      </c>
      <c r="K1487">
        <v>1</v>
      </c>
      <c r="L1487">
        <v>18.7</v>
      </c>
      <c r="M1487">
        <v>64.2</v>
      </c>
      <c r="N1487" t="s">
        <v>61</v>
      </c>
      <c r="O1487" t="s">
        <v>47</v>
      </c>
      <c r="P1487" t="s">
        <v>58</v>
      </c>
      <c r="R1487">
        <f>SUMIF(A1487:A6486,"C01486",I1487:I6486)</f>
        <v>66698.8</v>
      </c>
      <c r="S1487" s="1">
        <v>13060.2</v>
      </c>
      <c r="T1487">
        <f t="shared" si="167"/>
        <v>732.953846153846</v>
      </c>
      <c r="U1487">
        <f t="shared" si="162"/>
        <v>5842.2</v>
      </c>
      <c r="V1487">
        <f>U1487</f>
        <v>5842.2</v>
      </c>
      <c r="W1487">
        <f t="shared" si="165"/>
        <v>23552.7333333333</v>
      </c>
      <c r="X1487">
        <f t="shared" si="163"/>
        <v>0.187702101859337</v>
      </c>
      <c r="AH1487" t="str">
        <f t="shared" si="168"/>
        <v>2nd Quality</v>
      </c>
      <c r="AJ1487">
        <f>((T1487-X1487)*2)/18.7</f>
        <v>78.3707105937954</v>
      </c>
      <c r="AK1487">
        <f t="shared" si="166"/>
        <v>544584.707692308</v>
      </c>
    </row>
    <row r="1488" spans="1:37">
      <c r="A1488" t="s">
        <v>1551</v>
      </c>
      <c r="B1488">
        <v>44</v>
      </c>
      <c r="C1488" t="s">
        <v>50</v>
      </c>
      <c r="D1488" t="s">
        <v>51</v>
      </c>
      <c r="E1488">
        <v>889</v>
      </c>
      <c r="F1488">
        <v>178</v>
      </c>
      <c r="G1488">
        <v>1</v>
      </c>
      <c r="H1488">
        <v>2190.54</v>
      </c>
      <c r="I1488">
        <v>2172.11</v>
      </c>
      <c r="J1488">
        <v>9</v>
      </c>
      <c r="K1488">
        <v>0</v>
      </c>
      <c r="L1488">
        <v>8.1</v>
      </c>
      <c r="M1488">
        <v>32.7</v>
      </c>
      <c r="N1488" t="s">
        <v>57</v>
      </c>
      <c r="O1488" t="s">
        <v>75</v>
      </c>
      <c r="P1488" t="s">
        <v>58</v>
      </c>
      <c r="R1488">
        <f>SUMIF(A1488:A6487,"C01487",I1488:I6487)</f>
        <v>2172.11</v>
      </c>
      <c r="S1488" s="1">
        <v>1841.67</v>
      </c>
      <c r="T1488">
        <f t="shared" si="167"/>
        <v>241.345555555556</v>
      </c>
      <c r="U1488">
        <f t="shared" si="162"/>
        <v>294.3</v>
      </c>
      <c r="V1488">
        <f t="shared" si="164"/>
        <v>24.525</v>
      </c>
      <c r="W1488">
        <f t="shared" si="165"/>
        <v>1454.55</v>
      </c>
      <c r="X1488">
        <f t="shared" si="163"/>
        <v>0.405836003907712</v>
      </c>
      <c r="AH1488" t="str">
        <f t="shared" si="168"/>
        <v>3rd Quality</v>
      </c>
      <c r="AJ1488">
        <f>((T1488-X1488)*2)/8.1</f>
        <v>59.4912887781848</v>
      </c>
      <c r="AK1488">
        <f t="shared" si="166"/>
        <v>214556.198888889</v>
      </c>
    </row>
    <row r="1489" spans="1:37">
      <c r="A1489" t="s">
        <v>1552</v>
      </c>
      <c r="B1489">
        <v>34</v>
      </c>
      <c r="C1489" t="s">
        <v>44</v>
      </c>
      <c r="D1489" t="s">
        <v>45</v>
      </c>
      <c r="E1489">
        <v>1413</v>
      </c>
      <c r="F1489">
        <v>114</v>
      </c>
      <c r="G1489">
        <v>12</v>
      </c>
      <c r="H1489">
        <v>1211.22</v>
      </c>
      <c r="I1489">
        <v>13060.2</v>
      </c>
      <c r="J1489">
        <v>68</v>
      </c>
      <c r="K1489">
        <v>1</v>
      </c>
      <c r="L1489">
        <v>18.6</v>
      </c>
      <c r="M1489">
        <v>49.5</v>
      </c>
      <c r="N1489" t="s">
        <v>61</v>
      </c>
      <c r="O1489" t="s">
        <v>47</v>
      </c>
      <c r="P1489" t="s">
        <v>58</v>
      </c>
      <c r="R1489">
        <f>SUMIF(A1489:A6488,"C01488",I1489:I6488)</f>
        <v>13060.2</v>
      </c>
      <c r="S1489" s="1">
        <v>10572.53</v>
      </c>
      <c r="T1489">
        <f t="shared" si="167"/>
        <v>192.061764705882</v>
      </c>
      <c r="U1489">
        <f t="shared" si="162"/>
        <v>3366</v>
      </c>
      <c r="V1489">
        <f>U1489</f>
        <v>3366</v>
      </c>
      <c r="W1489">
        <f t="shared" si="165"/>
        <v>4757.47333333333</v>
      </c>
      <c r="X1489">
        <f t="shared" si="163"/>
        <v>1.16659236142072</v>
      </c>
      <c r="AH1489" t="str">
        <f t="shared" si="168"/>
        <v>3rd Quality</v>
      </c>
      <c r="AJ1489">
        <f>((T1489-X1489)*2)/18.6</f>
        <v>20.526362617684</v>
      </c>
      <c r="AK1489">
        <f t="shared" si="166"/>
        <v>271383.273529412</v>
      </c>
    </row>
    <row r="1490" spans="1:37">
      <c r="A1490" t="s">
        <v>1553</v>
      </c>
      <c r="B1490">
        <v>24</v>
      </c>
      <c r="C1490" t="s">
        <v>50</v>
      </c>
      <c r="D1490" t="s">
        <v>60</v>
      </c>
      <c r="E1490">
        <v>897</v>
      </c>
      <c r="F1490">
        <v>365</v>
      </c>
      <c r="G1490">
        <v>1</v>
      </c>
      <c r="H1490">
        <v>1994.79</v>
      </c>
      <c r="I1490">
        <v>1841.67</v>
      </c>
      <c r="J1490">
        <v>23</v>
      </c>
      <c r="K1490">
        <v>0</v>
      </c>
      <c r="L1490">
        <v>12.6</v>
      </c>
      <c r="M1490">
        <v>30.1</v>
      </c>
      <c r="N1490" t="s">
        <v>63</v>
      </c>
      <c r="O1490" t="s">
        <v>53</v>
      </c>
      <c r="P1490" t="s">
        <v>58</v>
      </c>
      <c r="R1490">
        <f>SUMIF(A1490:A6489,"C01489",I1490:I6489)</f>
        <v>1841.67</v>
      </c>
      <c r="S1490" s="1">
        <v>101953.62</v>
      </c>
      <c r="T1490">
        <f t="shared" si="167"/>
        <v>80.0726086956522</v>
      </c>
      <c r="U1490">
        <f t="shared" si="162"/>
        <v>692.3</v>
      </c>
      <c r="V1490">
        <f>U1490/12</f>
        <v>57.6916666666667</v>
      </c>
      <c r="W1490">
        <f t="shared" si="165"/>
        <v>1279.15333333333</v>
      </c>
      <c r="X1490">
        <f t="shared" si="163"/>
        <v>0.449671393981321</v>
      </c>
      <c r="AH1490" t="str">
        <f t="shared" si="168"/>
        <v>3rd Quality</v>
      </c>
      <c r="AJ1490">
        <f>((T1490-X1490)*2)/12.6</f>
        <v>12.6385614764557</v>
      </c>
      <c r="AK1490">
        <f t="shared" si="166"/>
        <v>71825.13</v>
      </c>
    </row>
    <row r="1491" spans="1:37">
      <c r="A1491" t="s">
        <v>1554</v>
      </c>
      <c r="B1491">
        <v>49</v>
      </c>
      <c r="C1491" t="s">
        <v>50</v>
      </c>
      <c r="D1491" t="s">
        <v>60</v>
      </c>
      <c r="E1491">
        <v>1054</v>
      </c>
      <c r="F1491">
        <v>102</v>
      </c>
      <c r="G1491">
        <v>10</v>
      </c>
      <c r="H1491">
        <v>1149.7</v>
      </c>
      <c r="I1491">
        <v>10572.53</v>
      </c>
      <c r="J1491">
        <v>87</v>
      </c>
      <c r="K1491">
        <v>0</v>
      </c>
      <c r="L1491">
        <v>18.1</v>
      </c>
      <c r="M1491">
        <v>7.7</v>
      </c>
      <c r="N1491" t="s">
        <v>46</v>
      </c>
      <c r="O1491" t="s">
        <v>53</v>
      </c>
      <c r="P1491" t="s">
        <v>58</v>
      </c>
      <c r="R1491">
        <f>SUMIF(A1491:A6490,"C01490",I1491:I6490)</f>
        <v>10572.53</v>
      </c>
      <c r="S1491" s="1">
        <v>5640.39</v>
      </c>
      <c r="T1491">
        <f t="shared" si="167"/>
        <v>121.523333333333</v>
      </c>
      <c r="U1491">
        <f t="shared" si="162"/>
        <v>669.9</v>
      </c>
      <c r="V1491">
        <f t="shared" si="164"/>
        <v>55.825</v>
      </c>
      <c r="W1491">
        <f t="shared" si="165"/>
        <v>3907.74333333333</v>
      </c>
      <c r="X1491">
        <f t="shared" si="163"/>
        <v>0.916760894146299</v>
      </c>
      <c r="AH1491" t="str">
        <f t="shared" si="168"/>
        <v>3rd Quality</v>
      </c>
      <c r="AJ1491">
        <f>((T1491-X1491)*2)/18.1</f>
        <v>13.3266930872029</v>
      </c>
      <c r="AK1491">
        <f t="shared" si="166"/>
        <v>128085.593333333</v>
      </c>
    </row>
    <row r="1492" spans="1:37">
      <c r="A1492" t="s">
        <v>1555</v>
      </c>
      <c r="B1492">
        <v>45</v>
      </c>
      <c r="C1492" t="s">
        <v>50</v>
      </c>
      <c r="D1492" t="s">
        <v>45</v>
      </c>
      <c r="E1492">
        <v>1098</v>
      </c>
      <c r="F1492">
        <v>15</v>
      </c>
      <c r="G1492">
        <v>22</v>
      </c>
      <c r="H1492">
        <v>4360.53</v>
      </c>
      <c r="I1492">
        <v>101953.62</v>
      </c>
      <c r="J1492">
        <v>167</v>
      </c>
      <c r="K1492">
        <v>2</v>
      </c>
      <c r="L1492">
        <v>7.9</v>
      </c>
      <c r="M1492">
        <v>19.1</v>
      </c>
      <c r="N1492" t="s">
        <v>52</v>
      </c>
      <c r="O1492" t="s">
        <v>47</v>
      </c>
      <c r="P1492" t="s">
        <v>68</v>
      </c>
      <c r="R1492">
        <f>SUMIF(A1492:A6491,"C01491",I1492:I6491)</f>
        <v>101953.62</v>
      </c>
      <c r="S1492" s="1">
        <v>78606.85</v>
      </c>
      <c r="T1492">
        <f t="shared" si="167"/>
        <v>610.500718562874</v>
      </c>
      <c r="U1492">
        <f t="shared" si="162"/>
        <v>3189.7</v>
      </c>
      <c r="V1492">
        <f>U1492</f>
        <v>3189.7</v>
      </c>
      <c r="W1492">
        <f t="shared" si="165"/>
        <v>35438.3833333333</v>
      </c>
      <c r="X1492">
        <f t="shared" si="163"/>
        <v>0.251804253152713</v>
      </c>
      <c r="AH1492" t="str">
        <f t="shared" si="168"/>
        <v>3rd Quality</v>
      </c>
      <c r="AJ1492">
        <f>((T1492-X1492)*2)/7.9</f>
        <v>154.493396027778</v>
      </c>
      <c r="AK1492">
        <f t="shared" si="166"/>
        <v>670329.788982036</v>
      </c>
    </row>
    <row r="1493" spans="1:37">
      <c r="A1493" t="s">
        <v>1556</v>
      </c>
      <c r="B1493">
        <v>30</v>
      </c>
      <c r="C1493" t="s">
        <v>44</v>
      </c>
      <c r="D1493" t="s">
        <v>51</v>
      </c>
      <c r="E1493">
        <v>1087</v>
      </c>
      <c r="F1493">
        <v>61</v>
      </c>
      <c r="G1493">
        <v>6</v>
      </c>
      <c r="H1493">
        <v>913.32</v>
      </c>
      <c r="I1493">
        <v>5640.39</v>
      </c>
      <c r="J1493">
        <v>43</v>
      </c>
      <c r="K1493">
        <v>0</v>
      </c>
      <c r="L1493">
        <v>40.4</v>
      </c>
      <c r="M1493">
        <v>37.9</v>
      </c>
      <c r="N1493" t="s">
        <v>81</v>
      </c>
      <c r="O1493" t="s">
        <v>53</v>
      </c>
      <c r="P1493" t="s">
        <v>58</v>
      </c>
      <c r="R1493">
        <f>SUMIF(A1493:A6492,"C01492",I1493:I6492)</f>
        <v>5640.39</v>
      </c>
      <c r="S1493" s="1">
        <v>3341.09</v>
      </c>
      <c r="T1493">
        <f t="shared" si="167"/>
        <v>131.171860465116</v>
      </c>
      <c r="U1493">
        <f t="shared" si="162"/>
        <v>1629.7</v>
      </c>
      <c r="V1493">
        <f t="shared" si="164"/>
        <v>135.808333333333</v>
      </c>
      <c r="W1493">
        <f t="shared" si="165"/>
        <v>2184.90333333333</v>
      </c>
      <c r="X1493">
        <f t="shared" si="163"/>
        <v>1.19016336004905</v>
      </c>
      <c r="AH1493" t="str">
        <f t="shared" si="168"/>
        <v>3rd Quality</v>
      </c>
      <c r="AJ1493">
        <f>((T1493-X1493)*2)/40.4</f>
        <v>6.43473748044886</v>
      </c>
      <c r="AK1493">
        <f t="shared" si="166"/>
        <v>142583.812325581</v>
      </c>
    </row>
    <row r="1494" spans="1:37">
      <c r="A1494" t="s">
        <v>1557</v>
      </c>
      <c r="B1494">
        <v>62</v>
      </c>
      <c r="C1494" t="s">
        <v>44</v>
      </c>
      <c r="D1494" t="s">
        <v>60</v>
      </c>
      <c r="E1494">
        <v>731</v>
      </c>
      <c r="F1494">
        <v>50</v>
      </c>
      <c r="G1494">
        <v>9</v>
      </c>
      <c r="H1494">
        <v>9369.05</v>
      </c>
      <c r="I1494">
        <v>78606.85</v>
      </c>
      <c r="J1494">
        <v>58</v>
      </c>
      <c r="K1494">
        <v>0</v>
      </c>
      <c r="L1494">
        <v>12.3</v>
      </c>
      <c r="M1494">
        <v>7.6</v>
      </c>
      <c r="N1494" t="s">
        <v>63</v>
      </c>
      <c r="O1494" t="s">
        <v>75</v>
      </c>
      <c r="P1494" t="s">
        <v>68</v>
      </c>
      <c r="R1494">
        <f>SUMIF(A1494:A6493,"C01493",I1494:I6493)</f>
        <v>78606.85</v>
      </c>
      <c r="S1494" s="1">
        <v>20233.87</v>
      </c>
      <c r="T1494">
        <f t="shared" si="167"/>
        <v>1355.29051724138</v>
      </c>
      <c r="U1494">
        <f t="shared" si="162"/>
        <v>440.8</v>
      </c>
      <c r="V1494">
        <f t="shared" si="164"/>
        <v>36.7333333333333</v>
      </c>
      <c r="W1494">
        <f t="shared" si="165"/>
        <v>29325.6333333333</v>
      </c>
      <c r="X1494">
        <f t="shared" si="163"/>
        <v>0.0780228518366323</v>
      </c>
      <c r="AH1494" t="str">
        <f t="shared" si="168"/>
        <v>3rd Quality</v>
      </c>
      <c r="AJ1494">
        <f>((T1494-X1494)*2)/12.3</f>
        <v>220.359755185292</v>
      </c>
      <c r="AK1494">
        <f t="shared" si="166"/>
        <v>990717.368103448</v>
      </c>
    </row>
    <row r="1495" spans="1:37">
      <c r="A1495" t="s">
        <v>1558</v>
      </c>
      <c r="B1495">
        <v>28</v>
      </c>
      <c r="C1495" t="s">
        <v>44</v>
      </c>
      <c r="D1495" t="s">
        <v>51</v>
      </c>
      <c r="E1495">
        <v>679</v>
      </c>
      <c r="F1495">
        <v>233</v>
      </c>
      <c r="G1495">
        <v>4</v>
      </c>
      <c r="H1495">
        <v>862.67</v>
      </c>
      <c r="I1495">
        <v>3341.09</v>
      </c>
      <c r="J1495">
        <v>38</v>
      </c>
      <c r="K1495">
        <v>0</v>
      </c>
      <c r="L1495">
        <v>37.6</v>
      </c>
      <c r="M1495">
        <v>41.1</v>
      </c>
      <c r="N1495" t="s">
        <v>81</v>
      </c>
      <c r="O1495" t="s">
        <v>47</v>
      </c>
      <c r="P1495" t="s">
        <v>58</v>
      </c>
      <c r="R1495">
        <f>SUMIF(A1495:A6494,"C01494",I1495:I6494)</f>
        <v>3341.09</v>
      </c>
      <c r="S1495" s="1">
        <v>94447.66</v>
      </c>
      <c r="T1495">
        <f t="shared" si="167"/>
        <v>87.9234210526316</v>
      </c>
      <c r="U1495">
        <f t="shared" si="162"/>
        <v>1561.8</v>
      </c>
      <c r="V1495">
        <f t="shared" si="164"/>
        <v>130.15</v>
      </c>
      <c r="W1495">
        <f t="shared" si="165"/>
        <v>1401.58666666667</v>
      </c>
      <c r="X1495">
        <f t="shared" si="163"/>
        <v>0.787091239987481</v>
      </c>
      <c r="AH1495" t="str">
        <f t="shared" si="168"/>
        <v>3rd Quality</v>
      </c>
      <c r="AJ1495">
        <f>((T1495-X1495)*2)/37.6</f>
        <v>4.63491116024703</v>
      </c>
      <c r="AK1495">
        <f t="shared" si="166"/>
        <v>59700.0028947368</v>
      </c>
    </row>
    <row r="1496" spans="1:37">
      <c r="A1496" t="s">
        <v>1559</v>
      </c>
      <c r="B1496">
        <v>18</v>
      </c>
      <c r="C1496" t="s">
        <v>50</v>
      </c>
      <c r="D1496" t="s">
        <v>60</v>
      </c>
      <c r="E1496">
        <v>768</v>
      </c>
      <c r="F1496">
        <v>16</v>
      </c>
      <c r="G1496">
        <v>9</v>
      </c>
      <c r="H1496">
        <v>2356.02</v>
      </c>
      <c r="I1496">
        <v>20233.87</v>
      </c>
      <c r="J1496">
        <v>34</v>
      </c>
      <c r="K1496">
        <v>0</v>
      </c>
      <c r="L1496">
        <v>21.5</v>
      </c>
      <c r="M1496">
        <v>23.7</v>
      </c>
      <c r="N1496" t="s">
        <v>57</v>
      </c>
      <c r="O1496" t="s">
        <v>47</v>
      </c>
      <c r="P1496" t="s">
        <v>48</v>
      </c>
      <c r="R1496">
        <f>SUMIF(A1496:A6495,"C01495",I1496:I6495)</f>
        <v>20233.87</v>
      </c>
      <c r="S1496" s="1">
        <v>2756.91</v>
      </c>
      <c r="T1496">
        <f t="shared" si="167"/>
        <v>595.113823529412</v>
      </c>
      <c r="U1496">
        <f t="shared" si="162"/>
        <v>805.8</v>
      </c>
      <c r="V1496">
        <f t="shared" si="164"/>
        <v>67.15</v>
      </c>
      <c r="W1496">
        <f t="shared" si="165"/>
        <v>7530.29666666667</v>
      </c>
      <c r="X1496">
        <f t="shared" si="163"/>
        <v>0.325973463722719</v>
      </c>
      <c r="AH1496" t="str">
        <f t="shared" si="168"/>
        <v>2nd Quality</v>
      </c>
      <c r="AJ1496">
        <f>((T1496-X1496)*2)/21.5</f>
        <v>55.329102331692</v>
      </c>
      <c r="AK1496">
        <f t="shared" si="166"/>
        <v>457047.416470588</v>
      </c>
    </row>
    <row r="1497" spans="1:37">
      <c r="A1497" t="s">
        <v>1560</v>
      </c>
      <c r="B1497">
        <v>32</v>
      </c>
      <c r="C1497" t="s">
        <v>50</v>
      </c>
      <c r="D1497" t="s">
        <v>45</v>
      </c>
      <c r="E1497">
        <v>767</v>
      </c>
      <c r="F1497">
        <v>40</v>
      </c>
      <c r="G1497">
        <v>9</v>
      </c>
      <c r="H1497">
        <v>10123.68</v>
      </c>
      <c r="I1497">
        <v>94447.66</v>
      </c>
      <c r="J1497">
        <v>76</v>
      </c>
      <c r="K1497">
        <v>2</v>
      </c>
      <c r="L1497">
        <v>5.1</v>
      </c>
      <c r="M1497">
        <v>15.4</v>
      </c>
      <c r="N1497" t="s">
        <v>46</v>
      </c>
      <c r="O1497" t="s">
        <v>47</v>
      </c>
      <c r="P1497" t="s">
        <v>68</v>
      </c>
      <c r="R1497">
        <f>SUMIF(A1497:A6496,"C01496",I1497:I6496)</f>
        <v>94447.66</v>
      </c>
      <c r="S1497" s="1">
        <v>11490.45</v>
      </c>
      <c r="T1497">
        <f t="shared" si="167"/>
        <v>1242.73236842105</v>
      </c>
      <c r="U1497">
        <f t="shared" si="162"/>
        <v>1170.4</v>
      </c>
      <c r="V1497">
        <f>U1497</f>
        <v>1170.4</v>
      </c>
      <c r="W1497">
        <f t="shared" si="165"/>
        <v>34857.4466666667</v>
      </c>
      <c r="X1497">
        <f t="shared" si="163"/>
        <v>0.0757629636653865</v>
      </c>
      <c r="AH1497" t="str">
        <f t="shared" si="168"/>
        <v>2nd Quality</v>
      </c>
      <c r="AJ1497">
        <f>((T1497-X1497)*2)/5.1</f>
        <v>487.316315865641</v>
      </c>
      <c r="AK1497">
        <f t="shared" si="166"/>
        <v>953175.726578947</v>
      </c>
    </row>
    <row r="1498" spans="1:37">
      <c r="A1498" t="s">
        <v>1561</v>
      </c>
      <c r="B1498">
        <v>18</v>
      </c>
      <c r="C1498" t="s">
        <v>44</v>
      </c>
      <c r="D1498" t="s">
        <v>60</v>
      </c>
      <c r="E1498">
        <v>1270</v>
      </c>
      <c r="F1498">
        <v>176</v>
      </c>
      <c r="G1498">
        <v>5</v>
      </c>
      <c r="H1498">
        <v>574.78</v>
      </c>
      <c r="I1498">
        <v>2756.91</v>
      </c>
      <c r="J1498">
        <v>19</v>
      </c>
      <c r="K1498">
        <v>0</v>
      </c>
      <c r="L1498">
        <v>33</v>
      </c>
      <c r="M1498">
        <v>26.2</v>
      </c>
      <c r="N1498" t="s">
        <v>46</v>
      </c>
      <c r="O1498" t="s">
        <v>47</v>
      </c>
      <c r="P1498" t="s">
        <v>68</v>
      </c>
      <c r="R1498">
        <f>SUMIF(A1498:A6497,"C01497",I1498:I6497)</f>
        <v>2756.91</v>
      </c>
      <c r="S1498" s="1">
        <v>17017.7</v>
      </c>
      <c r="T1498">
        <f t="shared" si="167"/>
        <v>145.100526315789</v>
      </c>
      <c r="U1498">
        <f t="shared" si="162"/>
        <v>497.8</v>
      </c>
      <c r="V1498">
        <f t="shared" si="164"/>
        <v>41.4833333333333</v>
      </c>
      <c r="W1498">
        <f t="shared" si="165"/>
        <v>1110.89666666667</v>
      </c>
      <c r="X1498">
        <f t="shared" si="163"/>
        <v>2.2095410417899</v>
      </c>
      <c r="AH1498" t="str">
        <f t="shared" si="168"/>
        <v>3rd Quality</v>
      </c>
      <c r="AJ1498">
        <f>((T1498-X1498)*2)/33</f>
        <v>8.6600597135757</v>
      </c>
      <c r="AK1498">
        <f t="shared" si="166"/>
        <v>184277.668421053</v>
      </c>
    </row>
    <row r="1499" spans="1:37">
      <c r="A1499" t="s">
        <v>1562</v>
      </c>
      <c r="B1499">
        <v>39</v>
      </c>
      <c r="C1499" t="s">
        <v>44</v>
      </c>
      <c r="D1499" t="s">
        <v>45</v>
      </c>
      <c r="E1499">
        <v>878</v>
      </c>
      <c r="F1499">
        <v>18</v>
      </c>
      <c r="G1499">
        <v>1</v>
      </c>
      <c r="H1499">
        <v>10794.58</v>
      </c>
      <c r="I1499">
        <v>11490.45</v>
      </c>
      <c r="J1499">
        <v>14</v>
      </c>
      <c r="K1499">
        <v>0</v>
      </c>
      <c r="L1499">
        <v>9</v>
      </c>
      <c r="M1499">
        <v>7.1</v>
      </c>
      <c r="N1499" t="s">
        <v>52</v>
      </c>
      <c r="O1499" t="s">
        <v>47</v>
      </c>
      <c r="P1499" t="s">
        <v>58</v>
      </c>
      <c r="R1499">
        <f>SUMIF(A1499:A6498,"C01498",I1499:I6498)</f>
        <v>11490.45</v>
      </c>
      <c r="S1499" s="1">
        <v>1509.64</v>
      </c>
      <c r="T1499">
        <f t="shared" si="167"/>
        <v>820.746428571429</v>
      </c>
      <c r="U1499">
        <f t="shared" si="162"/>
        <v>99.4</v>
      </c>
      <c r="V1499">
        <f t="shared" si="164"/>
        <v>8.28333333333333</v>
      </c>
      <c r="W1499">
        <f t="shared" si="165"/>
        <v>7428.67666666667</v>
      </c>
      <c r="X1499">
        <f t="shared" si="163"/>
        <v>0.0813371154783234</v>
      </c>
      <c r="AH1499" t="str">
        <f t="shared" si="168"/>
        <v>2nd Quality</v>
      </c>
      <c r="AJ1499">
        <f>((T1499-X1499)*2)/9</f>
        <v>182.370020323545</v>
      </c>
      <c r="AK1499">
        <f t="shared" si="166"/>
        <v>720615.364285714</v>
      </c>
    </row>
    <row r="1500" spans="1:37">
      <c r="A1500" t="s">
        <v>1563</v>
      </c>
      <c r="B1500">
        <v>49</v>
      </c>
      <c r="C1500" t="s">
        <v>44</v>
      </c>
      <c r="D1500" t="s">
        <v>60</v>
      </c>
      <c r="E1500">
        <v>1386</v>
      </c>
      <c r="F1500">
        <v>26</v>
      </c>
      <c r="G1500">
        <v>10</v>
      </c>
      <c r="H1500">
        <v>1625.7</v>
      </c>
      <c r="I1500">
        <v>17017.7</v>
      </c>
      <c r="J1500">
        <v>60</v>
      </c>
      <c r="K1500">
        <v>0</v>
      </c>
      <c r="L1500">
        <v>25</v>
      </c>
      <c r="M1500">
        <v>21.7</v>
      </c>
      <c r="N1500" t="s">
        <v>81</v>
      </c>
      <c r="O1500" t="s">
        <v>47</v>
      </c>
      <c r="P1500" t="s">
        <v>58</v>
      </c>
      <c r="R1500">
        <f>SUMIF(A1500:A6499,"C01499",I1500:I6499)</f>
        <v>17017.7</v>
      </c>
      <c r="S1500" s="1">
        <v>2394.32</v>
      </c>
      <c r="T1500">
        <f t="shared" si="167"/>
        <v>283.628333333333</v>
      </c>
      <c r="U1500">
        <f t="shared" si="162"/>
        <v>1302</v>
      </c>
      <c r="V1500">
        <f t="shared" si="164"/>
        <v>108.5</v>
      </c>
      <c r="W1500">
        <f t="shared" si="165"/>
        <v>6214.8</v>
      </c>
      <c r="X1500">
        <f t="shared" si="163"/>
        <v>0.8525558221074</v>
      </c>
      <c r="AH1500" t="str">
        <f t="shared" si="168"/>
        <v>3rd Quality</v>
      </c>
      <c r="AJ1500">
        <f>((T1500-X1500)*2)/25</f>
        <v>22.622062200898</v>
      </c>
      <c r="AK1500">
        <f t="shared" si="166"/>
        <v>393108.87</v>
      </c>
    </row>
    <row r="1501" spans="1:37">
      <c r="A1501" t="s">
        <v>1564</v>
      </c>
      <c r="B1501">
        <v>25</v>
      </c>
      <c r="C1501" t="s">
        <v>44</v>
      </c>
      <c r="D1501" t="s">
        <v>60</v>
      </c>
      <c r="E1501">
        <v>1435</v>
      </c>
      <c r="F1501">
        <v>85</v>
      </c>
      <c r="G1501">
        <v>2</v>
      </c>
      <c r="H1501">
        <v>804.52</v>
      </c>
      <c r="I1501">
        <v>1509.64</v>
      </c>
      <c r="J1501">
        <v>24</v>
      </c>
      <c r="K1501">
        <v>0</v>
      </c>
      <c r="L1501">
        <v>45.2</v>
      </c>
      <c r="M1501">
        <v>17.6</v>
      </c>
      <c r="N1501" t="s">
        <v>78</v>
      </c>
      <c r="O1501" t="s">
        <v>47</v>
      </c>
      <c r="P1501" t="s">
        <v>58</v>
      </c>
      <c r="R1501">
        <f>SUMIF(A1501:A6500,"C01500",I1501:I6500)</f>
        <v>1509.64</v>
      </c>
      <c r="S1501" s="1">
        <v>1147.14</v>
      </c>
      <c r="T1501">
        <f t="shared" si="167"/>
        <v>62.9016666666667</v>
      </c>
      <c r="U1501">
        <f t="shared" si="162"/>
        <v>422.4</v>
      </c>
      <c r="V1501">
        <f t="shared" si="164"/>
        <v>35.2</v>
      </c>
      <c r="W1501">
        <f t="shared" si="165"/>
        <v>771.72</v>
      </c>
      <c r="X1501">
        <f t="shared" si="163"/>
        <v>1.78367225177746</v>
      </c>
      <c r="AH1501" t="str">
        <f t="shared" si="168"/>
        <v>3rd Quality</v>
      </c>
      <c r="AJ1501">
        <f>((T1501-X1501)*2)/45.2</f>
        <v>2.70433603605705</v>
      </c>
      <c r="AK1501">
        <f t="shared" si="166"/>
        <v>90263.8916666667</v>
      </c>
    </row>
    <row r="1502" spans="1:37">
      <c r="A1502" t="s">
        <v>1565</v>
      </c>
      <c r="B1502">
        <v>29</v>
      </c>
      <c r="C1502" t="s">
        <v>44</v>
      </c>
      <c r="D1502" t="s">
        <v>60</v>
      </c>
      <c r="E1502">
        <v>1111</v>
      </c>
      <c r="F1502">
        <v>129</v>
      </c>
      <c r="G1502">
        <v>3</v>
      </c>
      <c r="H1502">
        <v>833.34</v>
      </c>
      <c r="I1502">
        <v>2394.32</v>
      </c>
      <c r="J1502">
        <v>30</v>
      </c>
      <c r="K1502">
        <v>0</v>
      </c>
      <c r="L1502">
        <v>33.1</v>
      </c>
      <c r="M1502">
        <v>30.6</v>
      </c>
      <c r="N1502" t="s">
        <v>46</v>
      </c>
      <c r="O1502" t="s">
        <v>75</v>
      </c>
      <c r="P1502" t="s">
        <v>68</v>
      </c>
      <c r="R1502">
        <f>SUMIF(A1502:A6501,"C01501",I1502:I6501)</f>
        <v>2394.32</v>
      </c>
      <c r="S1502" s="1">
        <v>13840.58</v>
      </c>
      <c r="T1502">
        <f t="shared" si="167"/>
        <v>79.8106666666667</v>
      </c>
      <c r="U1502">
        <f t="shared" si="162"/>
        <v>918</v>
      </c>
      <c r="V1502">
        <f t="shared" si="164"/>
        <v>76.5</v>
      </c>
      <c r="W1502">
        <f t="shared" si="165"/>
        <v>1076.22</v>
      </c>
      <c r="X1502">
        <f t="shared" si="163"/>
        <v>1.33318933448532</v>
      </c>
      <c r="AH1502" t="str">
        <f t="shared" si="168"/>
        <v>3rd Quality</v>
      </c>
      <c r="AJ1502">
        <f>((T1502-X1502)*2)/33.1</f>
        <v>4.7418415306454</v>
      </c>
      <c r="AK1502">
        <f t="shared" si="166"/>
        <v>88669.6506666667</v>
      </c>
    </row>
    <row r="1503" spans="1:37">
      <c r="A1503" t="s">
        <v>1566</v>
      </c>
      <c r="B1503">
        <v>28</v>
      </c>
      <c r="C1503" t="s">
        <v>44</v>
      </c>
      <c r="D1503" t="s">
        <v>60</v>
      </c>
      <c r="E1503">
        <v>1098</v>
      </c>
      <c r="F1503">
        <v>212</v>
      </c>
      <c r="G1503">
        <v>1</v>
      </c>
      <c r="H1503">
        <v>1133.68</v>
      </c>
      <c r="I1503">
        <v>1147.14</v>
      </c>
      <c r="J1503">
        <v>6</v>
      </c>
      <c r="K1503">
        <v>1</v>
      </c>
      <c r="L1503">
        <v>11.5</v>
      </c>
      <c r="M1503">
        <v>33.6</v>
      </c>
      <c r="N1503" t="s">
        <v>78</v>
      </c>
      <c r="O1503" t="s">
        <v>47</v>
      </c>
      <c r="P1503" t="s">
        <v>48</v>
      </c>
      <c r="R1503">
        <f>SUMIF(A1503:A6502,"C01502",I1503:I6502)</f>
        <v>1147.14</v>
      </c>
      <c r="S1503" s="1">
        <v>6944.43</v>
      </c>
      <c r="T1503">
        <f t="shared" si="167"/>
        <v>191.19</v>
      </c>
      <c r="U1503">
        <f t="shared" si="162"/>
        <v>201.6</v>
      </c>
      <c r="V1503">
        <f>U1503</f>
        <v>201.6</v>
      </c>
      <c r="W1503">
        <f t="shared" si="165"/>
        <v>760.606666666667</v>
      </c>
      <c r="X1503">
        <f t="shared" si="163"/>
        <v>0.968527274010303</v>
      </c>
      <c r="AH1503" t="str">
        <f t="shared" si="168"/>
        <v>3rd Quality</v>
      </c>
      <c r="AJ1503">
        <f>((T1503-X1503)*2)/11.5</f>
        <v>33.0819952566939</v>
      </c>
      <c r="AK1503">
        <f t="shared" si="166"/>
        <v>209926.62</v>
      </c>
    </row>
    <row r="1504" spans="1:37">
      <c r="A1504" t="s">
        <v>1567</v>
      </c>
      <c r="B1504">
        <v>30</v>
      </c>
      <c r="C1504" t="s">
        <v>50</v>
      </c>
      <c r="D1504" t="s">
        <v>51</v>
      </c>
      <c r="E1504">
        <v>506</v>
      </c>
      <c r="F1504">
        <v>39</v>
      </c>
      <c r="G1504">
        <v>9</v>
      </c>
      <c r="H1504">
        <v>1400.73</v>
      </c>
      <c r="I1504">
        <v>13840.58</v>
      </c>
      <c r="J1504">
        <v>57</v>
      </c>
      <c r="K1504">
        <v>0</v>
      </c>
      <c r="L1504">
        <v>17.1</v>
      </c>
      <c r="M1504">
        <v>42.1</v>
      </c>
      <c r="N1504" t="s">
        <v>81</v>
      </c>
      <c r="O1504" t="s">
        <v>47</v>
      </c>
      <c r="P1504" t="s">
        <v>54</v>
      </c>
      <c r="R1504">
        <f>SUMIF(A1504:A6503,"C01503",I1504:I6503)</f>
        <v>13840.58</v>
      </c>
      <c r="S1504" s="1">
        <v>2986.06</v>
      </c>
      <c r="T1504">
        <f t="shared" si="167"/>
        <v>242.817192982456</v>
      </c>
      <c r="U1504">
        <f t="shared" si="162"/>
        <v>2399.7</v>
      </c>
      <c r="V1504">
        <f t="shared" si="164"/>
        <v>199.975</v>
      </c>
      <c r="W1504">
        <f t="shared" si="165"/>
        <v>5080.77</v>
      </c>
      <c r="X1504">
        <f t="shared" si="163"/>
        <v>0.361240210461688</v>
      </c>
      <c r="AH1504" t="str">
        <f t="shared" si="168"/>
        <v>3rd Quality</v>
      </c>
      <c r="AJ1504">
        <f>((T1504-X1504)*2)/17.1</f>
        <v>28.3574213768414</v>
      </c>
      <c r="AK1504">
        <f t="shared" si="166"/>
        <v>122865.499649123</v>
      </c>
    </row>
    <row r="1505" spans="1:37">
      <c r="A1505" t="s">
        <v>1568</v>
      </c>
      <c r="B1505">
        <v>32</v>
      </c>
      <c r="C1505" t="s">
        <v>44</v>
      </c>
      <c r="D1505" t="s">
        <v>60</v>
      </c>
      <c r="E1505">
        <v>538</v>
      </c>
      <c r="F1505">
        <v>122</v>
      </c>
      <c r="G1505">
        <v>9</v>
      </c>
      <c r="H1505">
        <v>850.95</v>
      </c>
      <c r="I1505">
        <v>6944.43</v>
      </c>
      <c r="J1505">
        <v>43</v>
      </c>
      <c r="K1505">
        <v>0</v>
      </c>
      <c r="L1505">
        <v>27.9</v>
      </c>
      <c r="M1505">
        <v>50.1</v>
      </c>
      <c r="N1505" t="s">
        <v>81</v>
      </c>
      <c r="O1505" t="s">
        <v>47</v>
      </c>
      <c r="P1505" t="s">
        <v>58</v>
      </c>
      <c r="R1505">
        <f>SUMIF(A1505:A6504,"C01504",I1505:I6504)</f>
        <v>6944.43</v>
      </c>
      <c r="S1505" s="1">
        <v>7541.89</v>
      </c>
      <c r="T1505">
        <f t="shared" si="167"/>
        <v>161.498372093023</v>
      </c>
      <c r="U1505">
        <f t="shared" si="162"/>
        <v>2154.3</v>
      </c>
      <c r="V1505">
        <f t="shared" si="164"/>
        <v>179.525</v>
      </c>
      <c r="W1505">
        <f t="shared" si="165"/>
        <v>2598.79333333333</v>
      </c>
      <c r="X1505">
        <f t="shared" si="163"/>
        <v>0.632234561372584</v>
      </c>
      <c r="AH1505" t="str">
        <f t="shared" si="168"/>
        <v>3rd Quality</v>
      </c>
      <c r="AJ1505">
        <f>((T1505-X1505)*2)/27.9</f>
        <v>11.5316227621255</v>
      </c>
      <c r="AK1505">
        <f t="shared" si="166"/>
        <v>86886.1241860465</v>
      </c>
    </row>
    <row r="1506" spans="1:37">
      <c r="A1506" t="s">
        <v>1569</v>
      </c>
      <c r="B1506">
        <v>26</v>
      </c>
      <c r="C1506" t="s">
        <v>56</v>
      </c>
      <c r="D1506" t="s">
        <v>51</v>
      </c>
      <c r="E1506">
        <v>1145</v>
      </c>
      <c r="F1506">
        <v>92</v>
      </c>
      <c r="G1506">
        <v>4</v>
      </c>
      <c r="H1506">
        <v>772.74</v>
      </c>
      <c r="I1506">
        <v>2986.06</v>
      </c>
      <c r="J1506">
        <v>20</v>
      </c>
      <c r="K1506">
        <v>2</v>
      </c>
      <c r="L1506">
        <v>34.3</v>
      </c>
      <c r="M1506">
        <v>9.4</v>
      </c>
      <c r="N1506" t="s">
        <v>81</v>
      </c>
      <c r="O1506" t="s">
        <v>47</v>
      </c>
      <c r="P1506" t="s">
        <v>66</v>
      </c>
      <c r="R1506">
        <f>SUMIF(A1506:A6505,"C01505",I1506:I6505)</f>
        <v>2986.06</v>
      </c>
      <c r="S1506" s="1">
        <v>2365.78</v>
      </c>
      <c r="T1506">
        <f t="shared" si="167"/>
        <v>149.303</v>
      </c>
      <c r="U1506">
        <f t="shared" ref="U1506:U1569" si="169">J1506*M1506</f>
        <v>188</v>
      </c>
      <c r="V1506">
        <f>U1506</f>
        <v>188</v>
      </c>
      <c r="W1506">
        <f t="shared" si="165"/>
        <v>1253.26666666667</v>
      </c>
      <c r="X1506">
        <f t="shared" si="163"/>
        <v>1.48174030074799</v>
      </c>
      <c r="AH1506" t="str">
        <f t="shared" si="168"/>
        <v>3rd Quality</v>
      </c>
      <c r="AJ1506">
        <f>((T1506-X1506)*2)/34.3</f>
        <v>8.61931543435872</v>
      </c>
      <c r="AK1506">
        <f t="shared" si="166"/>
        <v>170951.935</v>
      </c>
    </row>
    <row r="1507" spans="1:37">
      <c r="A1507" t="s">
        <v>1570</v>
      </c>
      <c r="B1507">
        <v>40</v>
      </c>
      <c r="C1507" t="s">
        <v>50</v>
      </c>
      <c r="D1507" t="s">
        <v>60</v>
      </c>
      <c r="E1507">
        <v>1451</v>
      </c>
      <c r="F1507">
        <v>81</v>
      </c>
      <c r="G1507">
        <v>1</v>
      </c>
      <c r="H1507">
        <v>7366.55</v>
      </c>
      <c r="I1507">
        <v>7541.89</v>
      </c>
      <c r="J1507">
        <v>9</v>
      </c>
      <c r="K1507">
        <v>0</v>
      </c>
      <c r="L1507">
        <v>12.9</v>
      </c>
      <c r="M1507">
        <v>23.2</v>
      </c>
      <c r="N1507" t="s">
        <v>52</v>
      </c>
      <c r="O1507" t="s">
        <v>53</v>
      </c>
      <c r="P1507" t="s">
        <v>58</v>
      </c>
      <c r="R1507">
        <f>SUMIF(A1507:A6506,"C01506",I1507:I6506)</f>
        <v>7541.89</v>
      </c>
      <c r="S1507" s="1">
        <v>27720.25</v>
      </c>
      <c r="T1507">
        <f t="shared" si="167"/>
        <v>837.987777777778</v>
      </c>
      <c r="U1507">
        <f t="shared" si="169"/>
        <v>208.8</v>
      </c>
      <c r="V1507">
        <f t="shared" si="164"/>
        <v>17.4</v>
      </c>
      <c r="W1507">
        <f t="shared" si="165"/>
        <v>4969.81333333333</v>
      </c>
      <c r="X1507">
        <f t="shared" si="163"/>
        <v>0.196971445249133</v>
      </c>
      <c r="AH1507" t="str">
        <f t="shared" si="168"/>
        <v>3rd Quality</v>
      </c>
      <c r="AJ1507">
        <f>((T1507-X1507)*2)/12.9</f>
        <v>129.890047493415</v>
      </c>
      <c r="AK1507">
        <f t="shared" si="166"/>
        <v>1215920.26555556</v>
      </c>
    </row>
    <row r="1508" spans="1:37">
      <c r="A1508" t="s">
        <v>1571</v>
      </c>
      <c r="B1508">
        <v>22</v>
      </c>
      <c r="C1508" t="s">
        <v>50</v>
      </c>
      <c r="D1508" t="s">
        <v>45</v>
      </c>
      <c r="E1508">
        <v>1246</v>
      </c>
      <c r="F1508">
        <v>365</v>
      </c>
      <c r="G1508">
        <v>2</v>
      </c>
      <c r="H1508">
        <v>1234.89</v>
      </c>
      <c r="I1508">
        <v>2365.78</v>
      </c>
      <c r="J1508">
        <v>20</v>
      </c>
      <c r="K1508">
        <v>0</v>
      </c>
      <c r="L1508">
        <v>32.6</v>
      </c>
      <c r="M1508">
        <v>24.7</v>
      </c>
      <c r="N1508" t="s">
        <v>63</v>
      </c>
      <c r="O1508" t="s">
        <v>53</v>
      </c>
      <c r="P1508" t="s">
        <v>58</v>
      </c>
      <c r="R1508">
        <f>SUMIF(A1508:A6507,"C01507",I1508:I6507)</f>
        <v>2365.78</v>
      </c>
      <c r="S1508" s="1">
        <v>50943.39</v>
      </c>
      <c r="T1508">
        <f t="shared" si="167"/>
        <v>118.289</v>
      </c>
      <c r="U1508">
        <f t="shared" si="169"/>
        <v>494</v>
      </c>
      <c r="V1508">
        <f t="shared" si="164"/>
        <v>41.1666666666667</v>
      </c>
      <c r="W1508">
        <f t="shared" si="165"/>
        <v>1200.55666666667</v>
      </c>
      <c r="X1508">
        <f t="shared" si="163"/>
        <v>1.00899675274721</v>
      </c>
      <c r="AH1508" t="str">
        <f t="shared" si="168"/>
        <v>3rd Quality</v>
      </c>
      <c r="AJ1508">
        <f>((T1508-X1508)*2)/32.6</f>
        <v>7.19509222375784</v>
      </c>
      <c r="AK1508">
        <f t="shared" si="166"/>
        <v>147388.094</v>
      </c>
    </row>
    <row r="1509" spans="1:37">
      <c r="A1509" t="s">
        <v>1572</v>
      </c>
      <c r="B1509">
        <v>36</v>
      </c>
      <c r="C1509" t="s">
        <v>44</v>
      </c>
      <c r="D1509" t="s">
        <v>60</v>
      </c>
      <c r="E1509">
        <v>663</v>
      </c>
      <c r="F1509">
        <v>18</v>
      </c>
      <c r="G1509">
        <v>12</v>
      </c>
      <c r="H1509">
        <v>2432.9</v>
      </c>
      <c r="I1509">
        <v>27720.25</v>
      </c>
      <c r="J1509">
        <v>81</v>
      </c>
      <c r="K1509">
        <v>2</v>
      </c>
      <c r="L1509">
        <v>14.7</v>
      </c>
      <c r="M1509">
        <v>9.3</v>
      </c>
      <c r="N1509" t="s">
        <v>78</v>
      </c>
      <c r="O1509" t="s">
        <v>47</v>
      </c>
      <c r="P1509" t="s">
        <v>58</v>
      </c>
      <c r="R1509">
        <f>SUMIF(A1509:A6508,"C01508",I1509:I6508)</f>
        <v>27720.25</v>
      </c>
      <c r="S1509" s="1">
        <v>3143.65</v>
      </c>
      <c r="T1509">
        <f t="shared" si="167"/>
        <v>342.225308641975</v>
      </c>
      <c r="U1509">
        <f t="shared" si="169"/>
        <v>753.3</v>
      </c>
      <c r="V1509">
        <f>U1509</f>
        <v>753.3</v>
      </c>
      <c r="W1509">
        <f t="shared" si="165"/>
        <v>10051.3833333333</v>
      </c>
      <c r="X1509">
        <f t="shared" si="163"/>
        <v>0.272514283365531</v>
      </c>
      <c r="AH1509" t="str">
        <f t="shared" si="168"/>
        <v>2nd Quality</v>
      </c>
      <c r="AJ1509">
        <f>((T1509-X1509)*2)/14.7</f>
        <v>46.5241897086544</v>
      </c>
      <c r="AK1509">
        <f t="shared" si="166"/>
        <v>226895.37962963</v>
      </c>
    </row>
    <row r="1510" spans="1:37">
      <c r="A1510" t="s">
        <v>1573</v>
      </c>
      <c r="B1510">
        <v>43</v>
      </c>
      <c r="C1510" t="s">
        <v>44</v>
      </c>
      <c r="D1510" t="s">
        <v>60</v>
      </c>
      <c r="E1510">
        <v>1110</v>
      </c>
      <c r="F1510">
        <v>21</v>
      </c>
      <c r="G1510">
        <v>25</v>
      </c>
      <c r="H1510">
        <v>2071.57</v>
      </c>
      <c r="I1510">
        <v>50943.39</v>
      </c>
      <c r="J1510">
        <v>57</v>
      </c>
      <c r="K1510">
        <v>4</v>
      </c>
      <c r="L1510">
        <v>19.8</v>
      </c>
      <c r="M1510">
        <v>19.9</v>
      </c>
      <c r="N1510" t="s">
        <v>52</v>
      </c>
      <c r="O1510" t="s">
        <v>75</v>
      </c>
      <c r="P1510" t="s">
        <v>66</v>
      </c>
      <c r="R1510">
        <f>SUMIF(A1510:A6509,"C01509",I1510:I6509)</f>
        <v>50943.39</v>
      </c>
      <c r="S1510" s="1">
        <v>55377.64</v>
      </c>
      <c r="T1510">
        <f t="shared" si="167"/>
        <v>893.743684210526</v>
      </c>
      <c r="U1510">
        <f t="shared" si="169"/>
        <v>1134.3</v>
      </c>
      <c r="V1510">
        <f>U1510</f>
        <v>1134.3</v>
      </c>
      <c r="W1510">
        <f t="shared" si="165"/>
        <v>17671.9866666667</v>
      </c>
      <c r="X1510">
        <f t="shared" si="163"/>
        <v>0.535825485018609</v>
      </c>
      <c r="AH1510" t="str">
        <f t="shared" si="168"/>
        <v>2nd Quality</v>
      </c>
      <c r="AJ1510">
        <f>((T1510-X1510)*2)/19.8</f>
        <v>90.2230160328795</v>
      </c>
      <c r="AK1510">
        <f t="shared" si="166"/>
        <v>992055.489473684</v>
      </c>
    </row>
    <row r="1511" spans="1:37">
      <c r="A1511" t="s">
        <v>1574</v>
      </c>
      <c r="B1511">
        <v>23</v>
      </c>
      <c r="C1511" t="s">
        <v>44</v>
      </c>
      <c r="D1511" t="s">
        <v>45</v>
      </c>
      <c r="E1511">
        <v>1048</v>
      </c>
      <c r="F1511">
        <v>64</v>
      </c>
      <c r="G1511">
        <v>4</v>
      </c>
      <c r="H1511">
        <v>848.51</v>
      </c>
      <c r="I1511">
        <v>3143.65</v>
      </c>
      <c r="J1511">
        <v>28</v>
      </c>
      <c r="K1511">
        <v>0</v>
      </c>
      <c r="L1511">
        <v>38.4</v>
      </c>
      <c r="M1511">
        <v>8.2</v>
      </c>
      <c r="N1511" t="s">
        <v>61</v>
      </c>
      <c r="O1511" t="s">
        <v>47</v>
      </c>
      <c r="P1511" t="s">
        <v>66</v>
      </c>
      <c r="R1511">
        <f>SUMIF(A1511:A6510,"C01510",I1511:I6510)</f>
        <v>3143.65</v>
      </c>
      <c r="S1511" s="1">
        <v>87450.1</v>
      </c>
      <c r="T1511">
        <f t="shared" si="167"/>
        <v>112.273214285714</v>
      </c>
      <c r="U1511">
        <f t="shared" si="169"/>
        <v>229.6</v>
      </c>
      <c r="V1511">
        <f t="shared" si="164"/>
        <v>19.1333333333333</v>
      </c>
      <c r="W1511">
        <f t="shared" si="165"/>
        <v>1331.05333333333</v>
      </c>
      <c r="X1511">
        <f t="shared" si="163"/>
        <v>1.23510624506488</v>
      </c>
      <c r="AH1511" t="str">
        <f t="shared" si="168"/>
        <v>3rd Quality</v>
      </c>
      <c r="AJ1511">
        <f>((T1511-X1511)*2)/38.4</f>
        <v>5.78323479378381</v>
      </c>
      <c r="AK1511">
        <f t="shared" si="166"/>
        <v>117662.328571429</v>
      </c>
    </row>
    <row r="1512" spans="1:37">
      <c r="A1512" t="s">
        <v>1575</v>
      </c>
      <c r="B1512">
        <v>18</v>
      </c>
      <c r="C1512" t="s">
        <v>44</v>
      </c>
      <c r="D1512" t="s">
        <v>45</v>
      </c>
      <c r="E1512">
        <v>429</v>
      </c>
      <c r="F1512">
        <v>20</v>
      </c>
      <c r="G1512">
        <v>19</v>
      </c>
      <c r="H1512">
        <v>2844.01</v>
      </c>
      <c r="I1512">
        <v>55377.64</v>
      </c>
      <c r="J1512">
        <v>123</v>
      </c>
      <c r="K1512">
        <v>0</v>
      </c>
      <c r="L1512">
        <v>6.3</v>
      </c>
      <c r="M1512">
        <v>51.6</v>
      </c>
      <c r="N1512" t="s">
        <v>81</v>
      </c>
      <c r="O1512" t="s">
        <v>47</v>
      </c>
      <c r="P1512" t="s">
        <v>68</v>
      </c>
      <c r="R1512">
        <f>SUMIF(A1512:A6511,"C01511",I1512:I6511)</f>
        <v>55377.64</v>
      </c>
      <c r="S1512" s="1">
        <v>32475.81</v>
      </c>
      <c r="T1512">
        <f t="shared" si="167"/>
        <v>450.224715447154</v>
      </c>
      <c r="U1512">
        <f t="shared" si="169"/>
        <v>6346.8</v>
      </c>
      <c r="V1512">
        <f t="shared" si="164"/>
        <v>528.9</v>
      </c>
      <c r="W1512">
        <f t="shared" si="165"/>
        <v>19407.55</v>
      </c>
      <c r="X1512">
        <f t="shared" si="163"/>
        <v>0.150843351465009</v>
      </c>
      <c r="AH1512" t="str">
        <f t="shared" si="168"/>
        <v>3rd Quality</v>
      </c>
      <c r="AJ1512">
        <f>((T1512-X1512)*2)/6.3</f>
        <v>142.880594316092</v>
      </c>
      <c r="AK1512">
        <f t="shared" si="166"/>
        <v>193146.402926829</v>
      </c>
    </row>
    <row r="1513" spans="1:37">
      <c r="A1513" t="s">
        <v>1576</v>
      </c>
      <c r="B1513">
        <v>20</v>
      </c>
      <c r="C1513" t="s">
        <v>44</v>
      </c>
      <c r="D1513" t="s">
        <v>45</v>
      </c>
      <c r="E1513">
        <v>1324</v>
      </c>
      <c r="F1513">
        <v>6</v>
      </c>
      <c r="G1513">
        <v>21</v>
      </c>
      <c r="H1513">
        <v>3817.66</v>
      </c>
      <c r="I1513">
        <v>87450.1</v>
      </c>
      <c r="J1513">
        <v>179</v>
      </c>
      <c r="K1513">
        <v>0</v>
      </c>
      <c r="L1513">
        <v>11.6</v>
      </c>
      <c r="M1513">
        <v>38</v>
      </c>
      <c r="N1513" t="s">
        <v>57</v>
      </c>
      <c r="O1513" t="s">
        <v>75</v>
      </c>
      <c r="P1513" t="s">
        <v>68</v>
      </c>
      <c r="R1513">
        <f>SUMIF(A1513:A6512,"C01512",I1513:I6512)</f>
        <v>87450.1</v>
      </c>
      <c r="S1513" s="1">
        <v>2185.85</v>
      </c>
      <c r="T1513">
        <f t="shared" si="167"/>
        <v>488.548044692737</v>
      </c>
      <c r="U1513">
        <f t="shared" si="169"/>
        <v>6802</v>
      </c>
      <c r="V1513">
        <f t="shared" si="164"/>
        <v>566.833333333333</v>
      </c>
      <c r="W1513">
        <f t="shared" si="165"/>
        <v>30422.92</v>
      </c>
      <c r="X1513">
        <f t="shared" si="163"/>
        <v>0.346809302033183</v>
      </c>
      <c r="AH1513" t="str">
        <f t="shared" si="168"/>
        <v>1st Quality</v>
      </c>
      <c r="AJ1513">
        <f>((T1513-X1513)*2)/11.6</f>
        <v>84.1726267915007</v>
      </c>
      <c r="AK1513">
        <f t="shared" si="166"/>
        <v>646837.611173184</v>
      </c>
    </row>
    <row r="1514" spans="1:37">
      <c r="A1514" t="s">
        <v>1577</v>
      </c>
      <c r="B1514">
        <v>29</v>
      </c>
      <c r="C1514" t="s">
        <v>50</v>
      </c>
      <c r="D1514" t="s">
        <v>45</v>
      </c>
      <c r="E1514">
        <v>748</v>
      </c>
      <c r="F1514">
        <v>3</v>
      </c>
      <c r="G1514">
        <v>3</v>
      </c>
      <c r="H1514">
        <v>9853.86</v>
      </c>
      <c r="I1514">
        <v>32475.81</v>
      </c>
      <c r="J1514">
        <v>15</v>
      </c>
      <c r="K1514">
        <v>0</v>
      </c>
      <c r="L1514">
        <v>7.3</v>
      </c>
      <c r="M1514">
        <v>27.3</v>
      </c>
      <c r="N1514" t="s">
        <v>63</v>
      </c>
      <c r="O1514" t="s">
        <v>47</v>
      </c>
      <c r="P1514" t="s">
        <v>58</v>
      </c>
      <c r="R1514">
        <f>SUMIF(A1514:A6513,"C01513",I1514:I6513)</f>
        <v>32475.81</v>
      </c>
      <c r="S1514" s="1">
        <v>1674.32</v>
      </c>
      <c r="T1514">
        <f t="shared" si="167"/>
        <v>2165.054</v>
      </c>
      <c r="U1514">
        <f t="shared" si="169"/>
        <v>409.5</v>
      </c>
      <c r="V1514">
        <f t="shared" si="164"/>
        <v>34.125</v>
      </c>
      <c r="W1514">
        <f t="shared" si="165"/>
        <v>14110.2233333333</v>
      </c>
      <c r="X1514">
        <f t="shared" si="163"/>
        <v>0.0759093390813346</v>
      </c>
      <c r="AH1514" t="str">
        <f t="shared" si="168"/>
        <v>2nd Quality</v>
      </c>
      <c r="AJ1514">
        <f>((T1514-X1514)*2)/7.3</f>
        <v>593.144682372855</v>
      </c>
      <c r="AK1514">
        <f t="shared" si="166"/>
        <v>1619460.392</v>
      </c>
    </row>
    <row r="1515" spans="1:37">
      <c r="A1515" t="s">
        <v>1578</v>
      </c>
      <c r="B1515">
        <v>20</v>
      </c>
      <c r="C1515" t="s">
        <v>50</v>
      </c>
      <c r="D1515" t="s">
        <v>45</v>
      </c>
      <c r="E1515">
        <v>1041</v>
      </c>
      <c r="F1515">
        <v>168</v>
      </c>
      <c r="G1515">
        <v>3</v>
      </c>
      <c r="H1515">
        <v>733.65</v>
      </c>
      <c r="I1515">
        <v>2185.85</v>
      </c>
      <c r="J1515">
        <v>26</v>
      </c>
      <c r="K1515">
        <v>1</v>
      </c>
      <c r="L1515">
        <v>26.4</v>
      </c>
      <c r="M1515">
        <v>34.1</v>
      </c>
      <c r="N1515" t="s">
        <v>81</v>
      </c>
      <c r="O1515" t="s">
        <v>47</v>
      </c>
      <c r="P1515" t="s">
        <v>68</v>
      </c>
      <c r="R1515">
        <f>SUMIF(A1515:A6514,"C01514",I1515:I6514)</f>
        <v>2185.85</v>
      </c>
      <c r="S1515" s="1">
        <v>4836.56</v>
      </c>
      <c r="T1515">
        <f t="shared" si="167"/>
        <v>84.0711538461538</v>
      </c>
      <c r="U1515">
        <f t="shared" si="169"/>
        <v>886.6</v>
      </c>
      <c r="V1515">
        <f>U1515</f>
        <v>886.6</v>
      </c>
      <c r="W1515">
        <f t="shared" si="165"/>
        <v>973.5</v>
      </c>
      <c r="X1515">
        <f t="shared" si="163"/>
        <v>1.41893273359231</v>
      </c>
      <c r="AH1515" t="str">
        <f t="shared" si="168"/>
        <v>3rd Quality</v>
      </c>
      <c r="AJ1515">
        <f>((T1515-X1515)*2)/26.4</f>
        <v>6.26153190246678</v>
      </c>
      <c r="AK1515">
        <f t="shared" si="166"/>
        <v>87518.0711538462</v>
      </c>
    </row>
    <row r="1516" spans="1:37">
      <c r="A1516" t="s">
        <v>1579</v>
      </c>
      <c r="B1516">
        <v>50</v>
      </c>
      <c r="C1516" t="s">
        <v>50</v>
      </c>
      <c r="D1516" t="s">
        <v>45</v>
      </c>
      <c r="E1516">
        <v>739</v>
      </c>
      <c r="F1516">
        <v>235</v>
      </c>
      <c r="G1516">
        <v>1</v>
      </c>
      <c r="H1516">
        <v>1761.65</v>
      </c>
      <c r="I1516">
        <v>1674.32</v>
      </c>
      <c r="J1516">
        <v>19</v>
      </c>
      <c r="K1516">
        <v>0</v>
      </c>
      <c r="L1516">
        <v>8.9</v>
      </c>
      <c r="M1516">
        <v>15</v>
      </c>
      <c r="N1516" t="s">
        <v>46</v>
      </c>
      <c r="O1516" t="s">
        <v>47</v>
      </c>
      <c r="P1516" t="s">
        <v>54</v>
      </c>
      <c r="R1516">
        <f>SUMIF(A1516:A6515,"C01515",I1516:I6515)</f>
        <v>1674.32</v>
      </c>
      <c r="S1516" s="1">
        <v>147738.32</v>
      </c>
      <c r="T1516">
        <f t="shared" si="167"/>
        <v>88.1221052631579</v>
      </c>
      <c r="U1516">
        <f t="shared" si="169"/>
        <v>285</v>
      </c>
      <c r="V1516">
        <f t="shared" si="164"/>
        <v>23.75</v>
      </c>
      <c r="W1516">
        <f t="shared" si="165"/>
        <v>1145.65666666667</v>
      </c>
      <c r="X1516">
        <f t="shared" si="163"/>
        <v>0.419493088865552</v>
      </c>
      <c r="AH1516" t="str">
        <f t="shared" si="168"/>
        <v>3rd Quality</v>
      </c>
      <c r="AJ1516">
        <f>((T1516-X1516)*2)/8.9</f>
        <v>19.7084521739983</v>
      </c>
      <c r="AK1516">
        <f t="shared" si="166"/>
        <v>65122.2357894737</v>
      </c>
    </row>
    <row r="1517" spans="1:37">
      <c r="A1517" t="s">
        <v>1580</v>
      </c>
      <c r="B1517">
        <v>33</v>
      </c>
      <c r="C1517" t="s">
        <v>50</v>
      </c>
      <c r="D1517" t="s">
        <v>60</v>
      </c>
      <c r="E1517">
        <v>1380</v>
      </c>
      <c r="F1517">
        <v>91</v>
      </c>
      <c r="G1517">
        <v>4</v>
      </c>
      <c r="H1517">
        <v>1244.26</v>
      </c>
      <c r="I1517">
        <v>4836.56</v>
      </c>
      <c r="J1517">
        <v>26</v>
      </c>
      <c r="K1517">
        <v>0</v>
      </c>
      <c r="L1517">
        <v>26</v>
      </c>
      <c r="M1517">
        <v>33.9</v>
      </c>
      <c r="N1517" t="s">
        <v>46</v>
      </c>
      <c r="O1517" t="s">
        <v>47</v>
      </c>
      <c r="P1517" t="s">
        <v>48</v>
      </c>
      <c r="R1517">
        <f>SUMIF(A1517:A6516,"C01516",I1517:I6516)</f>
        <v>4836.56</v>
      </c>
      <c r="S1517" s="1">
        <v>2574.28</v>
      </c>
      <c r="T1517">
        <f t="shared" si="167"/>
        <v>186.021538461538</v>
      </c>
      <c r="U1517">
        <f t="shared" si="169"/>
        <v>881.4</v>
      </c>
      <c r="V1517">
        <f t="shared" si="164"/>
        <v>73.45</v>
      </c>
      <c r="W1517">
        <f t="shared" si="165"/>
        <v>2027.27333333333</v>
      </c>
      <c r="X1517">
        <f t="shared" si="163"/>
        <v>1.10909295484866</v>
      </c>
      <c r="AH1517" t="str">
        <f t="shared" si="168"/>
        <v>3rd Quality</v>
      </c>
      <c r="AJ1517">
        <f>((T1517-X1517)*2)/26</f>
        <v>14.2240342697453</v>
      </c>
      <c r="AK1517">
        <f t="shared" si="166"/>
        <v>256709.723076923</v>
      </c>
    </row>
    <row r="1518" spans="1:37">
      <c r="A1518" t="s">
        <v>1581</v>
      </c>
      <c r="B1518">
        <v>26</v>
      </c>
      <c r="C1518" t="s">
        <v>50</v>
      </c>
      <c r="D1518" t="s">
        <v>45</v>
      </c>
      <c r="E1518">
        <v>881</v>
      </c>
      <c r="F1518">
        <v>6</v>
      </c>
      <c r="G1518">
        <v>27</v>
      </c>
      <c r="H1518">
        <v>5853.4</v>
      </c>
      <c r="I1518">
        <v>147738.32</v>
      </c>
      <c r="J1518">
        <v>89</v>
      </c>
      <c r="K1518">
        <v>0</v>
      </c>
      <c r="L1518">
        <v>0</v>
      </c>
      <c r="M1518">
        <v>18.3</v>
      </c>
      <c r="N1518" t="s">
        <v>46</v>
      </c>
      <c r="O1518" t="s">
        <v>47</v>
      </c>
      <c r="P1518" t="s">
        <v>58</v>
      </c>
      <c r="R1518">
        <f>SUMIF(A1518:A6517,"C01517",I1518:I6517)</f>
        <v>147738.32</v>
      </c>
      <c r="S1518" s="1">
        <v>67610.68</v>
      </c>
      <c r="T1518">
        <f t="shared" si="167"/>
        <v>1659.98112359551</v>
      </c>
      <c r="U1518">
        <f t="shared" si="169"/>
        <v>1628.7</v>
      </c>
      <c r="V1518">
        <f t="shared" si="164"/>
        <v>135.725</v>
      </c>
      <c r="W1518">
        <f t="shared" si="165"/>
        <v>51197.5733333333</v>
      </c>
      <c r="X1518">
        <f t="shared" si="163"/>
        <v>0.150510814227628</v>
      </c>
      <c r="AH1518" t="str">
        <f t="shared" si="168"/>
        <v>2nd Quality</v>
      </c>
      <c r="AJ1518">
        <f>((T1518-X1518)*2)</f>
        <v>3319.66122556257</v>
      </c>
      <c r="AK1518">
        <f t="shared" si="166"/>
        <v>1462443.36988764</v>
      </c>
    </row>
    <row r="1519" spans="1:37">
      <c r="A1519" t="s">
        <v>1582</v>
      </c>
      <c r="B1519">
        <v>25</v>
      </c>
      <c r="C1519" t="s">
        <v>50</v>
      </c>
      <c r="D1519" t="s">
        <v>45</v>
      </c>
      <c r="E1519">
        <v>1295</v>
      </c>
      <c r="F1519">
        <v>204</v>
      </c>
      <c r="G1519">
        <v>2</v>
      </c>
      <c r="H1519">
        <v>1257.4</v>
      </c>
      <c r="I1519">
        <v>2574.28</v>
      </c>
      <c r="J1519">
        <v>26</v>
      </c>
      <c r="K1519">
        <v>0</v>
      </c>
      <c r="L1519">
        <v>12.8</v>
      </c>
      <c r="M1519">
        <v>63.9</v>
      </c>
      <c r="N1519" t="s">
        <v>63</v>
      </c>
      <c r="O1519" t="s">
        <v>47</v>
      </c>
      <c r="P1519" t="s">
        <v>58</v>
      </c>
      <c r="R1519">
        <f>SUMIF(A1519:A6518,"C01518",I1519:I6518)</f>
        <v>2574.28</v>
      </c>
      <c r="S1519" s="1">
        <v>85429.12</v>
      </c>
      <c r="T1519">
        <f t="shared" si="167"/>
        <v>99.0107692307692</v>
      </c>
      <c r="U1519">
        <f t="shared" si="169"/>
        <v>1661.4</v>
      </c>
      <c r="V1519">
        <f t="shared" si="164"/>
        <v>138.45</v>
      </c>
      <c r="W1519">
        <f t="shared" si="165"/>
        <v>1277.56</v>
      </c>
      <c r="X1519">
        <f t="shared" ref="X1519:X1582" si="170">E1519/H1519</f>
        <v>1.0299029743916</v>
      </c>
      <c r="AH1519" t="str">
        <f t="shared" si="168"/>
        <v>3rd Quality</v>
      </c>
      <c r="AJ1519">
        <f>((T1519-X1519)*2)/12.8</f>
        <v>15.309510352559</v>
      </c>
      <c r="AK1519">
        <f t="shared" si="166"/>
        <v>128218.946153846</v>
      </c>
    </row>
    <row r="1520" spans="1:37">
      <c r="A1520" t="s">
        <v>1583</v>
      </c>
      <c r="B1520">
        <v>43</v>
      </c>
      <c r="C1520" t="s">
        <v>44</v>
      </c>
      <c r="D1520" t="s">
        <v>60</v>
      </c>
      <c r="E1520">
        <v>1395</v>
      </c>
      <c r="F1520">
        <v>6</v>
      </c>
      <c r="G1520">
        <v>21</v>
      </c>
      <c r="H1520">
        <v>3528.93</v>
      </c>
      <c r="I1520">
        <v>67610.68</v>
      </c>
      <c r="J1520">
        <v>52</v>
      </c>
      <c r="K1520">
        <v>0</v>
      </c>
      <c r="L1520">
        <v>21</v>
      </c>
      <c r="M1520">
        <v>23.5</v>
      </c>
      <c r="N1520" t="s">
        <v>46</v>
      </c>
      <c r="O1520" t="s">
        <v>47</v>
      </c>
      <c r="P1520" t="s">
        <v>58</v>
      </c>
      <c r="R1520">
        <f>SUMIF(A1520:A6519,"C01519",I1520:I6519)</f>
        <v>67610.68</v>
      </c>
      <c r="S1520" s="1">
        <v>13218.13</v>
      </c>
      <c r="T1520">
        <f t="shared" si="167"/>
        <v>1300.20538461538</v>
      </c>
      <c r="U1520">
        <f t="shared" si="169"/>
        <v>1222</v>
      </c>
      <c r="V1520">
        <f t="shared" si="164"/>
        <v>101.833333333333</v>
      </c>
      <c r="W1520">
        <f t="shared" si="165"/>
        <v>23713.5366666667</v>
      </c>
      <c r="X1520">
        <f t="shared" si="170"/>
        <v>0.395303958990402</v>
      </c>
      <c r="AH1520" t="str">
        <f t="shared" si="168"/>
        <v>2nd Quality</v>
      </c>
      <c r="AJ1520">
        <f>((T1520-X1520)*2)/21</f>
        <v>123.791436252989</v>
      </c>
      <c r="AK1520">
        <f t="shared" si="166"/>
        <v>1813786.51153846</v>
      </c>
    </row>
    <row r="1521" spans="1:37">
      <c r="A1521" t="s">
        <v>1584</v>
      </c>
      <c r="B1521">
        <v>45</v>
      </c>
      <c r="C1521" t="s">
        <v>50</v>
      </c>
      <c r="D1521" t="s">
        <v>51</v>
      </c>
      <c r="E1521">
        <v>408</v>
      </c>
      <c r="F1521">
        <v>3</v>
      </c>
      <c r="G1521">
        <v>23</v>
      </c>
      <c r="H1521">
        <v>3883.79</v>
      </c>
      <c r="I1521">
        <v>85429.12</v>
      </c>
      <c r="J1521">
        <v>167</v>
      </c>
      <c r="K1521">
        <v>3</v>
      </c>
      <c r="L1521">
        <v>11.9</v>
      </c>
      <c r="M1521">
        <v>62.8</v>
      </c>
      <c r="N1521" t="s">
        <v>46</v>
      </c>
      <c r="O1521" t="s">
        <v>47</v>
      </c>
      <c r="P1521" t="s">
        <v>58</v>
      </c>
      <c r="R1521">
        <f>SUMIF(A1521:A6520,"C01520",I1521:I6520)</f>
        <v>85429.12</v>
      </c>
      <c r="S1521" s="1">
        <v>23649.56</v>
      </c>
      <c r="T1521">
        <f t="shared" si="167"/>
        <v>511.551616766467</v>
      </c>
      <c r="U1521">
        <f t="shared" si="169"/>
        <v>10487.6</v>
      </c>
      <c r="V1521">
        <f>U1521</f>
        <v>10487.6</v>
      </c>
      <c r="W1521">
        <f t="shared" si="165"/>
        <v>29771.3033333333</v>
      </c>
      <c r="X1521">
        <f t="shared" si="170"/>
        <v>0.105052023925083</v>
      </c>
      <c r="AH1521" t="str">
        <f t="shared" si="168"/>
        <v>3rd Quality</v>
      </c>
      <c r="AJ1521">
        <f>((T1521-X1521)*2)/11.9</f>
        <v>85.9574058390827</v>
      </c>
      <c r="AK1521">
        <f t="shared" si="166"/>
        <v>208713.059640719</v>
      </c>
    </row>
    <row r="1522" spans="1:37">
      <c r="A1522" t="s">
        <v>1585</v>
      </c>
      <c r="B1522">
        <v>29</v>
      </c>
      <c r="C1522" t="s">
        <v>101</v>
      </c>
      <c r="D1522" t="s">
        <v>60</v>
      </c>
      <c r="E1522">
        <v>830</v>
      </c>
      <c r="F1522">
        <v>48</v>
      </c>
      <c r="G1522">
        <v>9</v>
      </c>
      <c r="H1522">
        <v>1594.76</v>
      </c>
      <c r="I1522">
        <v>13218.13</v>
      </c>
      <c r="J1522">
        <v>76</v>
      </c>
      <c r="K1522">
        <v>0</v>
      </c>
      <c r="L1522">
        <v>24.7</v>
      </c>
      <c r="M1522">
        <v>30.1</v>
      </c>
      <c r="N1522" t="s">
        <v>78</v>
      </c>
      <c r="O1522" t="s">
        <v>47</v>
      </c>
      <c r="P1522" t="s">
        <v>68</v>
      </c>
      <c r="R1522">
        <f>SUMIF(A1522:A6521,"C01521",I1522:I6521)</f>
        <v>13218.13</v>
      </c>
      <c r="S1522" s="1">
        <v>5953.9</v>
      </c>
      <c r="T1522">
        <f t="shared" si="167"/>
        <v>173.922763157895</v>
      </c>
      <c r="U1522">
        <f t="shared" si="169"/>
        <v>2287.6</v>
      </c>
      <c r="V1522">
        <f t="shared" si="164"/>
        <v>190.633333333333</v>
      </c>
      <c r="W1522">
        <f t="shared" si="165"/>
        <v>4937.96333333333</v>
      </c>
      <c r="X1522">
        <f t="shared" si="170"/>
        <v>0.520454488449673</v>
      </c>
      <c r="AH1522" t="str">
        <f t="shared" si="168"/>
        <v>3rd Quality</v>
      </c>
      <c r="AJ1522">
        <f>((T1522-X1522)*2)/24.7</f>
        <v>14.0406727667567</v>
      </c>
      <c r="AK1522">
        <f t="shared" si="166"/>
        <v>144355.893421053</v>
      </c>
    </row>
    <row r="1523" spans="1:37">
      <c r="A1523" t="s">
        <v>1586</v>
      </c>
      <c r="B1523">
        <v>36</v>
      </c>
      <c r="C1523" t="s">
        <v>44</v>
      </c>
      <c r="D1523" t="s">
        <v>45</v>
      </c>
      <c r="E1523">
        <v>1119</v>
      </c>
      <c r="F1523">
        <v>29</v>
      </c>
      <c r="G1523">
        <v>3</v>
      </c>
      <c r="H1523">
        <v>8483.25</v>
      </c>
      <c r="I1523">
        <v>23649.56</v>
      </c>
      <c r="J1523">
        <v>17</v>
      </c>
      <c r="K1523">
        <v>0</v>
      </c>
      <c r="L1523">
        <v>3.9</v>
      </c>
      <c r="M1523">
        <v>70.7</v>
      </c>
      <c r="N1523" t="s">
        <v>63</v>
      </c>
      <c r="O1523" t="s">
        <v>75</v>
      </c>
      <c r="P1523" t="s">
        <v>58</v>
      </c>
      <c r="R1523">
        <f>SUMIF(A1523:A6522,"C01522",I1523:I6522)</f>
        <v>23649.56</v>
      </c>
      <c r="S1523" s="1">
        <v>859.52</v>
      </c>
      <c r="T1523">
        <f t="shared" si="167"/>
        <v>1391.15058823529</v>
      </c>
      <c r="U1523">
        <f t="shared" si="169"/>
        <v>1201.9</v>
      </c>
      <c r="V1523">
        <f t="shared" si="164"/>
        <v>100.158333333333</v>
      </c>
      <c r="W1523">
        <f t="shared" si="165"/>
        <v>10711.27</v>
      </c>
      <c r="X1523">
        <f t="shared" si="170"/>
        <v>0.131906993192468</v>
      </c>
      <c r="AH1523" t="str">
        <f t="shared" si="168"/>
        <v>2nd Quality</v>
      </c>
      <c r="AJ1523">
        <f>((T1523-X1523)*2)/3.9</f>
        <v>713.342913457486</v>
      </c>
      <c r="AK1523">
        <f t="shared" si="166"/>
        <v>1556697.50823529</v>
      </c>
    </row>
    <row r="1524" spans="1:37">
      <c r="A1524" t="s">
        <v>1587</v>
      </c>
      <c r="B1524">
        <v>39</v>
      </c>
      <c r="C1524" t="s">
        <v>50</v>
      </c>
      <c r="D1524" t="s">
        <v>45</v>
      </c>
      <c r="E1524">
        <v>1289</v>
      </c>
      <c r="F1524">
        <v>33</v>
      </c>
      <c r="G1524">
        <v>2</v>
      </c>
      <c r="H1524">
        <v>2859.29</v>
      </c>
      <c r="I1524">
        <v>5953.9</v>
      </c>
      <c r="J1524">
        <v>17</v>
      </c>
      <c r="K1524">
        <v>0</v>
      </c>
      <c r="L1524">
        <v>6.1</v>
      </c>
      <c r="M1524">
        <v>19.9</v>
      </c>
      <c r="N1524" t="s">
        <v>81</v>
      </c>
      <c r="O1524" t="s">
        <v>47</v>
      </c>
      <c r="P1524" t="s">
        <v>58</v>
      </c>
      <c r="R1524">
        <f>SUMIF(A1524:A6523,"C01523",I1524:I6523)</f>
        <v>5953.9</v>
      </c>
      <c r="S1524" s="1">
        <v>2922.57</v>
      </c>
      <c r="T1524">
        <f t="shared" si="167"/>
        <v>350.229411764706</v>
      </c>
      <c r="U1524">
        <f t="shared" si="169"/>
        <v>338.3</v>
      </c>
      <c r="V1524">
        <f t="shared" si="164"/>
        <v>28.1916666666667</v>
      </c>
      <c r="W1524">
        <f t="shared" si="165"/>
        <v>2938.06333333333</v>
      </c>
      <c r="X1524">
        <f t="shared" si="170"/>
        <v>0.450811215371648</v>
      </c>
      <c r="AH1524" t="str">
        <f t="shared" si="168"/>
        <v>3rd Quality</v>
      </c>
      <c r="AJ1524">
        <f>((T1524-X1524)*2)/6.1</f>
        <v>114.681508376831</v>
      </c>
      <c r="AK1524">
        <f t="shared" si="166"/>
        <v>451445.711764706</v>
      </c>
    </row>
    <row r="1525" spans="1:37">
      <c r="A1525" t="s">
        <v>1588</v>
      </c>
      <c r="B1525">
        <v>39</v>
      </c>
      <c r="C1525" t="s">
        <v>50</v>
      </c>
      <c r="D1525" t="s">
        <v>60</v>
      </c>
      <c r="E1525">
        <v>1156</v>
      </c>
      <c r="F1525">
        <v>246</v>
      </c>
      <c r="G1525">
        <v>2</v>
      </c>
      <c r="H1525">
        <v>384.31</v>
      </c>
      <c r="I1525">
        <v>859.52</v>
      </c>
      <c r="J1525">
        <v>16</v>
      </c>
      <c r="K1525">
        <v>0</v>
      </c>
      <c r="L1525">
        <v>31.9</v>
      </c>
      <c r="M1525">
        <v>17.7</v>
      </c>
      <c r="N1525" t="s">
        <v>63</v>
      </c>
      <c r="O1525" t="s">
        <v>75</v>
      </c>
      <c r="P1525" t="s">
        <v>68</v>
      </c>
      <c r="R1525">
        <f>SUMIF(A1525:A6524,"C01524",I1525:I6524)</f>
        <v>859.52</v>
      </c>
      <c r="S1525" s="1">
        <v>69567.51</v>
      </c>
      <c r="T1525">
        <f t="shared" si="167"/>
        <v>53.72</v>
      </c>
      <c r="U1525">
        <f t="shared" si="169"/>
        <v>283.2</v>
      </c>
      <c r="V1525">
        <f t="shared" si="164"/>
        <v>23.6</v>
      </c>
      <c r="W1525">
        <f t="shared" si="165"/>
        <v>414.943333333333</v>
      </c>
      <c r="X1525">
        <f t="shared" si="170"/>
        <v>3.00798834274414</v>
      </c>
      <c r="AH1525" t="str">
        <f t="shared" si="168"/>
        <v>3rd Quality</v>
      </c>
      <c r="AJ1525">
        <f>((T1525-X1525)*2)/31.9</f>
        <v>3.17943646753955</v>
      </c>
      <c r="AK1525">
        <f t="shared" si="166"/>
        <v>62100.32</v>
      </c>
    </row>
    <row r="1526" spans="1:37">
      <c r="A1526" t="s">
        <v>1589</v>
      </c>
      <c r="B1526">
        <v>41</v>
      </c>
      <c r="C1526" t="s">
        <v>101</v>
      </c>
      <c r="D1526" t="s">
        <v>60</v>
      </c>
      <c r="E1526">
        <v>1089</v>
      </c>
      <c r="F1526">
        <v>101</v>
      </c>
      <c r="G1526">
        <v>5</v>
      </c>
      <c r="H1526">
        <v>560.9</v>
      </c>
      <c r="I1526">
        <v>2922.57</v>
      </c>
      <c r="J1526">
        <v>42</v>
      </c>
      <c r="K1526">
        <v>1</v>
      </c>
      <c r="L1526">
        <v>32.5</v>
      </c>
      <c r="M1526">
        <v>3.7</v>
      </c>
      <c r="N1526" t="s">
        <v>63</v>
      </c>
      <c r="O1526" t="s">
        <v>47</v>
      </c>
      <c r="P1526" t="s">
        <v>68</v>
      </c>
      <c r="R1526">
        <f>SUMIF(A1526:A6525,"C01525",I1526:I6525)</f>
        <v>2922.57</v>
      </c>
      <c r="S1526" s="1">
        <v>5669.01</v>
      </c>
      <c r="T1526">
        <f t="shared" si="167"/>
        <v>69.585</v>
      </c>
      <c r="U1526">
        <f t="shared" si="169"/>
        <v>155.4</v>
      </c>
      <c r="V1526">
        <f>U1526</f>
        <v>155.4</v>
      </c>
      <c r="W1526">
        <f t="shared" si="165"/>
        <v>1161.49</v>
      </c>
      <c r="X1526">
        <f t="shared" si="170"/>
        <v>1.94152255303976</v>
      </c>
      <c r="AH1526" t="str">
        <f t="shared" si="168"/>
        <v>3rd Quality</v>
      </c>
      <c r="AJ1526">
        <f>((T1526-X1526)*2)/32.5</f>
        <v>4.16267553519755</v>
      </c>
      <c r="AK1526">
        <f t="shared" si="166"/>
        <v>75778.065</v>
      </c>
    </row>
    <row r="1527" spans="1:37">
      <c r="A1527" t="s">
        <v>1590</v>
      </c>
      <c r="B1527">
        <v>45</v>
      </c>
      <c r="C1527" t="s">
        <v>44</v>
      </c>
      <c r="D1527" t="s">
        <v>60</v>
      </c>
      <c r="E1527">
        <v>775</v>
      </c>
      <c r="F1527">
        <v>6</v>
      </c>
      <c r="G1527">
        <v>18</v>
      </c>
      <c r="H1527">
        <v>4117.75</v>
      </c>
      <c r="I1527">
        <v>69567.51</v>
      </c>
      <c r="J1527">
        <v>154</v>
      </c>
      <c r="K1527">
        <v>4</v>
      </c>
      <c r="L1527">
        <v>14.6</v>
      </c>
      <c r="M1527">
        <v>46.2</v>
      </c>
      <c r="N1527" t="s">
        <v>57</v>
      </c>
      <c r="O1527" t="s">
        <v>47</v>
      </c>
      <c r="P1527" t="s">
        <v>58</v>
      </c>
      <c r="R1527">
        <f>SUMIF(A1527:A6526,"C01526",I1527:I6526)</f>
        <v>69567.51</v>
      </c>
      <c r="S1527" s="1">
        <v>3896.24</v>
      </c>
      <c r="T1527">
        <f t="shared" si="167"/>
        <v>451.737077922078</v>
      </c>
      <c r="U1527">
        <f t="shared" si="169"/>
        <v>7114.8</v>
      </c>
      <c r="V1527">
        <f>U1527</f>
        <v>7114.8</v>
      </c>
      <c r="W1527">
        <f t="shared" si="165"/>
        <v>24562.0866666667</v>
      </c>
      <c r="X1527">
        <f t="shared" si="170"/>
        <v>0.188209580474774</v>
      </c>
      <c r="AH1527" t="str">
        <f t="shared" si="168"/>
        <v>3rd Quality</v>
      </c>
      <c r="AJ1527">
        <f>((T1527-X1527)*2)/14.6</f>
        <v>61.8560093618635</v>
      </c>
      <c r="AK1527">
        <f t="shared" si="166"/>
        <v>350096.23538961</v>
      </c>
    </row>
    <row r="1528" spans="1:37">
      <c r="A1528" t="s">
        <v>1591</v>
      </c>
      <c r="B1528">
        <v>40</v>
      </c>
      <c r="C1528" t="s">
        <v>44</v>
      </c>
      <c r="D1528" t="s">
        <v>60</v>
      </c>
      <c r="E1528">
        <v>549</v>
      </c>
      <c r="F1528">
        <v>65</v>
      </c>
      <c r="G1528">
        <v>6</v>
      </c>
      <c r="H1528">
        <v>966.25</v>
      </c>
      <c r="I1528">
        <v>5669.01</v>
      </c>
      <c r="J1528">
        <v>30</v>
      </c>
      <c r="K1528">
        <v>0</v>
      </c>
      <c r="L1528">
        <v>19.3</v>
      </c>
      <c r="M1528">
        <v>25.4</v>
      </c>
      <c r="N1528" t="s">
        <v>46</v>
      </c>
      <c r="O1528" t="s">
        <v>47</v>
      </c>
      <c r="P1528" t="s">
        <v>58</v>
      </c>
      <c r="R1528">
        <f>SUMIF(A1528:A6527,"C01527",I1528:I6527)</f>
        <v>5669.01</v>
      </c>
      <c r="S1528" s="1">
        <v>49567.21</v>
      </c>
      <c r="T1528">
        <f t="shared" si="167"/>
        <v>188.967</v>
      </c>
      <c r="U1528">
        <f t="shared" si="169"/>
        <v>762</v>
      </c>
      <c r="V1528">
        <f t="shared" si="164"/>
        <v>63.5</v>
      </c>
      <c r="W1528">
        <f t="shared" si="165"/>
        <v>2212.08666666667</v>
      </c>
      <c r="X1528">
        <f t="shared" si="170"/>
        <v>0.568175937904269</v>
      </c>
      <c r="AH1528" t="str">
        <f t="shared" si="168"/>
        <v>3rd Quality</v>
      </c>
      <c r="AJ1528">
        <f>((T1528-X1528)*2)/19.3</f>
        <v>19.523194203326</v>
      </c>
      <c r="AK1528">
        <f t="shared" si="166"/>
        <v>103742.883</v>
      </c>
    </row>
    <row r="1529" spans="1:37">
      <c r="A1529" t="s">
        <v>1592</v>
      </c>
      <c r="B1529">
        <v>28</v>
      </c>
      <c r="C1529" t="s">
        <v>50</v>
      </c>
      <c r="D1529" t="s">
        <v>51</v>
      </c>
      <c r="E1529">
        <v>1362</v>
      </c>
      <c r="F1529">
        <v>79</v>
      </c>
      <c r="G1529">
        <v>4</v>
      </c>
      <c r="H1529">
        <v>945.04</v>
      </c>
      <c r="I1529">
        <v>3896.24</v>
      </c>
      <c r="J1529">
        <v>34</v>
      </c>
      <c r="K1529">
        <v>0</v>
      </c>
      <c r="L1529">
        <v>19.1</v>
      </c>
      <c r="M1529">
        <v>40.2</v>
      </c>
      <c r="N1529" t="s">
        <v>57</v>
      </c>
      <c r="O1529" t="s">
        <v>53</v>
      </c>
      <c r="P1529" t="s">
        <v>68</v>
      </c>
      <c r="R1529">
        <f>SUMIF(A1529:A6528,"C01528",I1529:I6528)</f>
        <v>3896.24</v>
      </c>
      <c r="S1529" s="1">
        <v>11583.67</v>
      </c>
      <c r="T1529">
        <f t="shared" si="167"/>
        <v>114.595294117647</v>
      </c>
      <c r="U1529">
        <f t="shared" si="169"/>
        <v>1366.8</v>
      </c>
      <c r="V1529">
        <f t="shared" si="164"/>
        <v>113.9</v>
      </c>
      <c r="W1529">
        <f t="shared" si="165"/>
        <v>1614.09333333333</v>
      </c>
      <c r="X1529">
        <f t="shared" si="170"/>
        <v>1.44120883772115</v>
      </c>
      <c r="AH1529" t="str">
        <f t="shared" si="168"/>
        <v>3rd Quality</v>
      </c>
      <c r="AJ1529">
        <f>((T1529-X1529)*2)/19.1</f>
        <v>11.8485953172697</v>
      </c>
      <c r="AK1529">
        <f t="shared" si="166"/>
        <v>156078.790588235</v>
      </c>
    </row>
    <row r="1530" spans="1:37">
      <c r="A1530" t="s">
        <v>1593</v>
      </c>
      <c r="B1530">
        <v>30</v>
      </c>
      <c r="C1530" t="s">
        <v>44</v>
      </c>
      <c r="D1530" t="s">
        <v>45</v>
      </c>
      <c r="E1530">
        <v>418</v>
      </c>
      <c r="F1530">
        <v>3</v>
      </c>
      <c r="G1530">
        <v>17</v>
      </c>
      <c r="H1530">
        <v>2679.46</v>
      </c>
      <c r="I1530">
        <v>49567.21</v>
      </c>
      <c r="J1530">
        <v>142</v>
      </c>
      <c r="K1530">
        <v>2</v>
      </c>
      <c r="L1530">
        <v>13</v>
      </c>
      <c r="M1530">
        <v>47.8</v>
      </c>
      <c r="N1530" t="s">
        <v>52</v>
      </c>
      <c r="O1530" t="s">
        <v>47</v>
      </c>
      <c r="P1530" t="s">
        <v>68</v>
      </c>
      <c r="R1530">
        <f>SUMIF(A1530:A6529,"C01529",I1530:I6529)</f>
        <v>49567.21</v>
      </c>
      <c r="S1530" s="1">
        <v>12587.27</v>
      </c>
      <c r="T1530">
        <f t="shared" si="167"/>
        <v>349.06485915493</v>
      </c>
      <c r="U1530">
        <f t="shared" si="169"/>
        <v>6787.6</v>
      </c>
      <c r="V1530">
        <f t="shared" ref="V1530:V1535" si="171">U1530</f>
        <v>6787.6</v>
      </c>
      <c r="W1530">
        <f t="shared" si="165"/>
        <v>17415.89</v>
      </c>
      <c r="X1530">
        <f t="shared" si="170"/>
        <v>0.156001582408396</v>
      </c>
      <c r="AH1530" t="str">
        <f t="shared" si="168"/>
        <v>3rd Quality</v>
      </c>
      <c r="AJ1530">
        <f>((T1530-X1530)*2)/13</f>
        <v>53.6782857803879</v>
      </c>
      <c r="AK1530">
        <f t="shared" si="166"/>
        <v>145909.111126761</v>
      </c>
    </row>
    <row r="1531" spans="1:37">
      <c r="A1531" t="s">
        <v>1594</v>
      </c>
      <c r="B1531">
        <v>18</v>
      </c>
      <c r="C1531" t="s">
        <v>50</v>
      </c>
      <c r="D1531" t="s">
        <v>51</v>
      </c>
      <c r="E1531">
        <v>1243</v>
      </c>
      <c r="F1531">
        <v>10</v>
      </c>
      <c r="G1531">
        <v>11</v>
      </c>
      <c r="H1531">
        <v>1001.56</v>
      </c>
      <c r="I1531">
        <v>11583.67</v>
      </c>
      <c r="J1531">
        <v>29</v>
      </c>
      <c r="K1531">
        <v>1</v>
      </c>
      <c r="L1531">
        <v>13.2</v>
      </c>
      <c r="M1531">
        <v>45.8</v>
      </c>
      <c r="N1531" t="s">
        <v>57</v>
      </c>
      <c r="O1531" t="s">
        <v>47</v>
      </c>
      <c r="P1531" t="s">
        <v>66</v>
      </c>
      <c r="R1531">
        <f>SUMIF(A1531:A6530,"C01530",I1531:I6530)</f>
        <v>11583.67</v>
      </c>
      <c r="S1531" s="1">
        <v>87873.6</v>
      </c>
      <c r="T1531">
        <f t="shared" si="167"/>
        <v>399.436896551724</v>
      </c>
      <c r="U1531">
        <f t="shared" si="169"/>
        <v>1328.2</v>
      </c>
      <c r="V1531">
        <f t="shared" si="171"/>
        <v>1328.2</v>
      </c>
      <c r="W1531">
        <f t="shared" si="165"/>
        <v>4195.41</v>
      </c>
      <c r="X1531">
        <f t="shared" si="170"/>
        <v>1.24106394025321</v>
      </c>
      <c r="AH1531" t="str">
        <f t="shared" si="168"/>
        <v>3rd Quality</v>
      </c>
      <c r="AJ1531">
        <f>((T1531-X1531)*2)/13.2</f>
        <v>60.3327019108289</v>
      </c>
      <c r="AK1531">
        <f t="shared" si="166"/>
        <v>496500.062413793</v>
      </c>
    </row>
    <row r="1532" spans="1:37">
      <c r="A1532" t="s">
        <v>1595</v>
      </c>
      <c r="B1532">
        <v>36</v>
      </c>
      <c r="C1532" t="s">
        <v>44</v>
      </c>
      <c r="D1532" t="s">
        <v>51</v>
      </c>
      <c r="E1532">
        <v>408</v>
      </c>
      <c r="F1532">
        <v>26</v>
      </c>
      <c r="G1532">
        <v>8</v>
      </c>
      <c r="H1532">
        <v>1719.78</v>
      </c>
      <c r="I1532">
        <v>12587.27</v>
      </c>
      <c r="J1532">
        <v>63</v>
      </c>
      <c r="K1532">
        <v>1</v>
      </c>
      <c r="L1532">
        <v>27.7</v>
      </c>
      <c r="M1532">
        <v>9.8</v>
      </c>
      <c r="N1532" t="s">
        <v>63</v>
      </c>
      <c r="O1532" t="s">
        <v>47</v>
      </c>
      <c r="P1532" t="s">
        <v>48</v>
      </c>
      <c r="R1532">
        <f>SUMIF(A1532:A6531,"C01531",I1532:I6531)</f>
        <v>12587.27</v>
      </c>
      <c r="S1532" s="1">
        <v>63771.59</v>
      </c>
      <c r="T1532">
        <f t="shared" si="167"/>
        <v>199.797936507937</v>
      </c>
      <c r="U1532">
        <f t="shared" si="169"/>
        <v>617.4</v>
      </c>
      <c r="V1532">
        <f t="shared" si="171"/>
        <v>617.4</v>
      </c>
      <c r="W1532">
        <f t="shared" si="165"/>
        <v>4769.35</v>
      </c>
      <c r="X1532">
        <f t="shared" si="170"/>
        <v>0.237239646931584</v>
      </c>
      <c r="AH1532" t="str">
        <f t="shared" si="168"/>
        <v>3rd Quality</v>
      </c>
      <c r="AJ1532">
        <f>((T1532-X1532)*2)/27.7</f>
        <v>14.4087145748018</v>
      </c>
      <c r="AK1532">
        <f t="shared" si="166"/>
        <v>81517.5580952381</v>
      </c>
    </row>
    <row r="1533" spans="1:37">
      <c r="A1533" t="s">
        <v>1596</v>
      </c>
      <c r="B1533">
        <v>35</v>
      </c>
      <c r="C1533" t="s">
        <v>50</v>
      </c>
      <c r="D1533" t="s">
        <v>45</v>
      </c>
      <c r="E1533">
        <v>770</v>
      </c>
      <c r="F1533">
        <v>14</v>
      </c>
      <c r="G1533">
        <v>19</v>
      </c>
      <c r="H1533">
        <v>4512.38</v>
      </c>
      <c r="I1533">
        <v>87873.6</v>
      </c>
      <c r="J1533">
        <v>48</v>
      </c>
      <c r="K1533">
        <v>1</v>
      </c>
      <c r="L1533">
        <v>7.9</v>
      </c>
      <c r="M1533">
        <v>20.1</v>
      </c>
      <c r="N1533" t="s">
        <v>78</v>
      </c>
      <c r="O1533" t="s">
        <v>47</v>
      </c>
      <c r="P1533" t="s">
        <v>66</v>
      </c>
      <c r="R1533">
        <f>SUMIF(A1533:A6532,"C01532",I1533:I6532)</f>
        <v>87873.6</v>
      </c>
      <c r="S1533" s="1">
        <v>2461.47</v>
      </c>
      <c r="T1533">
        <f t="shared" si="167"/>
        <v>1830.7</v>
      </c>
      <c r="U1533">
        <f t="shared" si="169"/>
        <v>964.8</v>
      </c>
      <c r="V1533">
        <f t="shared" si="171"/>
        <v>964.8</v>
      </c>
      <c r="W1533">
        <f t="shared" si="165"/>
        <v>30795.66</v>
      </c>
      <c r="X1533">
        <f t="shared" si="170"/>
        <v>0.17064165695265</v>
      </c>
      <c r="AH1533" t="str">
        <f t="shared" si="168"/>
        <v>2nd Quality</v>
      </c>
      <c r="AJ1533">
        <f>((T1533-X1533)*2)/7.9</f>
        <v>463.425154010898</v>
      </c>
      <c r="AK1533">
        <f t="shared" si="166"/>
        <v>1409639</v>
      </c>
    </row>
    <row r="1534" spans="1:37">
      <c r="A1534" t="s">
        <v>1597</v>
      </c>
      <c r="B1534">
        <v>28</v>
      </c>
      <c r="C1534" t="s">
        <v>44</v>
      </c>
      <c r="D1534" t="s">
        <v>45</v>
      </c>
      <c r="E1534">
        <v>1307</v>
      </c>
      <c r="F1534">
        <v>87</v>
      </c>
      <c r="G1534">
        <v>7</v>
      </c>
      <c r="H1534">
        <v>9824.23</v>
      </c>
      <c r="I1534">
        <v>63771.59</v>
      </c>
      <c r="J1534">
        <v>25</v>
      </c>
      <c r="K1534">
        <v>2</v>
      </c>
      <c r="L1534">
        <v>8.1</v>
      </c>
      <c r="M1534">
        <v>48.3</v>
      </c>
      <c r="N1534" t="s">
        <v>57</v>
      </c>
      <c r="O1534" t="s">
        <v>53</v>
      </c>
      <c r="P1534" t="s">
        <v>68</v>
      </c>
      <c r="R1534">
        <f>SUMIF(A1534:A6533,"C01533",I1534:I6533)</f>
        <v>63771.59</v>
      </c>
      <c r="S1534" s="1">
        <v>75609.94</v>
      </c>
      <c r="T1534">
        <f t="shared" si="167"/>
        <v>2550.8636</v>
      </c>
      <c r="U1534">
        <f t="shared" si="169"/>
        <v>1207.5</v>
      </c>
      <c r="V1534">
        <f t="shared" si="171"/>
        <v>1207.5</v>
      </c>
      <c r="W1534">
        <f t="shared" si="165"/>
        <v>24532.2733333333</v>
      </c>
      <c r="X1534">
        <f t="shared" si="170"/>
        <v>0.133038416242291</v>
      </c>
      <c r="AH1534" t="str">
        <f t="shared" si="168"/>
        <v>1st Quality</v>
      </c>
      <c r="AJ1534">
        <f>((T1534-X1534)*2)/8.1</f>
        <v>629.810015205866</v>
      </c>
      <c r="AK1534">
        <f t="shared" si="166"/>
        <v>3333978.7252</v>
      </c>
    </row>
    <row r="1535" spans="1:37">
      <c r="A1535" t="s">
        <v>1598</v>
      </c>
      <c r="B1535">
        <v>37</v>
      </c>
      <c r="C1535" t="s">
        <v>44</v>
      </c>
      <c r="D1535" t="s">
        <v>60</v>
      </c>
      <c r="E1535">
        <v>613</v>
      </c>
      <c r="F1535">
        <v>3</v>
      </c>
      <c r="G1535">
        <v>2</v>
      </c>
      <c r="H1535">
        <v>1269.01</v>
      </c>
      <c r="I1535">
        <v>2461.47</v>
      </c>
      <c r="J1535">
        <v>22</v>
      </c>
      <c r="K1535">
        <v>1</v>
      </c>
      <c r="L1535">
        <v>45.2</v>
      </c>
      <c r="M1535">
        <v>34.6</v>
      </c>
      <c r="N1535" t="s">
        <v>78</v>
      </c>
      <c r="O1535" t="s">
        <v>47</v>
      </c>
      <c r="P1535" t="s">
        <v>58</v>
      </c>
      <c r="R1535">
        <f>SUMIF(A1535:A6534,"C01534",I1535:I6534)</f>
        <v>2461.47</v>
      </c>
      <c r="S1535" s="1">
        <v>13682.26</v>
      </c>
      <c r="T1535">
        <f t="shared" si="167"/>
        <v>111.885</v>
      </c>
      <c r="U1535">
        <f t="shared" si="169"/>
        <v>761.2</v>
      </c>
      <c r="V1535">
        <f t="shared" si="171"/>
        <v>761.2</v>
      </c>
      <c r="W1535">
        <f t="shared" si="165"/>
        <v>1243.82666666667</v>
      </c>
      <c r="X1535">
        <f t="shared" si="170"/>
        <v>0.483053719040827</v>
      </c>
      <c r="AH1535" t="str">
        <f t="shared" si="168"/>
        <v>3rd Quality</v>
      </c>
      <c r="AJ1535">
        <f>((T1535-X1535)*2)/45.2</f>
        <v>4.92928965844952</v>
      </c>
      <c r="AK1535">
        <f t="shared" si="166"/>
        <v>68585.505</v>
      </c>
    </row>
    <row r="1536" spans="1:37">
      <c r="A1536" t="s">
        <v>1599</v>
      </c>
      <c r="B1536">
        <v>29</v>
      </c>
      <c r="C1536" t="s">
        <v>50</v>
      </c>
      <c r="D1536" t="s">
        <v>45</v>
      </c>
      <c r="E1536">
        <v>658</v>
      </c>
      <c r="F1536">
        <v>36</v>
      </c>
      <c r="G1536">
        <v>36</v>
      </c>
      <c r="H1536">
        <v>1889.49</v>
      </c>
      <c r="I1536">
        <v>75609.94</v>
      </c>
      <c r="J1536">
        <v>297</v>
      </c>
      <c r="K1536">
        <v>0</v>
      </c>
      <c r="L1536">
        <v>7.1</v>
      </c>
      <c r="M1536">
        <v>69.2</v>
      </c>
      <c r="N1536" t="s">
        <v>61</v>
      </c>
      <c r="O1536" t="s">
        <v>53</v>
      </c>
      <c r="P1536" t="s">
        <v>54</v>
      </c>
      <c r="R1536">
        <f>SUMIF(A1536:A6535,"C01535",I1536:I6535)</f>
        <v>75609.94</v>
      </c>
      <c r="S1536" s="1">
        <v>2671.67</v>
      </c>
      <c r="T1536">
        <f t="shared" si="167"/>
        <v>254.578922558923</v>
      </c>
      <c r="U1536">
        <f t="shared" si="169"/>
        <v>20552.4</v>
      </c>
      <c r="V1536">
        <f t="shared" ref="V1535:V1563" si="172">U1536/12</f>
        <v>1712.7</v>
      </c>
      <c r="W1536">
        <f t="shared" si="165"/>
        <v>25833.4766666667</v>
      </c>
      <c r="X1536">
        <f t="shared" si="170"/>
        <v>0.348242118243547</v>
      </c>
      <c r="AH1536" t="str">
        <f t="shared" si="168"/>
        <v>2nd Quality</v>
      </c>
      <c r="AJ1536">
        <f>((T1536-X1536)*2)/7.1</f>
        <v>71.6142761804731</v>
      </c>
      <c r="AK1536">
        <f t="shared" si="166"/>
        <v>167512.931043771</v>
      </c>
    </row>
    <row r="1537" spans="1:37">
      <c r="A1537" t="s">
        <v>1600</v>
      </c>
      <c r="B1537">
        <v>24</v>
      </c>
      <c r="C1537" t="s">
        <v>50</v>
      </c>
      <c r="D1537" t="s">
        <v>51</v>
      </c>
      <c r="E1537">
        <v>601</v>
      </c>
      <c r="F1537">
        <v>41</v>
      </c>
      <c r="G1537">
        <v>9</v>
      </c>
      <c r="H1537">
        <v>1389.5</v>
      </c>
      <c r="I1537">
        <v>13682.26</v>
      </c>
      <c r="J1537">
        <v>66</v>
      </c>
      <c r="K1537">
        <v>0</v>
      </c>
      <c r="L1537">
        <v>23</v>
      </c>
      <c r="M1537">
        <v>45.4</v>
      </c>
      <c r="N1537" t="s">
        <v>78</v>
      </c>
      <c r="O1537" t="s">
        <v>47</v>
      </c>
      <c r="P1537" t="s">
        <v>68</v>
      </c>
      <c r="R1537">
        <f>SUMIF(A1537:A6536,"C01536",I1537:I6536)</f>
        <v>13682.26</v>
      </c>
      <c r="S1537" s="1">
        <v>1299.64</v>
      </c>
      <c r="T1537">
        <f t="shared" si="167"/>
        <v>207.30696969697</v>
      </c>
      <c r="U1537">
        <f t="shared" si="169"/>
        <v>2996.4</v>
      </c>
      <c r="V1537">
        <f t="shared" si="172"/>
        <v>249.7</v>
      </c>
      <c r="W1537">
        <f t="shared" si="165"/>
        <v>5024.25333333333</v>
      </c>
      <c r="X1537">
        <f t="shared" si="170"/>
        <v>0.432529686937747</v>
      </c>
      <c r="AH1537" t="str">
        <f t="shared" si="168"/>
        <v>3rd Quality</v>
      </c>
      <c r="AJ1537">
        <f>((T1537-X1537)*2)/23</f>
        <v>17.9890817400028</v>
      </c>
      <c r="AK1537">
        <f t="shared" si="166"/>
        <v>124591.488787879</v>
      </c>
    </row>
    <row r="1538" spans="1:37">
      <c r="A1538" t="s">
        <v>1601</v>
      </c>
      <c r="B1538">
        <v>47</v>
      </c>
      <c r="C1538" t="s">
        <v>50</v>
      </c>
      <c r="D1538" t="s">
        <v>60</v>
      </c>
      <c r="E1538">
        <v>1113</v>
      </c>
      <c r="F1538">
        <v>233</v>
      </c>
      <c r="G1538">
        <v>2</v>
      </c>
      <c r="H1538">
        <v>1418.65</v>
      </c>
      <c r="I1538">
        <v>2671.67</v>
      </c>
      <c r="J1538">
        <v>15</v>
      </c>
      <c r="K1538">
        <v>0</v>
      </c>
      <c r="L1538">
        <v>29.2</v>
      </c>
      <c r="M1538">
        <v>16.6</v>
      </c>
      <c r="N1538" t="s">
        <v>52</v>
      </c>
      <c r="O1538" t="s">
        <v>47</v>
      </c>
      <c r="P1538" t="s">
        <v>58</v>
      </c>
      <c r="R1538">
        <f>SUMIF(A1538:A6537,"C01537",I1538:I6537)</f>
        <v>2671.67</v>
      </c>
      <c r="S1538" s="1">
        <v>1407.05</v>
      </c>
      <c r="T1538">
        <f t="shared" si="167"/>
        <v>178.111333333333</v>
      </c>
      <c r="U1538">
        <f t="shared" si="169"/>
        <v>249</v>
      </c>
      <c r="V1538">
        <f t="shared" si="172"/>
        <v>20.75</v>
      </c>
      <c r="W1538">
        <f t="shared" si="165"/>
        <v>1363.77333333333</v>
      </c>
      <c r="X1538">
        <f t="shared" si="170"/>
        <v>0.78454869065661</v>
      </c>
      <c r="AH1538" t="str">
        <f t="shared" si="168"/>
        <v>3rd Quality</v>
      </c>
      <c r="AJ1538">
        <f>((T1538-X1538)*2)/29.2</f>
        <v>12.1456701810052</v>
      </c>
      <c r="AK1538">
        <f t="shared" si="166"/>
        <v>198237.914</v>
      </c>
    </row>
    <row r="1539" spans="1:37">
      <c r="A1539" t="s">
        <v>1602</v>
      </c>
      <c r="B1539">
        <v>28</v>
      </c>
      <c r="C1539" t="s">
        <v>50</v>
      </c>
      <c r="D1539" t="s">
        <v>45</v>
      </c>
      <c r="E1539">
        <v>610</v>
      </c>
      <c r="F1539">
        <v>222</v>
      </c>
      <c r="G1539">
        <v>1</v>
      </c>
      <c r="H1539">
        <v>1232.06</v>
      </c>
      <c r="I1539">
        <v>1299.64</v>
      </c>
      <c r="J1539">
        <v>18</v>
      </c>
      <c r="K1539">
        <v>0</v>
      </c>
      <c r="L1539">
        <v>15.1</v>
      </c>
      <c r="M1539">
        <v>16.6</v>
      </c>
      <c r="N1539" t="s">
        <v>63</v>
      </c>
      <c r="O1539" t="s">
        <v>47</v>
      </c>
      <c r="P1539" t="s">
        <v>68</v>
      </c>
      <c r="R1539">
        <f>SUMIF(A1539:A6538,"C01538",I1539:I6538)</f>
        <v>1299.64</v>
      </c>
      <c r="S1539" s="1">
        <v>9514.14</v>
      </c>
      <c r="T1539">
        <f t="shared" si="167"/>
        <v>72.2022222222222</v>
      </c>
      <c r="U1539">
        <f t="shared" si="169"/>
        <v>298.8</v>
      </c>
      <c r="V1539">
        <f t="shared" si="172"/>
        <v>24.9</v>
      </c>
      <c r="W1539">
        <f t="shared" ref="W1539:W1602" si="173">(H1539+I1539+1)/3</f>
        <v>844.233333333333</v>
      </c>
      <c r="X1539">
        <f t="shared" si="170"/>
        <v>0.495105757836469</v>
      </c>
      <c r="AH1539" t="str">
        <f t="shared" si="168"/>
        <v>3rd Quality</v>
      </c>
      <c r="AJ1539">
        <f>((T1539-X1539)*2)/15.1</f>
        <v>9.49763131978619</v>
      </c>
      <c r="AK1539">
        <f t="shared" ref="AK1539:AK1602" si="174">I1539/J1539*E1539</f>
        <v>44043.3555555556</v>
      </c>
    </row>
    <row r="1540" spans="1:37">
      <c r="A1540" t="s">
        <v>1603</v>
      </c>
      <c r="B1540">
        <v>33</v>
      </c>
      <c r="C1540" t="s">
        <v>50</v>
      </c>
      <c r="D1540" t="s">
        <v>60</v>
      </c>
      <c r="E1540">
        <v>1131</v>
      </c>
      <c r="F1540">
        <v>92</v>
      </c>
      <c r="G1540">
        <v>1</v>
      </c>
      <c r="H1540">
        <v>1467.08</v>
      </c>
      <c r="I1540">
        <v>1407.05</v>
      </c>
      <c r="J1540">
        <v>13</v>
      </c>
      <c r="K1540">
        <v>0</v>
      </c>
      <c r="L1540">
        <v>33.3</v>
      </c>
      <c r="M1540">
        <v>33.3</v>
      </c>
      <c r="N1540" t="s">
        <v>63</v>
      </c>
      <c r="O1540" t="s">
        <v>47</v>
      </c>
      <c r="P1540" t="s">
        <v>58</v>
      </c>
      <c r="R1540">
        <f>SUMIF(A1540:A6539,"C01539",I1540:I6539)</f>
        <v>1407.05</v>
      </c>
      <c r="S1540" s="1">
        <v>2611.29</v>
      </c>
      <c r="T1540">
        <f t="shared" si="167"/>
        <v>108.234615384615</v>
      </c>
      <c r="U1540">
        <f t="shared" si="169"/>
        <v>432.9</v>
      </c>
      <c r="V1540">
        <f t="shared" si="172"/>
        <v>36.075</v>
      </c>
      <c r="W1540">
        <f t="shared" si="173"/>
        <v>958.376666666667</v>
      </c>
      <c r="X1540">
        <f t="shared" si="170"/>
        <v>0.770919104615972</v>
      </c>
      <c r="AH1540" t="str">
        <f t="shared" si="168"/>
        <v>3rd Quality</v>
      </c>
      <c r="AJ1540">
        <f>((T1540-X1540)*2)/33.3</f>
        <v>6.4542760528528</v>
      </c>
      <c r="AK1540">
        <f t="shared" si="174"/>
        <v>122413.35</v>
      </c>
    </row>
    <row r="1541" spans="1:37">
      <c r="A1541" t="s">
        <v>1604</v>
      </c>
      <c r="B1541">
        <v>41</v>
      </c>
      <c r="C1541" t="s">
        <v>44</v>
      </c>
      <c r="D1541" t="s">
        <v>60</v>
      </c>
      <c r="E1541">
        <v>1012</v>
      </c>
      <c r="F1541">
        <v>25</v>
      </c>
      <c r="G1541">
        <v>10</v>
      </c>
      <c r="H1541">
        <v>1078.84</v>
      </c>
      <c r="I1541">
        <v>9514.14</v>
      </c>
      <c r="J1541">
        <v>48</v>
      </c>
      <c r="K1541">
        <v>0</v>
      </c>
      <c r="L1541">
        <v>5.6</v>
      </c>
      <c r="M1541">
        <v>21.1</v>
      </c>
      <c r="N1541" t="s">
        <v>61</v>
      </c>
      <c r="O1541" t="s">
        <v>47</v>
      </c>
      <c r="P1541" t="s">
        <v>58</v>
      </c>
      <c r="R1541">
        <f>SUMIF(A1541:A6540,"C01540",I1541:I6540)</f>
        <v>9514.14</v>
      </c>
      <c r="S1541" s="1">
        <v>9893.88</v>
      </c>
      <c r="T1541">
        <f t="shared" si="167"/>
        <v>198.21125</v>
      </c>
      <c r="U1541">
        <f t="shared" si="169"/>
        <v>1012.8</v>
      </c>
      <c r="V1541">
        <f t="shared" si="172"/>
        <v>84.4</v>
      </c>
      <c r="W1541">
        <f t="shared" si="173"/>
        <v>3531.32666666667</v>
      </c>
      <c r="X1541">
        <f t="shared" si="170"/>
        <v>0.938044566386119</v>
      </c>
      <c r="AH1541" t="str">
        <f t="shared" si="168"/>
        <v>3rd Quality</v>
      </c>
      <c r="AJ1541">
        <f>((T1541-X1541)*2)/5.6</f>
        <v>70.4547162262907</v>
      </c>
      <c r="AK1541">
        <f t="shared" si="174"/>
        <v>200589.785</v>
      </c>
    </row>
    <row r="1542" spans="1:37">
      <c r="A1542" t="s">
        <v>1605</v>
      </c>
      <c r="B1542">
        <v>22</v>
      </c>
      <c r="C1542" t="s">
        <v>44</v>
      </c>
      <c r="D1542" t="s">
        <v>60</v>
      </c>
      <c r="E1542">
        <v>1344</v>
      </c>
      <c r="F1542">
        <v>139</v>
      </c>
      <c r="G1542">
        <v>2</v>
      </c>
      <c r="H1542">
        <v>1204.44</v>
      </c>
      <c r="I1542">
        <v>2611.29</v>
      </c>
      <c r="J1542">
        <v>18</v>
      </c>
      <c r="K1542">
        <v>1</v>
      </c>
      <c r="L1542">
        <v>34.3</v>
      </c>
      <c r="M1542">
        <v>27.2</v>
      </c>
      <c r="N1542" t="s">
        <v>63</v>
      </c>
      <c r="O1542" t="s">
        <v>47</v>
      </c>
      <c r="P1542" t="s">
        <v>54</v>
      </c>
      <c r="R1542">
        <f>SUMIF(A1542:A6541,"C01541",I1542:I6541)</f>
        <v>2611.29</v>
      </c>
      <c r="S1542" s="1">
        <v>17698.71</v>
      </c>
      <c r="T1542">
        <f t="shared" si="167"/>
        <v>145.071666666667</v>
      </c>
      <c r="U1542">
        <f t="shared" si="169"/>
        <v>489.6</v>
      </c>
      <c r="V1542">
        <f>U1542</f>
        <v>489.6</v>
      </c>
      <c r="W1542">
        <f t="shared" si="173"/>
        <v>1272.24333333333</v>
      </c>
      <c r="X1542">
        <f t="shared" si="170"/>
        <v>1.11587127627777</v>
      </c>
      <c r="AH1542" t="str">
        <f t="shared" si="168"/>
        <v>3rd Quality</v>
      </c>
      <c r="AJ1542">
        <f>((T1542-X1542)*2)/34.3</f>
        <v>8.39392392946876</v>
      </c>
      <c r="AK1542">
        <f t="shared" si="174"/>
        <v>194976.32</v>
      </c>
    </row>
    <row r="1543" spans="1:37">
      <c r="A1543" t="s">
        <v>1606</v>
      </c>
      <c r="B1543">
        <v>36</v>
      </c>
      <c r="C1543" t="s">
        <v>50</v>
      </c>
      <c r="D1543" t="s">
        <v>60</v>
      </c>
      <c r="E1543">
        <v>1071</v>
      </c>
      <c r="F1543">
        <v>42</v>
      </c>
      <c r="G1543">
        <v>8</v>
      </c>
      <c r="H1543">
        <v>1147.89</v>
      </c>
      <c r="I1543">
        <v>9893.88</v>
      </c>
      <c r="J1543">
        <v>61</v>
      </c>
      <c r="K1543">
        <v>0</v>
      </c>
      <c r="L1543">
        <v>17.2</v>
      </c>
      <c r="M1543">
        <v>12.5</v>
      </c>
      <c r="N1543" t="s">
        <v>46</v>
      </c>
      <c r="O1543" t="s">
        <v>47</v>
      </c>
      <c r="P1543" t="s">
        <v>58</v>
      </c>
      <c r="R1543">
        <f>SUMIF(A1543:A6542,"C01542",I1543:I6542)</f>
        <v>9893.88</v>
      </c>
      <c r="S1543" s="1">
        <v>185128.57</v>
      </c>
      <c r="T1543">
        <f t="shared" si="167"/>
        <v>162.194754098361</v>
      </c>
      <c r="U1543">
        <f t="shared" si="169"/>
        <v>762.5</v>
      </c>
      <c r="V1543">
        <f>U1543/12</f>
        <v>63.5416666666667</v>
      </c>
      <c r="W1543">
        <f t="shared" si="173"/>
        <v>3680.92333333333</v>
      </c>
      <c r="X1543">
        <f t="shared" si="170"/>
        <v>0.933016229778114</v>
      </c>
      <c r="AH1543" t="str">
        <f t="shared" si="168"/>
        <v>3rd Quality</v>
      </c>
      <c r="AJ1543">
        <f>((T1543-X1543)*2)/17.2</f>
        <v>18.7513648684399</v>
      </c>
      <c r="AK1543">
        <f t="shared" si="174"/>
        <v>173710.581639344</v>
      </c>
    </row>
    <row r="1544" spans="1:37">
      <c r="A1544" t="s">
        <v>1607</v>
      </c>
      <c r="B1544">
        <v>23</v>
      </c>
      <c r="C1544" t="s">
        <v>44</v>
      </c>
      <c r="D1544" t="s">
        <v>45</v>
      </c>
      <c r="E1544">
        <v>809</v>
      </c>
      <c r="F1544">
        <v>21</v>
      </c>
      <c r="G1544">
        <v>11</v>
      </c>
      <c r="H1544">
        <v>1692.59</v>
      </c>
      <c r="I1544">
        <v>17698.71</v>
      </c>
      <c r="J1544">
        <v>85</v>
      </c>
      <c r="K1544">
        <v>3</v>
      </c>
      <c r="L1544">
        <v>16.8</v>
      </c>
      <c r="M1544">
        <v>24.3</v>
      </c>
      <c r="N1544" t="s">
        <v>63</v>
      </c>
      <c r="O1544" t="s">
        <v>53</v>
      </c>
      <c r="P1544" t="s">
        <v>66</v>
      </c>
      <c r="R1544">
        <f>SUMIF(A1544:A6543,"C01543",I1544:I6543)</f>
        <v>17698.71</v>
      </c>
      <c r="S1544" s="1">
        <v>6202.71</v>
      </c>
      <c r="T1544">
        <f t="shared" si="167"/>
        <v>208.220117647059</v>
      </c>
      <c r="U1544">
        <f t="shared" si="169"/>
        <v>2065.5</v>
      </c>
      <c r="V1544">
        <f>U1544</f>
        <v>2065.5</v>
      </c>
      <c r="W1544">
        <f t="shared" si="173"/>
        <v>6464.1</v>
      </c>
      <c r="X1544">
        <f t="shared" si="170"/>
        <v>0.477965721172877</v>
      </c>
      <c r="AH1544" t="str">
        <f t="shared" si="168"/>
        <v>2nd Quality</v>
      </c>
      <c r="AJ1544">
        <f>((T1544-X1544)*2)/16.8</f>
        <v>24.7312085626055</v>
      </c>
      <c r="AK1544">
        <f t="shared" si="174"/>
        <v>168450.075176471</v>
      </c>
    </row>
    <row r="1545" spans="1:37">
      <c r="A1545" t="s">
        <v>1608</v>
      </c>
      <c r="B1545">
        <v>40</v>
      </c>
      <c r="C1545" t="s">
        <v>50</v>
      </c>
      <c r="D1545" t="s">
        <v>51</v>
      </c>
      <c r="E1545">
        <v>532</v>
      </c>
      <c r="F1545">
        <v>10</v>
      </c>
      <c r="G1545">
        <v>33</v>
      </c>
      <c r="H1545">
        <v>5266.07</v>
      </c>
      <c r="I1545">
        <v>185128.57</v>
      </c>
      <c r="J1545">
        <v>268</v>
      </c>
      <c r="K1545">
        <v>0</v>
      </c>
      <c r="L1545">
        <v>8.7</v>
      </c>
      <c r="M1545">
        <v>35.1</v>
      </c>
      <c r="N1545" t="s">
        <v>81</v>
      </c>
      <c r="O1545" t="s">
        <v>47</v>
      </c>
      <c r="P1545" t="s">
        <v>58</v>
      </c>
      <c r="R1545">
        <f>SUMIF(A1545:A6544,"C01544",I1545:I6544)</f>
        <v>185128.57</v>
      </c>
      <c r="S1545" s="1">
        <v>8079.45</v>
      </c>
      <c r="T1545">
        <f t="shared" si="167"/>
        <v>690.778246268657</v>
      </c>
      <c r="U1545">
        <f t="shared" si="169"/>
        <v>9406.8</v>
      </c>
      <c r="V1545">
        <f t="shared" si="172"/>
        <v>783.9</v>
      </c>
      <c r="W1545">
        <f t="shared" si="173"/>
        <v>63465.2133333333</v>
      </c>
      <c r="X1545">
        <f t="shared" si="170"/>
        <v>0.101024103363609</v>
      </c>
      <c r="AH1545" t="str">
        <f t="shared" si="168"/>
        <v>2nd Quality</v>
      </c>
      <c r="AJ1545">
        <f>((T1545-X1545)*2)/8.7</f>
        <v>158.776372911562</v>
      </c>
      <c r="AK1545">
        <f t="shared" si="174"/>
        <v>367494.027014925</v>
      </c>
    </row>
    <row r="1546" spans="1:37">
      <c r="A1546" t="s">
        <v>1609</v>
      </c>
      <c r="B1546">
        <v>57</v>
      </c>
      <c r="C1546" t="s">
        <v>44</v>
      </c>
      <c r="D1546" t="s">
        <v>60</v>
      </c>
      <c r="E1546">
        <v>853</v>
      </c>
      <c r="F1546">
        <v>28</v>
      </c>
      <c r="G1546">
        <v>7</v>
      </c>
      <c r="H1546">
        <v>998.36</v>
      </c>
      <c r="I1546">
        <v>6202.71</v>
      </c>
      <c r="J1546">
        <v>32</v>
      </c>
      <c r="K1546">
        <v>2</v>
      </c>
      <c r="L1546">
        <v>12.7</v>
      </c>
      <c r="M1546">
        <v>21.1</v>
      </c>
      <c r="N1546" t="s">
        <v>81</v>
      </c>
      <c r="O1546" t="s">
        <v>47</v>
      </c>
      <c r="P1546" t="s">
        <v>66</v>
      </c>
      <c r="R1546">
        <f>SUMIF(A1546:A6545,"C01545",I1546:I6545)</f>
        <v>6202.71</v>
      </c>
      <c r="S1546" s="1">
        <v>33429.82</v>
      </c>
      <c r="T1546">
        <f t="shared" si="167"/>
        <v>193.8346875</v>
      </c>
      <c r="U1546">
        <f t="shared" si="169"/>
        <v>675.2</v>
      </c>
      <c r="V1546">
        <f>U1546</f>
        <v>675.2</v>
      </c>
      <c r="W1546">
        <f t="shared" si="173"/>
        <v>2400.69</v>
      </c>
      <c r="X1546">
        <f t="shared" si="170"/>
        <v>0.854401217997516</v>
      </c>
      <c r="AH1546" t="str">
        <f t="shared" si="168"/>
        <v>3rd Quality</v>
      </c>
      <c r="AJ1546">
        <f>((T1546-X1546)*2)/12.7</f>
        <v>30.3905962648823</v>
      </c>
      <c r="AK1546">
        <f t="shared" si="174"/>
        <v>165340.9884375</v>
      </c>
    </row>
    <row r="1547" spans="1:37">
      <c r="A1547" t="s">
        <v>1610</v>
      </c>
      <c r="B1547">
        <v>44</v>
      </c>
      <c r="C1547" t="s">
        <v>44</v>
      </c>
      <c r="D1547" t="s">
        <v>45</v>
      </c>
      <c r="E1547">
        <v>968</v>
      </c>
      <c r="F1547">
        <v>37</v>
      </c>
      <c r="G1547">
        <v>12</v>
      </c>
      <c r="H1547">
        <v>666.92</v>
      </c>
      <c r="I1547">
        <v>8079.45</v>
      </c>
      <c r="J1547">
        <v>78</v>
      </c>
      <c r="K1547">
        <v>1</v>
      </c>
      <c r="L1547">
        <v>21.2</v>
      </c>
      <c r="M1547">
        <v>15.7</v>
      </c>
      <c r="N1547" t="s">
        <v>46</v>
      </c>
      <c r="O1547" t="s">
        <v>47</v>
      </c>
      <c r="P1547" t="s">
        <v>58</v>
      </c>
      <c r="R1547">
        <f>SUMIF(A1547:A6546,"C01546",I1547:I6546)</f>
        <v>8079.45</v>
      </c>
      <c r="S1547" s="1">
        <v>4376.34</v>
      </c>
      <c r="T1547">
        <f t="shared" si="167"/>
        <v>103.582692307692</v>
      </c>
      <c r="U1547">
        <f t="shared" si="169"/>
        <v>1224.6</v>
      </c>
      <c r="V1547">
        <f>U1547</f>
        <v>1224.6</v>
      </c>
      <c r="W1547">
        <f t="shared" si="173"/>
        <v>2915.79</v>
      </c>
      <c r="X1547">
        <f t="shared" si="170"/>
        <v>1.45144844958916</v>
      </c>
      <c r="AH1547" t="str">
        <f t="shared" si="168"/>
        <v>3rd Quality</v>
      </c>
      <c r="AJ1547">
        <f>((T1547-X1547)*2)/21.2</f>
        <v>9.6350230054814</v>
      </c>
      <c r="AK1547">
        <f t="shared" si="174"/>
        <v>100268.046153846</v>
      </c>
    </row>
    <row r="1548" spans="1:37">
      <c r="A1548" t="s">
        <v>1611</v>
      </c>
      <c r="B1548">
        <v>47</v>
      </c>
      <c r="C1548" t="s">
        <v>44</v>
      </c>
      <c r="D1548" t="s">
        <v>45</v>
      </c>
      <c r="E1548">
        <v>1387</v>
      </c>
      <c r="F1548">
        <v>78</v>
      </c>
      <c r="G1548">
        <v>11</v>
      </c>
      <c r="H1548">
        <v>2724.21</v>
      </c>
      <c r="I1548">
        <v>33429.82</v>
      </c>
      <c r="J1548">
        <v>62</v>
      </c>
      <c r="K1548">
        <v>0</v>
      </c>
      <c r="L1548">
        <v>14.3</v>
      </c>
      <c r="M1548">
        <v>13.4</v>
      </c>
      <c r="N1548" t="s">
        <v>63</v>
      </c>
      <c r="O1548" t="s">
        <v>75</v>
      </c>
      <c r="P1548" t="s">
        <v>68</v>
      </c>
      <c r="R1548">
        <f>SUMIF(A1548:A6547,"C01547",I1548:I6547)</f>
        <v>33429.82</v>
      </c>
      <c r="S1548" s="1">
        <v>15836.11</v>
      </c>
      <c r="T1548">
        <f t="shared" si="167"/>
        <v>539.19064516129</v>
      </c>
      <c r="U1548">
        <f t="shared" si="169"/>
        <v>830.8</v>
      </c>
      <c r="V1548">
        <f t="shared" si="172"/>
        <v>69.2333333333333</v>
      </c>
      <c r="W1548">
        <f t="shared" si="173"/>
        <v>12051.6766666667</v>
      </c>
      <c r="X1548">
        <f t="shared" si="170"/>
        <v>0.509138429122571</v>
      </c>
      <c r="AH1548" t="str">
        <f t="shared" si="168"/>
        <v>3rd Quality</v>
      </c>
      <c r="AJ1548">
        <f>((T1548-X1548)*2)/14.3</f>
        <v>75.3400708716318</v>
      </c>
      <c r="AK1548">
        <f t="shared" si="174"/>
        <v>747857.42483871</v>
      </c>
    </row>
    <row r="1549" spans="1:37">
      <c r="A1549" t="s">
        <v>1612</v>
      </c>
      <c r="B1549">
        <v>40</v>
      </c>
      <c r="C1549" t="s">
        <v>44</v>
      </c>
      <c r="D1549" t="s">
        <v>60</v>
      </c>
      <c r="E1549">
        <v>643</v>
      </c>
      <c r="F1549">
        <v>73</v>
      </c>
      <c r="G1549">
        <v>4</v>
      </c>
      <c r="H1549">
        <v>1023.24</v>
      </c>
      <c r="I1549">
        <v>4376.34</v>
      </c>
      <c r="J1549">
        <v>30</v>
      </c>
      <c r="K1549">
        <v>1</v>
      </c>
      <c r="L1549">
        <v>20</v>
      </c>
      <c r="M1549">
        <v>52.1</v>
      </c>
      <c r="N1549" t="s">
        <v>52</v>
      </c>
      <c r="O1549" t="s">
        <v>47</v>
      </c>
      <c r="P1549" t="s">
        <v>48</v>
      </c>
      <c r="R1549">
        <f>SUMIF(A1549:A6548,"C01548",I1549:I6548)</f>
        <v>4376.34</v>
      </c>
      <c r="S1549" s="1">
        <v>6142.61</v>
      </c>
      <c r="T1549">
        <f t="shared" si="167"/>
        <v>145.878</v>
      </c>
      <c r="U1549">
        <f t="shared" si="169"/>
        <v>1563</v>
      </c>
      <c r="V1549">
        <f>U1549</f>
        <v>1563</v>
      </c>
      <c r="W1549">
        <f t="shared" si="173"/>
        <v>1800.19333333333</v>
      </c>
      <c r="X1549">
        <f t="shared" si="170"/>
        <v>0.628396075212071</v>
      </c>
      <c r="AH1549" t="str">
        <f t="shared" si="168"/>
        <v>3rd Quality</v>
      </c>
      <c r="AJ1549">
        <f>((T1549-X1549)*2)/20</f>
        <v>14.5249603924788</v>
      </c>
      <c r="AK1549">
        <f t="shared" si="174"/>
        <v>93799.554</v>
      </c>
    </row>
    <row r="1550" spans="1:37">
      <c r="A1550" t="s">
        <v>1613</v>
      </c>
      <c r="B1550">
        <v>53</v>
      </c>
      <c r="C1550" t="s">
        <v>50</v>
      </c>
      <c r="D1550" t="s">
        <v>45</v>
      </c>
      <c r="E1550">
        <v>787</v>
      </c>
      <c r="F1550">
        <v>46</v>
      </c>
      <c r="G1550">
        <v>12</v>
      </c>
      <c r="H1550">
        <v>1296.17</v>
      </c>
      <c r="I1550">
        <v>15836.11</v>
      </c>
      <c r="J1550">
        <v>108</v>
      </c>
      <c r="K1550">
        <v>0</v>
      </c>
      <c r="L1550">
        <v>20.5</v>
      </c>
      <c r="M1550">
        <v>37.8</v>
      </c>
      <c r="N1550" t="s">
        <v>57</v>
      </c>
      <c r="O1550" t="s">
        <v>47</v>
      </c>
      <c r="P1550" t="s">
        <v>68</v>
      </c>
      <c r="R1550">
        <f>SUMIF(A1550:A6549,"C01549",I1550:I6549)</f>
        <v>15836.11</v>
      </c>
      <c r="S1550" s="1">
        <v>39632.16</v>
      </c>
      <c r="T1550">
        <f t="shared" ref="T1550:T1613" si="175">I1550/J1550</f>
        <v>146.630648148148</v>
      </c>
      <c r="U1550">
        <f t="shared" si="169"/>
        <v>4082.4</v>
      </c>
      <c r="V1550">
        <f t="shared" si="172"/>
        <v>340.2</v>
      </c>
      <c r="W1550">
        <f t="shared" si="173"/>
        <v>5711.09333333333</v>
      </c>
      <c r="X1550">
        <f t="shared" si="170"/>
        <v>0.607173441755325</v>
      </c>
      <c r="AH1550" t="str">
        <f t="shared" ref="AH1550:AH1613" si="176">IF(AND(W1550&gt;=12550,B1550&lt;=33,E1550&gt;=915),"1st Quality",IF(AND(W1550&gt;=6275,B1550&lt;=43,E1550&gt;=457),"2nd Quality","3rd Quality"))</f>
        <v>3rd Quality</v>
      </c>
      <c r="AJ1550">
        <f>((T1550-X1550)*2)/20.5</f>
        <v>14.2461926542822</v>
      </c>
      <c r="AK1550">
        <f t="shared" si="174"/>
        <v>115398.320092593</v>
      </c>
    </row>
    <row r="1551" spans="1:37">
      <c r="A1551" t="s">
        <v>1614</v>
      </c>
      <c r="B1551">
        <v>18</v>
      </c>
      <c r="C1551" t="s">
        <v>44</v>
      </c>
      <c r="D1551" t="s">
        <v>51</v>
      </c>
      <c r="E1551">
        <v>1363</v>
      </c>
      <c r="F1551">
        <v>34</v>
      </c>
      <c r="G1551">
        <v>5</v>
      </c>
      <c r="H1551">
        <v>1269.4</v>
      </c>
      <c r="I1551">
        <v>6142.61</v>
      </c>
      <c r="J1551">
        <v>20</v>
      </c>
      <c r="K1551">
        <v>0</v>
      </c>
      <c r="L1551">
        <v>30.6</v>
      </c>
      <c r="M1551">
        <v>13.2</v>
      </c>
      <c r="N1551" t="s">
        <v>78</v>
      </c>
      <c r="O1551" t="s">
        <v>47</v>
      </c>
      <c r="P1551" t="s">
        <v>68</v>
      </c>
      <c r="R1551">
        <f>SUMIF(A1551:A6550,"C01550",I1551:I6550)</f>
        <v>6142.61</v>
      </c>
      <c r="S1551" s="1">
        <v>21166.44</v>
      </c>
      <c r="T1551">
        <f t="shared" si="175"/>
        <v>307.1305</v>
      </c>
      <c r="U1551">
        <f t="shared" si="169"/>
        <v>264</v>
      </c>
      <c r="V1551">
        <f t="shared" si="172"/>
        <v>22</v>
      </c>
      <c r="W1551">
        <f t="shared" si="173"/>
        <v>2471.00333333333</v>
      </c>
      <c r="X1551">
        <f t="shared" si="170"/>
        <v>1.07373562312904</v>
      </c>
      <c r="AH1551" t="str">
        <f t="shared" si="176"/>
        <v>3rd Quality</v>
      </c>
      <c r="AJ1551">
        <f>((T1551-X1551)*2)/30.6</f>
        <v>20.0037100899916</v>
      </c>
      <c r="AK1551">
        <f t="shared" si="174"/>
        <v>418618.8715</v>
      </c>
    </row>
    <row r="1552" spans="1:37">
      <c r="A1552" t="s">
        <v>1615</v>
      </c>
      <c r="B1552">
        <v>37</v>
      </c>
      <c r="C1552" t="s">
        <v>44</v>
      </c>
      <c r="D1552" t="s">
        <v>45</v>
      </c>
      <c r="E1552">
        <v>1371</v>
      </c>
      <c r="F1552">
        <v>9</v>
      </c>
      <c r="G1552">
        <v>26</v>
      </c>
      <c r="H1552">
        <v>1442.82</v>
      </c>
      <c r="I1552">
        <v>39632.16</v>
      </c>
      <c r="J1552">
        <v>86</v>
      </c>
      <c r="K1552">
        <v>2</v>
      </c>
      <c r="L1552">
        <v>14.1</v>
      </c>
      <c r="M1552">
        <v>17.6</v>
      </c>
      <c r="N1552" t="s">
        <v>78</v>
      </c>
      <c r="O1552" t="s">
        <v>47</v>
      </c>
      <c r="P1552" t="s">
        <v>68</v>
      </c>
      <c r="R1552">
        <f>SUMIF(A1552:A6551,"C01551",I1552:I6551)</f>
        <v>39632.16</v>
      </c>
      <c r="S1552" s="1">
        <v>8175.69</v>
      </c>
      <c r="T1552">
        <f t="shared" si="175"/>
        <v>460.839069767442</v>
      </c>
      <c r="U1552">
        <f t="shared" si="169"/>
        <v>1513.6</v>
      </c>
      <c r="V1552">
        <f>U1552</f>
        <v>1513.6</v>
      </c>
      <c r="W1552">
        <f t="shared" si="173"/>
        <v>13691.9933333333</v>
      </c>
      <c r="X1552">
        <f t="shared" si="170"/>
        <v>0.950222480974758</v>
      </c>
      <c r="AH1552" t="str">
        <f t="shared" si="176"/>
        <v>2nd Quality</v>
      </c>
      <c r="AJ1552">
        <f>((T1552-X1552)*2)/14.1</f>
        <v>65.2324606080095</v>
      </c>
      <c r="AK1552">
        <f t="shared" si="174"/>
        <v>631810.364651163</v>
      </c>
    </row>
    <row r="1553" spans="1:37">
      <c r="A1553" t="s">
        <v>1616</v>
      </c>
      <c r="B1553">
        <v>44</v>
      </c>
      <c r="C1553" t="s">
        <v>44</v>
      </c>
      <c r="D1553" t="s">
        <v>45</v>
      </c>
      <c r="E1553">
        <v>1304</v>
      </c>
      <c r="F1553">
        <v>30</v>
      </c>
      <c r="G1553">
        <v>13</v>
      </c>
      <c r="H1553">
        <v>1461.44</v>
      </c>
      <c r="I1553">
        <v>21166.44</v>
      </c>
      <c r="J1553">
        <v>51</v>
      </c>
      <c r="K1553">
        <v>2</v>
      </c>
      <c r="L1553">
        <v>18.2</v>
      </c>
      <c r="M1553">
        <v>20.6</v>
      </c>
      <c r="N1553" t="s">
        <v>46</v>
      </c>
      <c r="O1553" t="s">
        <v>47</v>
      </c>
      <c r="P1553" t="s">
        <v>48</v>
      </c>
      <c r="R1553">
        <f>SUMIF(A1553:A6552,"C01552",I1553:I6552)</f>
        <v>21166.44</v>
      </c>
      <c r="S1553" s="1">
        <v>15967.89</v>
      </c>
      <c r="T1553">
        <f t="shared" si="175"/>
        <v>415.028235294118</v>
      </c>
      <c r="U1553">
        <f t="shared" si="169"/>
        <v>1050.6</v>
      </c>
      <c r="V1553">
        <f>U1553</f>
        <v>1050.6</v>
      </c>
      <c r="W1553">
        <f t="shared" si="173"/>
        <v>7542.96</v>
      </c>
      <c r="X1553">
        <f t="shared" si="170"/>
        <v>0.892270637179768</v>
      </c>
      <c r="AH1553" t="str">
        <f t="shared" si="176"/>
        <v>3rd Quality</v>
      </c>
      <c r="AJ1553">
        <f>((T1553-X1553)*2)/18.2</f>
        <v>45.5094466655976</v>
      </c>
      <c r="AK1553">
        <f t="shared" si="174"/>
        <v>541196.818823529</v>
      </c>
    </row>
    <row r="1554" spans="1:37">
      <c r="A1554" t="s">
        <v>1617</v>
      </c>
      <c r="B1554">
        <v>31</v>
      </c>
      <c r="C1554" t="s">
        <v>50</v>
      </c>
      <c r="D1554" t="s">
        <v>60</v>
      </c>
      <c r="E1554">
        <v>565</v>
      </c>
      <c r="F1554">
        <v>54</v>
      </c>
      <c r="G1554">
        <v>8</v>
      </c>
      <c r="H1554">
        <v>1103.5</v>
      </c>
      <c r="I1554">
        <v>8175.69</v>
      </c>
      <c r="J1554">
        <v>22</v>
      </c>
      <c r="K1554">
        <v>1</v>
      </c>
      <c r="L1554">
        <v>20.9</v>
      </c>
      <c r="M1554">
        <v>27.9</v>
      </c>
      <c r="N1554" t="s">
        <v>61</v>
      </c>
      <c r="O1554" t="s">
        <v>53</v>
      </c>
      <c r="P1554" t="s">
        <v>48</v>
      </c>
      <c r="R1554">
        <f>SUMIF(A1554:A6553,"C01553",I1554:I6553)</f>
        <v>8175.69</v>
      </c>
      <c r="S1554" s="1">
        <v>7952.43</v>
      </c>
      <c r="T1554">
        <f t="shared" si="175"/>
        <v>371.622272727273</v>
      </c>
      <c r="U1554">
        <f t="shared" si="169"/>
        <v>613.8</v>
      </c>
      <c r="V1554">
        <f>U1554</f>
        <v>613.8</v>
      </c>
      <c r="W1554">
        <f t="shared" si="173"/>
        <v>3093.39666666667</v>
      </c>
      <c r="X1554">
        <f t="shared" si="170"/>
        <v>0.512007249660172</v>
      </c>
      <c r="AH1554" t="str">
        <f t="shared" si="176"/>
        <v>3rd Quality</v>
      </c>
      <c r="AJ1554">
        <f>((T1554-X1554)*2)/20.9</f>
        <v>35.5129440648433</v>
      </c>
      <c r="AK1554">
        <f t="shared" si="174"/>
        <v>209966.584090909</v>
      </c>
    </row>
    <row r="1555" spans="1:37">
      <c r="A1555" t="s">
        <v>1618</v>
      </c>
      <c r="B1555">
        <v>41</v>
      </c>
      <c r="C1555" t="s">
        <v>50</v>
      </c>
      <c r="D1555" t="s">
        <v>60</v>
      </c>
      <c r="E1555">
        <v>496</v>
      </c>
      <c r="F1555">
        <v>2</v>
      </c>
      <c r="G1555">
        <v>13</v>
      </c>
      <c r="H1555">
        <v>1377.19</v>
      </c>
      <c r="I1555">
        <v>15967.89</v>
      </c>
      <c r="J1555">
        <v>34</v>
      </c>
      <c r="K1555">
        <v>0</v>
      </c>
      <c r="L1555">
        <v>18.2</v>
      </c>
      <c r="M1555">
        <v>50.2</v>
      </c>
      <c r="N1555" t="s">
        <v>63</v>
      </c>
      <c r="O1555" t="s">
        <v>47</v>
      </c>
      <c r="P1555" t="s">
        <v>58</v>
      </c>
      <c r="R1555">
        <f>SUMIF(A1555:A6554,"C01554",I1555:I6554)</f>
        <v>15967.89</v>
      </c>
      <c r="S1555" s="1">
        <v>236.44</v>
      </c>
      <c r="T1555">
        <f t="shared" si="175"/>
        <v>469.643823529412</v>
      </c>
      <c r="U1555">
        <f t="shared" si="169"/>
        <v>1706.8</v>
      </c>
      <c r="V1555">
        <f t="shared" si="172"/>
        <v>142.233333333333</v>
      </c>
      <c r="W1555">
        <f t="shared" si="173"/>
        <v>5782.02666666667</v>
      </c>
      <c r="X1555">
        <f t="shared" si="170"/>
        <v>0.36015364619261</v>
      </c>
      <c r="AH1555" t="str">
        <f t="shared" si="176"/>
        <v>3rd Quality</v>
      </c>
      <c r="AJ1555">
        <f>((T1555-X1555)*2)/18.2</f>
        <v>51.569634053101</v>
      </c>
      <c r="AK1555">
        <f t="shared" si="174"/>
        <v>232943.336470588</v>
      </c>
    </row>
    <row r="1556" spans="1:37">
      <c r="A1556" t="s">
        <v>1619</v>
      </c>
      <c r="B1556">
        <v>27</v>
      </c>
      <c r="C1556" t="s">
        <v>50</v>
      </c>
      <c r="D1556" t="s">
        <v>45</v>
      </c>
      <c r="E1556">
        <v>780</v>
      </c>
      <c r="F1556">
        <v>55</v>
      </c>
      <c r="G1556">
        <v>6</v>
      </c>
      <c r="H1556">
        <v>1365.63</v>
      </c>
      <c r="I1556">
        <v>7952.43</v>
      </c>
      <c r="J1556">
        <v>31</v>
      </c>
      <c r="K1556">
        <v>2</v>
      </c>
      <c r="L1556">
        <v>13.6</v>
      </c>
      <c r="M1556">
        <v>56.6</v>
      </c>
      <c r="N1556" t="s">
        <v>81</v>
      </c>
      <c r="O1556" t="s">
        <v>47</v>
      </c>
      <c r="P1556" t="s">
        <v>48</v>
      </c>
      <c r="R1556">
        <f>SUMIF(A1556:A6555,"C01555",I1556:I6555)</f>
        <v>7952.43</v>
      </c>
      <c r="S1556" s="1">
        <v>1922.68</v>
      </c>
      <c r="T1556">
        <f t="shared" si="175"/>
        <v>256.53</v>
      </c>
      <c r="U1556">
        <f t="shared" si="169"/>
        <v>1754.6</v>
      </c>
      <c r="V1556">
        <f>U1556</f>
        <v>1754.6</v>
      </c>
      <c r="W1556">
        <f t="shared" si="173"/>
        <v>3106.35333333333</v>
      </c>
      <c r="X1556">
        <f t="shared" si="170"/>
        <v>0.57116495683311</v>
      </c>
      <c r="AH1556" t="str">
        <f t="shared" si="176"/>
        <v>3rd Quality</v>
      </c>
      <c r="AJ1556">
        <f>((T1556-X1556)*2)/13.6</f>
        <v>37.6410051534069</v>
      </c>
      <c r="AK1556">
        <f t="shared" si="174"/>
        <v>200093.4</v>
      </c>
    </row>
    <row r="1557" spans="1:37">
      <c r="A1557" t="s">
        <v>1620</v>
      </c>
      <c r="B1557">
        <v>49</v>
      </c>
      <c r="C1557" t="s">
        <v>50</v>
      </c>
      <c r="D1557" t="s">
        <v>60</v>
      </c>
      <c r="E1557">
        <v>645</v>
      </c>
      <c r="F1557">
        <v>114</v>
      </c>
      <c r="G1557">
        <v>1</v>
      </c>
      <c r="H1557">
        <v>235.49</v>
      </c>
      <c r="I1557">
        <v>236.44</v>
      </c>
      <c r="J1557">
        <v>6</v>
      </c>
      <c r="K1557">
        <v>0</v>
      </c>
      <c r="L1557">
        <v>21.7</v>
      </c>
      <c r="M1557">
        <v>40.1</v>
      </c>
      <c r="N1557" t="s">
        <v>52</v>
      </c>
      <c r="O1557" t="s">
        <v>53</v>
      </c>
      <c r="P1557" t="s">
        <v>58</v>
      </c>
      <c r="R1557">
        <f>SUMIF(A1557:A6556,"C01556",I1557:I6556)</f>
        <v>236.44</v>
      </c>
      <c r="S1557" s="1">
        <v>20985.63</v>
      </c>
      <c r="T1557">
        <f t="shared" si="175"/>
        <v>39.4066666666667</v>
      </c>
      <c r="U1557">
        <f t="shared" si="169"/>
        <v>240.6</v>
      </c>
      <c r="V1557">
        <f t="shared" si="172"/>
        <v>20.05</v>
      </c>
      <c r="W1557">
        <f t="shared" si="173"/>
        <v>157.643333333333</v>
      </c>
      <c r="X1557">
        <f t="shared" si="170"/>
        <v>2.73896980763514</v>
      </c>
      <c r="AH1557" t="str">
        <f t="shared" si="176"/>
        <v>3rd Quality</v>
      </c>
      <c r="AJ1557">
        <f>((T1557-X1557)*2)/21.7</f>
        <v>3.37951123124715</v>
      </c>
      <c r="AK1557">
        <f t="shared" si="174"/>
        <v>25417.3</v>
      </c>
    </row>
    <row r="1558" spans="1:37">
      <c r="A1558" t="s">
        <v>1621</v>
      </c>
      <c r="B1558">
        <v>34</v>
      </c>
      <c r="C1558" t="s">
        <v>44</v>
      </c>
      <c r="D1558" t="s">
        <v>51</v>
      </c>
      <c r="E1558">
        <v>711</v>
      </c>
      <c r="F1558">
        <v>243</v>
      </c>
      <c r="G1558">
        <v>1</v>
      </c>
      <c r="H1558">
        <v>2047.9</v>
      </c>
      <c r="I1558">
        <v>1922.68</v>
      </c>
      <c r="J1558">
        <v>19</v>
      </c>
      <c r="K1558">
        <v>0</v>
      </c>
      <c r="L1558">
        <v>18.9</v>
      </c>
      <c r="M1558">
        <v>63.1</v>
      </c>
      <c r="N1558" t="s">
        <v>63</v>
      </c>
      <c r="O1558" t="s">
        <v>75</v>
      </c>
      <c r="P1558" t="s">
        <v>58</v>
      </c>
      <c r="R1558">
        <f>SUMIF(A1558:A6557,"C01557",I1558:I6557)</f>
        <v>1922.68</v>
      </c>
      <c r="S1558" s="1">
        <v>51206.18</v>
      </c>
      <c r="T1558">
        <f t="shared" si="175"/>
        <v>101.193684210526</v>
      </c>
      <c r="U1558">
        <f t="shared" si="169"/>
        <v>1198.9</v>
      </c>
      <c r="V1558">
        <f t="shared" si="172"/>
        <v>99.9083333333333</v>
      </c>
      <c r="W1558">
        <f t="shared" si="173"/>
        <v>1323.86</v>
      </c>
      <c r="X1558">
        <f t="shared" si="170"/>
        <v>0.347184921138727</v>
      </c>
      <c r="AH1558" t="str">
        <f t="shared" si="176"/>
        <v>3rd Quality</v>
      </c>
      <c r="AJ1558">
        <f>((T1558-X1558)*2)/18.9</f>
        <v>10.6715872263902</v>
      </c>
      <c r="AK1558">
        <f t="shared" si="174"/>
        <v>71948.7094736842</v>
      </c>
    </row>
    <row r="1559" spans="1:37">
      <c r="A1559" t="s">
        <v>1622</v>
      </c>
      <c r="B1559">
        <v>31</v>
      </c>
      <c r="C1559" t="s">
        <v>44</v>
      </c>
      <c r="D1559" t="s">
        <v>60</v>
      </c>
      <c r="E1559">
        <v>1400</v>
      </c>
      <c r="F1559">
        <v>50</v>
      </c>
      <c r="G1559">
        <v>2</v>
      </c>
      <c r="H1559">
        <v>10207.27</v>
      </c>
      <c r="I1559">
        <v>20985.63</v>
      </c>
      <c r="J1559">
        <v>16</v>
      </c>
      <c r="K1559">
        <v>0</v>
      </c>
      <c r="L1559">
        <v>0.9</v>
      </c>
      <c r="M1559">
        <v>30.4</v>
      </c>
      <c r="N1559" t="s">
        <v>81</v>
      </c>
      <c r="O1559" t="s">
        <v>53</v>
      </c>
      <c r="P1559" t="s">
        <v>66</v>
      </c>
      <c r="R1559">
        <f>SUMIF(A1559:A6558,"C01558",I1559:I6558)</f>
        <v>20985.63</v>
      </c>
      <c r="S1559" s="1">
        <v>1768.94</v>
      </c>
      <c r="T1559">
        <f t="shared" si="175"/>
        <v>1311.601875</v>
      </c>
      <c r="U1559">
        <f t="shared" si="169"/>
        <v>486.4</v>
      </c>
      <c r="V1559">
        <f t="shared" si="172"/>
        <v>40.5333333333333</v>
      </c>
      <c r="W1559">
        <f t="shared" si="173"/>
        <v>10397.9666666667</v>
      </c>
      <c r="X1559">
        <f t="shared" si="170"/>
        <v>0.137157143878824</v>
      </c>
      <c r="AH1559" t="str">
        <f t="shared" si="176"/>
        <v>2nd Quality</v>
      </c>
      <c r="AJ1559">
        <f>((T1559-X1559)*2)/0.9</f>
        <v>2914.36603968027</v>
      </c>
      <c r="AK1559">
        <f t="shared" si="174"/>
        <v>1836242.625</v>
      </c>
    </row>
    <row r="1560" spans="1:37">
      <c r="A1560" t="s">
        <v>1623</v>
      </c>
      <c r="B1560">
        <v>26</v>
      </c>
      <c r="C1560" t="s">
        <v>44</v>
      </c>
      <c r="D1560" t="s">
        <v>45</v>
      </c>
      <c r="E1560">
        <v>957</v>
      </c>
      <c r="F1560">
        <v>5</v>
      </c>
      <c r="G1560">
        <v>5</v>
      </c>
      <c r="H1560">
        <v>10741.71</v>
      </c>
      <c r="I1560">
        <v>51206.18</v>
      </c>
      <c r="J1560">
        <v>23</v>
      </c>
      <c r="K1560">
        <v>0</v>
      </c>
      <c r="L1560">
        <v>5.6</v>
      </c>
      <c r="M1560">
        <v>27.9</v>
      </c>
      <c r="N1560" t="s">
        <v>61</v>
      </c>
      <c r="O1560" t="s">
        <v>47</v>
      </c>
      <c r="P1560" t="s">
        <v>48</v>
      </c>
      <c r="R1560">
        <f>SUMIF(A1560:A6559,"C01559",I1560:I6559)</f>
        <v>51206.18</v>
      </c>
      <c r="S1560" s="1">
        <v>1634.37</v>
      </c>
      <c r="T1560">
        <f t="shared" si="175"/>
        <v>2226.35565217391</v>
      </c>
      <c r="U1560">
        <f t="shared" si="169"/>
        <v>641.7</v>
      </c>
      <c r="V1560">
        <f t="shared" si="172"/>
        <v>53.475</v>
      </c>
      <c r="W1560">
        <f t="shared" si="173"/>
        <v>20649.63</v>
      </c>
      <c r="X1560">
        <f t="shared" si="170"/>
        <v>0.0890919602186244</v>
      </c>
      <c r="AH1560" t="str">
        <f t="shared" si="176"/>
        <v>1st Quality</v>
      </c>
      <c r="AJ1560">
        <f>((T1560-X1560)*2)/5.6</f>
        <v>795.095200076319</v>
      </c>
      <c r="AK1560">
        <f t="shared" si="174"/>
        <v>2130622.35913043</v>
      </c>
    </row>
    <row r="1561" spans="1:37">
      <c r="A1561" t="s">
        <v>1624</v>
      </c>
      <c r="B1561">
        <v>35</v>
      </c>
      <c r="C1561" t="s">
        <v>50</v>
      </c>
      <c r="D1561" t="s">
        <v>60</v>
      </c>
      <c r="E1561">
        <v>696</v>
      </c>
      <c r="F1561">
        <v>365</v>
      </c>
      <c r="G1561">
        <v>1</v>
      </c>
      <c r="H1561">
        <v>1585.55</v>
      </c>
      <c r="I1561">
        <v>1768.94</v>
      </c>
      <c r="J1561">
        <v>9</v>
      </c>
      <c r="K1561">
        <v>0</v>
      </c>
      <c r="L1561">
        <v>9.9</v>
      </c>
      <c r="M1561">
        <v>23.6</v>
      </c>
      <c r="N1561" t="s">
        <v>78</v>
      </c>
      <c r="O1561" t="s">
        <v>47</v>
      </c>
      <c r="P1561" t="s">
        <v>66</v>
      </c>
      <c r="R1561">
        <f>SUMIF(A1561:A6560,"C01560",I1561:I6560)</f>
        <v>1768.94</v>
      </c>
      <c r="S1561" s="1">
        <v>54412.3</v>
      </c>
      <c r="T1561">
        <f t="shared" si="175"/>
        <v>196.548888888889</v>
      </c>
      <c r="U1561">
        <f t="shared" si="169"/>
        <v>212.4</v>
      </c>
      <c r="V1561">
        <f t="shared" si="172"/>
        <v>17.7</v>
      </c>
      <c r="W1561">
        <f t="shared" si="173"/>
        <v>1118.49666666667</v>
      </c>
      <c r="X1561">
        <f t="shared" si="170"/>
        <v>0.438964397212324</v>
      </c>
      <c r="AH1561" t="str">
        <f t="shared" si="176"/>
        <v>3rd Quality</v>
      </c>
      <c r="AJ1561">
        <f>((T1561-X1561)*2)/9.9</f>
        <v>39.6181665639751</v>
      </c>
      <c r="AK1561">
        <f t="shared" si="174"/>
        <v>136798.026666667</v>
      </c>
    </row>
    <row r="1562" spans="1:37">
      <c r="A1562" t="s">
        <v>1625</v>
      </c>
      <c r="B1562">
        <v>50</v>
      </c>
      <c r="C1562" t="s">
        <v>44</v>
      </c>
      <c r="D1562" t="s">
        <v>45</v>
      </c>
      <c r="E1562">
        <v>1164</v>
      </c>
      <c r="F1562">
        <v>172</v>
      </c>
      <c r="G1562">
        <v>1</v>
      </c>
      <c r="H1562">
        <v>1731.9</v>
      </c>
      <c r="I1562">
        <v>1634.37</v>
      </c>
      <c r="J1562">
        <v>15</v>
      </c>
      <c r="K1562">
        <v>0</v>
      </c>
      <c r="L1562">
        <v>22.5</v>
      </c>
      <c r="M1562">
        <v>43.4</v>
      </c>
      <c r="N1562" t="s">
        <v>61</v>
      </c>
      <c r="O1562" t="s">
        <v>47</v>
      </c>
      <c r="P1562" t="s">
        <v>58</v>
      </c>
      <c r="R1562">
        <f>SUMIF(A1562:A6561,"C01561",I1562:I6561)</f>
        <v>1634.37</v>
      </c>
      <c r="S1562" s="1">
        <v>4194.27</v>
      </c>
      <c r="T1562">
        <f t="shared" si="175"/>
        <v>108.958</v>
      </c>
      <c r="U1562">
        <f t="shared" si="169"/>
        <v>651</v>
      </c>
      <c r="V1562">
        <f t="shared" si="172"/>
        <v>54.25</v>
      </c>
      <c r="W1562">
        <f t="shared" si="173"/>
        <v>1122.42333333333</v>
      </c>
      <c r="X1562">
        <f t="shared" si="170"/>
        <v>0.672094231768578</v>
      </c>
      <c r="AH1562" t="str">
        <f t="shared" si="176"/>
        <v>3rd Quality</v>
      </c>
      <c r="AJ1562">
        <f>((T1562-X1562)*2)/22.5</f>
        <v>9.62541384606502</v>
      </c>
      <c r="AK1562">
        <f t="shared" si="174"/>
        <v>126827.112</v>
      </c>
    </row>
    <row r="1563" spans="1:37">
      <c r="A1563" t="s">
        <v>1626</v>
      </c>
      <c r="B1563">
        <v>46</v>
      </c>
      <c r="C1563" t="s">
        <v>44</v>
      </c>
      <c r="D1563" t="s">
        <v>45</v>
      </c>
      <c r="E1563">
        <v>1260</v>
      </c>
      <c r="F1563">
        <v>23</v>
      </c>
      <c r="G1563">
        <v>5</v>
      </c>
      <c r="H1563">
        <v>10144.78</v>
      </c>
      <c r="I1563">
        <v>54412.3</v>
      </c>
      <c r="J1563">
        <v>17</v>
      </c>
      <c r="K1563">
        <v>0</v>
      </c>
      <c r="L1563">
        <v>10.5</v>
      </c>
      <c r="M1563">
        <v>34.6</v>
      </c>
      <c r="N1563" t="s">
        <v>52</v>
      </c>
      <c r="O1563" t="s">
        <v>75</v>
      </c>
      <c r="P1563" t="s">
        <v>68</v>
      </c>
      <c r="R1563">
        <f>SUMIF(A1563:A6562,"C01562",I1563:I6562)</f>
        <v>54412.3</v>
      </c>
      <c r="S1563" s="1">
        <v>4073.04</v>
      </c>
      <c r="T1563">
        <f t="shared" si="175"/>
        <v>3200.72352941176</v>
      </c>
      <c r="U1563">
        <f t="shared" si="169"/>
        <v>588.2</v>
      </c>
      <c r="V1563">
        <f t="shared" si="172"/>
        <v>49.0166666666667</v>
      </c>
      <c r="W1563">
        <f t="shared" si="173"/>
        <v>21519.36</v>
      </c>
      <c r="X1563">
        <f t="shared" si="170"/>
        <v>0.124201806249125</v>
      </c>
      <c r="AH1563" t="str">
        <f t="shared" si="176"/>
        <v>3rd Quality</v>
      </c>
      <c r="AJ1563">
        <f>((T1563-X1563)*2)/10.5</f>
        <v>609.637967162955</v>
      </c>
      <c r="AK1563">
        <f t="shared" si="174"/>
        <v>4032911.64705882</v>
      </c>
    </row>
    <row r="1564" spans="1:37">
      <c r="A1564" t="s">
        <v>1627</v>
      </c>
      <c r="B1564">
        <v>25</v>
      </c>
      <c r="C1564" t="s">
        <v>50</v>
      </c>
      <c r="D1564" t="s">
        <v>60</v>
      </c>
      <c r="E1564">
        <v>841</v>
      </c>
      <c r="F1564">
        <v>99</v>
      </c>
      <c r="G1564">
        <v>2</v>
      </c>
      <c r="H1564">
        <v>1886.74</v>
      </c>
      <c r="I1564">
        <v>4194.27</v>
      </c>
      <c r="J1564">
        <v>14</v>
      </c>
      <c r="K1564">
        <v>0</v>
      </c>
      <c r="L1564">
        <v>27.9</v>
      </c>
      <c r="M1564">
        <v>67</v>
      </c>
      <c r="N1564" t="s">
        <v>81</v>
      </c>
      <c r="O1564" t="s">
        <v>47</v>
      </c>
      <c r="P1564" t="s">
        <v>68</v>
      </c>
      <c r="R1564">
        <f>SUMIF(A1564:A6563,"C01563",I1564:I6563)</f>
        <v>4194.27</v>
      </c>
      <c r="S1564" s="1">
        <v>3512.43</v>
      </c>
      <c r="T1564">
        <f t="shared" si="175"/>
        <v>299.590714285714</v>
      </c>
      <c r="U1564">
        <f t="shared" si="169"/>
        <v>938</v>
      </c>
      <c r="V1564">
        <f t="shared" ref="V1564:V1627" si="177">U1564/12</f>
        <v>78.1666666666667</v>
      </c>
      <c r="W1564">
        <f t="shared" si="173"/>
        <v>2027.33666666667</v>
      </c>
      <c r="X1564">
        <f t="shared" si="170"/>
        <v>0.445742391638488</v>
      </c>
      <c r="AH1564" t="str">
        <f t="shared" si="176"/>
        <v>3rd Quality</v>
      </c>
      <c r="AJ1564">
        <f>((T1564-X1564)*2)/27.9</f>
        <v>21.4440840067438</v>
      </c>
      <c r="AK1564">
        <f t="shared" si="174"/>
        <v>251955.790714286</v>
      </c>
    </row>
    <row r="1565" spans="1:37">
      <c r="A1565" t="s">
        <v>1628</v>
      </c>
      <c r="B1565">
        <v>35</v>
      </c>
      <c r="C1565" t="s">
        <v>44</v>
      </c>
      <c r="D1565" t="s">
        <v>45</v>
      </c>
      <c r="E1565">
        <v>425</v>
      </c>
      <c r="F1565">
        <v>111</v>
      </c>
      <c r="G1565">
        <v>2</v>
      </c>
      <c r="H1565">
        <v>2036.74</v>
      </c>
      <c r="I1565">
        <v>4073.04</v>
      </c>
      <c r="J1565">
        <v>24</v>
      </c>
      <c r="K1565">
        <v>0</v>
      </c>
      <c r="L1565">
        <v>26.5</v>
      </c>
      <c r="M1565">
        <v>42.9</v>
      </c>
      <c r="N1565" t="s">
        <v>46</v>
      </c>
      <c r="O1565" t="s">
        <v>47</v>
      </c>
      <c r="P1565" t="s">
        <v>48</v>
      </c>
      <c r="R1565">
        <f>SUMIF(A1565:A6564,"C01564",I1565:I6564)</f>
        <v>4073.04</v>
      </c>
      <c r="S1565" s="1">
        <v>29818.94</v>
      </c>
      <c r="T1565">
        <f t="shared" si="175"/>
        <v>169.71</v>
      </c>
      <c r="U1565">
        <f t="shared" si="169"/>
        <v>1029.6</v>
      </c>
      <c r="V1565">
        <f t="shared" si="177"/>
        <v>85.8</v>
      </c>
      <c r="W1565">
        <f t="shared" si="173"/>
        <v>2036.92666666667</v>
      </c>
      <c r="X1565">
        <f t="shared" si="170"/>
        <v>0.20866679104844</v>
      </c>
      <c r="AH1565" t="str">
        <f t="shared" si="176"/>
        <v>3rd Quality</v>
      </c>
      <c r="AJ1565">
        <f>((T1565-X1565)*2)/26.5</f>
        <v>12.7925534497322</v>
      </c>
      <c r="AK1565">
        <f t="shared" si="174"/>
        <v>72126.75</v>
      </c>
    </row>
    <row r="1566" spans="1:37">
      <c r="A1566" t="s">
        <v>1629</v>
      </c>
      <c r="B1566">
        <v>39</v>
      </c>
      <c r="C1566" t="s">
        <v>44</v>
      </c>
      <c r="D1566" t="s">
        <v>60</v>
      </c>
      <c r="E1566">
        <v>879</v>
      </c>
      <c r="F1566">
        <v>16</v>
      </c>
      <c r="G1566">
        <v>4</v>
      </c>
      <c r="H1566">
        <v>946.42</v>
      </c>
      <c r="I1566">
        <v>3512.43</v>
      </c>
      <c r="J1566">
        <v>21</v>
      </c>
      <c r="K1566">
        <v>0</v>
      </c>
      <c r="L1566">
        <v>22.5</v>
      </c>
      <c r="M1566">
        <v>32.8</v>
      </c>
      <c r="N1566" t="s">
        <v>61</v>
      </c>
      <c r="O1566" t="s">
        <v>75</v>
      </c>
      <c r="P1566" t="s">
        <v>58</v>
      </c>
      <c r="R1566">
        <f>SUMIF(A1566:A6565,"C01565",I1566:I6565)</f>
        <v>3512.43</v>
      </c>
      <c r="S1566" s="1">
        <v>75889.94</v>
      </c>
      <c r="T1566">
        <f t="shared" si="175"/>
        <v>167.258571428571</v>
      </c>
      <c r="U1566">
        <f t="shared" si="169"/>
        <v>688.8</v>
      </c>
      <c r="V1566">
        <f t="shared" si="177"/>
        <v>57.4</v>
      </c>
      <c r="W1566">
        <f t="shared" si="173"/>
        <v>1486.61666666667</v>
      </c>
      <c r="X1566">
        <f t="shared" si="170"/>
        <v>0.928763128420786</v>
      </c>
      <c r="AH1566" t="str">
        <f t="shared" si="176"/>
        <v>3rd Quality</v>
      </c>
      <c r="AJ1566">
        <f>((T1566-X1566)*2)/22.5</f>
        <v>14.7848718489022</v>
      </c>
      <c r="AK1566">
        <f t="shared" si="174"/>
        <v>147020.284285714</v>
      </c>
    </row>
    <row r="1567" spans="1:37">
      <c r="A1567" t="s">
        <v>1630</v>
      </c>
      <c r="B1567">
        <v>32</v>
      </c>
      <c r="C1567" t="s">
        <v>44</v>
      </c>
      <c r="D1567" t="s">
        <v>60</v>
      </c>
      <c r="E1567">
        <v>793</v>
      </c>
      <c r="F1567">
        <v>39</v>
      </c>
      <c r="G1567">
        <v>10</v>
      </c>
      <c r="H1567">
        <v>2726.45</v>
      </c>
      <c r="I1567">
        <v>29818.94</v>
      </c>
      <c r="J1567">
        <v>89</v>
      </c>
      <c r="K1567">
        <v>0</v>
      </c>
      <c r="L1567">
        <v>16</v>
      </c>
      <c r="M1567">
        <v>17.7</v>
      </c>
      <c r="N1567" t="s">
        <v>57</v>
      </c>
      <c r="O1567" t="s">
        <v>75</v>
      </c>
      <c r="P1567" t="s">
        <v>48</v>
      </c>
      <c r="R1567">
        <f>SUMIF(A1567:A6566,"C01566",I1567:I6566)</f>
        <v>29818.94</v>
      </c>
      <c r="S1567" s="1">
        <v>75719.81</v>
      </c>
      <c r="T1567">
        <f t="shared" si="175"/>
        <v>335.044269662921</v>
      </c>
      <c r="U1567">
        <f t="shared" si="169"/>
        <v>1575.3</v>
      </c>
      <c r="V1567">
        <f t="shared" si="177"/>
        <v>131.275</v>
      </c>
      <c r="W1567">
        <f t="shared" si="173"/>
        <v>10848.7966666667</v>
      </c>
      <c r="X1567">
        <f t="shared" si="170"/>
        <v>0.290854407746337</v>
      </c>
      <c r="AH1567" t="str">
        <f t="shared" si="176"/>
        <v>2nd Quality</v>
      </c>
      <c r="AJ1567">
        <f>((T1567-X1567)*2)/16</f>
        <v>41.8441769068968</v>
      </c>
      <c r="AK1567">
        <f t="shared" si="174"/>
        <v>265690.105842697</v>
      </c>
    </row>
    <row r="1568" spans="1:37">
      <c r="A1568" t="s">
        <v>1631</v>
      </c>
      <c r="B1568">
        <v>36</v>
      </c>
      <c r="C1568" t="s">
        <v>101</v>
      </c>
      <c r="D1568" t="s">
        <v>45</v>
      </c>
      <c r="E1568">
        <v>577</v>
      </c>
      <c r="F1568">
        <v>6</v>
      </c>
      <c r="G1568">
        <v>32</v>
      </c>
      <c r="H1568">
        <v>2428.48</v>
      </c>
      <c r="I1568">
        <v>75889.94</v>
      </c>
      <c r="J1568">
        <v>237</v>
      </c>
      <c r="K1568">
        <v>5</v>
      </c>
      <c r="L1568">
        <v>11.5</v>
      </c>
      <c r="M1568">
        <v>9.7</v>
      </c>
      <c r="N1568" t="s">
        <v>81</v>
      </c>
      <c r="O1568" t="s">
        <v>53</v>
      </c>
      <c r="P1568" t="s">
        <v>66</v>
      </c>
      <c r="R1568">
        <f>SUMIF(A1568:A6567,"C01567",I1568:I6567)</f>
        <v>75889.94</v>
      </c>
      <c r="S1568" s="1">
        <v>11453.76</v>
      </c>
      <c r="T1568">
        <f t="shared" si="175"/>
        <v>320.210717299578</v>
      </c>
      <c r="U1568">
        <f t="shared" si="169"/>
        <v>2298.9</v>
      </c>
      <c r="V1568">
        <f>U1568</f>
        <v>2298.9</v>
      </c>
      <c r="W1568">
        <f t="shared" si="173"/>
        <v>26106.4733333333</v>
      </c>
      <c r="X1568">
        <f t="shared" si="170"/>
        <v>0.237597180129134</v>
      </c>
      <c r="AH1568" t="str">
        <f t="shared" si="176"/>
        <v>2nd Quality</v>
      </c>
      <c r="AJ1568">
        <f>((T1568-X1568)*2)/11.5</f>
        <v>55.6474991512085</v>
      </c>
      <c r="AK1568">
        <f t="shared" si="174"/>
        <v>184761.583881857</v>
      </c>
    </row>
    <row r="1569" spans="1:37">
      <c r="A1569" t="s">
        <v>1632</v>
      </c>
      <c r="B1569">
        <v>47</v>
      </c>
      <c r="C1569" t="s">
        <v>101</v>
      </c>
      <c r="D1569" t="s">
        <v>60</v>
      </c>
      <c r="E1569">
        <v>1040</v>
      </c>
      <c r="F1569">
        <v>19</v>
      </c>
      <c r="G1569">
        <v>27</v>
      </c>
      <c r="H1569">
        <v>2775.05</v>
      </c>
      <c r="I1569">
        <v>75719.81</v>
      </c>
      <c r="J1569">
        <v>111</v>
      </c>
      <c r="K1569">
        <v>1</v>
      </c>
      <c r="L1569">
        <v>2.8</v>
      </c>
      <c r="M1569">
        <v>50.5</v>
      </c>
      <c r="N1569" t="s">
        <v>63</v>
      </c>
      <c r="O1569" t="s">
        <v>47</v>
      </c>
      <c r="P1569" t="s">
        <v>58</v>
      </c>
      <c r="R1569">
        <f>SUMIF(A1569:A6568,"C01568",I1569:I6568)</f>
        <v>75719.81</v>
      </c>
      <c r="S1569" s="1">
        <v>8631.4</v>
      </c>
      <c r="T1569">
        <f t="shared" si="175"/>
        <v>682.16045045045</v>
      </c>
      <c r="U1569">
        <f t="shared" si="169"/>
        <v>5605.5</v>
      </c>
      <c r="V1569">
        <f>U1569</f>
        <v>5605.5</v>
      </c>
      <c r="W1569">
        <f t="shared" si="173"/>
        <v>26165.2866666667</v>
      </c>
      <c r="X1569">
        <f t="shared" si="170"/>
        <v>0.374768022197798</v>
      </c>
      <c r="AH1569" t="str">
        <f t="shared" si="176"/>
        <v>3rd Quality</v>
      </c>
      <c r="AJ1569">
        <f>((T1569-X1569)*2)/2.8</f>
        <v>486.989773163037</v>
      </c>
      <c r="AK1569">
        <f t="shared" si="174"/>
        <v>709446.868468468</v>
      </c>
    </row>
    <row r="1570" spans="1:37">
      <c r="A1570" t="s">
        <v>1633</v>
      </c>
      <c r="B1570">
        <v>33</v>
      </c>
      <c r="C1570" t="s">
        <v>44</v>
      </c>
      <c r="D1570" t="s">
        <v>45</v>
      </c>
      <c r="E1570">
        <v>1173</v>
      </c>
      <c r="F1570">
        <v>47</v>
      </c>
      <c r="G1570">
        <v>5</v>
      </c>
      <c r="H1570">
        <v>2568.77</v>
      </c>
      <c r="I1570">
        <v>11453.76</v>
      </c>
      <c r="J1570">
        <v>28</v>
      </c>
      <c r="K1570">
        <v>2</v>
      </c>
      <c r="L1570">
        <v>23.6</v>
      </c>
      <c r="M1570">
        <v>58.7</v>
      </c>
      <c r="N1570" t="s">
        <v>61</v>
      </c>
      <c r="O1570" t="s">
        <v>53</v>
      </c>
      <c r="P1570" t="s">
        <v>68</v>
      </c>
      <c r="R1570">
        <f>SUMIF(A1570:A6569,"C01569",I1570:I6569)</f>
        <v>11453.76</v>
      </c>
      <c r="S1570" s="1">
        <v>5847.87</v>
      </c>
      <c r="T1570">
        <f t="shared" si="175"/>
        <v>409.062857142857</v>
      </c>
      <c r="U1570">
        <f t="shared" ref="U1570:U1633" si="178">J1570*M1570</f>
        <v>1643.6</v>
      </c>
      <c r="V1570">
        <f>U1570</f>
        <v>1643.6</v>
      </c>
      <c r="W1570">
        <f t="shared" si="173"/>
        <v>4674.51</v>
      </c>
      <c r="X1570">
        <f t="shared" si="170"/>
        <v>0.456638780427987</v>
      </c>
      <c r="AH1570" t="str">
        <f t="shared" si="176"/>
        <v>3rd Quality</v>
      </c>
      <c r="AJ1570">
        <f>((T1570-X1570)*2)/23.6</f>
        <v>34.6276456239347</v>
      </c>
      <c r="AK1570">
        <f t="shared" si="174"/>
        <v>479830.731428571</v>
      </c>
    </row>
    <row r="1571" spans="1:37">
      <c r="A1571" t="s">
        <v>1634</v>
      </c>
      <c r="B1571">
        <v>39</v>
      </c>
      <c r="C1571" t="s">
        <v>50</v>
      </c>
      <c r="D1571" t="s">
        <v>45</v>
      </c>
      <c r="E1571">
        <v>805</v>
      </c>
      <c r="F1571">
        <v>35</v>
      </c>
      <c r="G1571">
        <v>1</v>
      </c>
      <c r="H1571">
        <v>8957.96</v>
      </c>
      <c r="I1571">
        <v>8631.4</v>
      </c>
      <c r="J1571">
        <v>15</v>
      </c>
      <c r="K1571">
        <v>0</v>
      </c>
      <c r="L1571">
        <v>3.6</v>
      </c>
      <c r="M1571">
        <v>21.5</v>
      </c>
      <c r="N1571" t="s">
        <v>81</v>
      </c>
      <c r="O1571" t="s">
        <v>75</v>
      </c>
      <c r="P1571" t="s">
        <v>68</v>
      </c>
      <c r="R1571">
        <f>SUMIF(A1571:A6570,"C01570",I1571:I6570)</f>
        <v>8631.4</v>
      </c>
      <c r="S1571" s="1">
        <v>62791.49</v>
      </c>
      <c r="T1571">
        <f t="shared" si="175"/>
        <v>575.426666666667</v>
      </c>
      <c r="U1571">
        <f t="shared" si="178"/>
        <v>322.5</v>
      </c>
      <c r="V1571">
        <f t="shared" si="177"/>
        <v>26.875</v>
      </c>
      <c r="W1571">
        <f t="shared" si="173"/>
        <v>5863.45333333333</v>
      </c>
      <c r="X1571">
        <f t="shared" si="170"/>
        <v>0.0898642101549907</v>
      </c>
      <c r="AH1571" t="str">
        <f t="shared" si="176"/>
        <v>3rd Quality</v>
      </c>
      <c r="AJ1571">
        <f>((T1571-X1571)*2)/3.6</f>
        <v>319.631556920284</v>
      </c>
      <c r="AK1571">
        <f t="shared" si="174"/>
        <v>463218.466666667</v>
      </c>
    </row>
    <row r="1572" spans="1:37">
      <c r="A1572" t="s">
        <v>1635</v>
      </c>
      <c r="B1572">
        <v>46</v>
      </c>
      <c r="C1572" t="s">
        <v>44</v>
      </c>
      <c r="D1572" t="s">
        <v>60</v>
      </c>
      <c r="E1572">
        <v>786</v>
      </c>
      <c r="F1572">
        <v>25</v>
      </c>
      <c r="G1572">
        <v>3</v>
      </c>
      <c r="H1572">
        <v>1923.46</v>
      </c>
      <c r="I1572">
        <v>5847.87</v>
      </c>
      <c r="J1572">
        <v>28</v>
      </c>
      <c r="K1572">
        <v>0</v>
      </c>
      <c r="L1572">
        <v>28.4</v>
      </c>
      <c r="M1572">
        <v>9.4</v>
      </c>
      <c r="N1572" t="s">
        <v>81</v>
      </c>
      <c r="O1572" t="s">
        <v>75</v>
      </c>
      <c r="P1572" t="s">
        <v>58</v>
      </c>
      <c r="R1572">
        <f>SUMIF(A1572:A6571,"C01571",I1572:I6571)</f>
        <v>5847.87</v>
      </c>
      <c r="S1572" s="1">
        <v>67588.52</v>
      </c>
      <c r="T1572">
        <f t="shared" si="175"/>
        <v>208.8525</v>
      </c>
      <c r="U1572">
        <f t="shared" si="178"/>
        <v>263.2</v>
      </c>
      <c r="V1572">
        <f t="shared" si="177"/>
        <v>21.9333333333333</v>
      </c>
      <c r="W1572">
        <f t="shared" si="173"/>
        <v>2590.77666666667</v>
      </c>
      <c r="X1572">
        <f t="shared" si="170"/>
        <v>0.408638599191041</v>
      </c>
      <c r="AH1572" t="str">
        <f t="shared" si="176"/>
        <v>3rd Quality</v>
      </c>
      <c r="AJ1572">
        <f>((T1572-X1572)*2)/28.4</f>
        <v>14.6791451690711</v>
      </c>
      <c r="AK1572">
        <f t="shared" si="174"/>
        <v>164158.065</v>
      </c>
    </row>
    <row r="1573" spans="1:37">
      <c r="A1573" t="s">
        <v>1636</v>
      </c>
      <c r="B1573">
        <v>42</v>
      </c>
      <c r="C1573" t="s">
        <v>56</v>
      </c>
      <c r="D1573" t="s">
        <v>60</v>
      </c>
      <c r="E1573">
        <v>1232</v>
      </c>
      <c r="F1573">
        <v>26</v>
      </c>
      <c r="G1573">
        <v>6</v>
      </c>
      <c r="H1573">
        <v>10001.99</v>
      </c>
      <c r="I1573">
        <v>62791.49</v>
      </c>
      <c r="J1573">
        <v>36</v>
      </c>
      <c r="K1573">
        <v>0</v>
      </c>
      <c r="L1573">
        <v>12.6</v>
      </c>
      <c r="M1573">
        <v>18.5</v>
      </c>
      <c r="N1573" t="s">
        <v>52</v>
      </c>
      <c r="O1573" t="s">
        <v>53</v>
      </c>
      <c r="P1573" t="s">
        <v>58</v>
      </c>
      <c r="R1573">
        <f>SUMIF(A1573:A6572,"C01572",I1573:I6572)</f>
        <v>62791.49</v>
      </c>
      <c r="S1573" s="1">
        <v>2522.48</v>
      </c>
      <c r="T1573">
        <f t="shared" si="175"/>
        <v>1744.20805555556</v>
      </c>
      <c r="U1573">
        <f t="shared" si="178"/>
        <v>666</v>
      </c>
      <c r="V1573">
        <f t="shared" si="177"/>
        <v>55.5</v>
      </c>
      <c r="W1573">
        <f t="shared" si="173"/>
        <v>24264.8266666667</v>
      </c>
      <c r="X1573">
        <f t="shared" si="170"/>
        <v>0.123175488077872</v>
      </c>
      <c r="AH1573" t="str">
        <f t="shared" si="176"/>
        <v>2nd Quality</v>
      </c>
      <c r="AJ1573">
        <f>((T1573-X1573)*2)/12.6</f>
        <v>276.838869851981</v>
      </c>
      <c r="AK1573">
        <f t="shared" si="174"/>
        <v>2148864.32444444</v>
      </c>
    </row>
    <row r="1574" spans="1:37">
      <c r="A1574" t="s">
        <v>1637</v>
      </c>
      <c r="B1574">
        <v>36</v>
      </c>
      <c r="C1574" t="s">
        <v>50</v>
      </c>
      <c r="D1574" t="s">
        <v>45</v>
      </c>
      <c r="E1574">
        <v>564</v>
      </c>
      <c r="F1574">
        <v>85</v>
      </c>
      <c r="G1574">
        <v>7</v>
      </c>
      <c r="H1574">
        <v>8712.19</v>
      </c>
      <c r="I1574">
        <v>67588.52</v>
      </c>
      <c r="J1574">
        <v>49</v>
      </c>
      <c r="K1574">
        <v>0</v>
      </c>
      <c r="L1574">
        <v>3.9</v>
      </c>
      <c r="M1574">
        <v>13.4</v>
      </c>
      <c r="N1574" t="s">
        <v>61</v>
      </c>
      <c r="O1574" t="s">
        <v>47</v>
      </c>
      <c r="P1574" t="s">
        <v>58</v>
      </c>
      <c r="R1574">
        <f>SUMIF(A1574:A6573,"C01573",I1574:I6573)</f>
        <v>67588.52</v>
      </c>
      <c r="S1574" s="1">
        <v>84708.67</v>
      </c>
      <c r="T1574">
        <f t="shared" si="175"/>
        <v>1379.35755102041</v>
      </c>
      <c r="U1574">
        <f t="shared" si="178"/>
        <v>656.6</v>
      </c>
      <c r="V1574">
        <f t="shared" si="177"/>
        <v>54.7166666666667</v>
      </c>
      <c r="W1574">
        <f t="shared" si="173"/>
        <v>25433.9033333333</v>
      </c>
      <c r="X1574">
        <f t="shared" si="170"/>
        <v>0.0647368801644592</v>
      </c>
      <c r="AH1574" t="str">
        <f t="shared" si="176"/>
        <v>2nd Quality</v>
      </c>
      <c r="AJ1574">
        <f>((T1574-X1574)*2)/3.9</f>
        <v>707.329648277049</v>
      </c>
      <c r="AK1574">
        <f t="shared" si="174"/>
        <v>777957.65877551</v>
      </c>
    </row>
    <row r="1575" spans="1:37">
      <c r="A1575" t="s">
        <v>1638</v>
      </c>
      <c r="B1575">
        <v>50</v>
      </c>
      <c r="C1575" t="s">
        <v>50</v>
      </c>
      <c r="D1575" t="s">
        <v>60</v>
      </c>
      <c r="E1575">
        <v>1439</v>
      </c>
      <c r="F1575">
        <v>66</v>
      </c>
      <c r="G1575">
        <v>2</v>
      </c>
      <c r="H1575">
        <v>1236.46</v>
      </c>
      <c r="I1575">
        <v>2522.48</v>
      </c>
      <c r="J1575">
        <v>22</v>
      </c>
      <c r="K1575">
        <v>0</v>
      </c>
      <c r="L1575">
        <v>16.2</v>
      </c>
      <c r="M1575">
        <v>30.2</v>
      </c>
      <c r="N1575" t="s">
        <v>52</v>
      </c>
      <c r="O1575" t="s">
        <v>75</v>
      </c>
      <c r="P1575" t="s">
        <v>68</v>
      </c>
      <c r="R1575">
        <f>SUMIF(A1575:A6574,"C01574",I1575:I6574)</f>
        <v>2522.48</v>
      </c>
      <c r="S1575" s="1">
        <v>6876.01</v>
      </c>
      <c r="T1575">
        <f t="shared" si="175"/>
        <v>114.658181818182</v>
      </c>
      <c r="U1575">
        <f t="shared" si="178"/>
        <v>664.4</v>
      </c>
      <c r="V1575">
        <f t="shared" si="177"/>
        <v>55.3666666666667</v>
      </c>
      <c r="W1575">
        <f t="shared" si="173"/>
        <v>1253.31333333333</v>
      </c>
      <c r="X1575">
        <f t="shared" si="170"/>
        <v>1.1638063503874</v>
      </c>
      <c r="AH1575" t="str">
        <f t="shared" si="176"/>
        <v>3rd Quality</v>
      </c>
      <c r="AJ1575">
        <f>((T1575-X1575)*2)/16.2</f>
        <v>14.0116512923203</v>
      </c>
      <c r="AK1575">
        <f t="shared" si="174"/>
        <v>164993.123636364</v>
      </c>
    </row>
    <row r="1576" spans="1:37">
      <c r="A1576" t="s">
        <v>1639</v>
      </c>
      <c r="B1576">
        <v>26</v>
      </c>
      <c r="C1576" t="s">
        <v>50</v>
      </c>
      <c r="D1576" t="s">
        <v>51</v>
      </c>
      <c r="E1576">
        <v>827</v>
      </c>
      <c r="F1576">
        <v>1</v>
      </c>
      <c r="G1576">
        <v>23</v>
      </c>
      <c r="H1576">
        <v>3896.78</v>
      </c>
      <c r="I1576">
        <v>84708.67</v>
      </c>
      <c r="J1576">
        <v>56</v>
      </c>
      <c r="K1576">
        <v>1</v>
      </c>
      <c r="L1576">
        <v>16.1</v>
      </c>
      <c r="M1576">
        <v>20</v>
      </c>
      <c r="N1576" t="s">
        <v>61</v>
      </c>
      <c r="O1576" t="s">
        <v>53</v>
      </c>
      <c r="P1576" t="s">
        <v>66</v>
      </c>
      <c r="R1576">
        <f>SUMIF(A1576:A6575,"C01575",I1576:I6575)</f>
        <v>84708.67</v>
      </c>
      <c r="S1576" s="1">
        <v>814.43</v>
      </c>
      <c r="T1576">
        <f t="shared" si="175"/>
        <v>1512.65482142857</v>
      </c>
      <c r="U1576">
        <f t="shared" si="178"/>
        <v>1120</v>
      </c>
      <c r="V1576">
        <f>U1576</f>
        <v>1120</v>
      </c>
      <c r="W1576">
        <f t="shared" si="173"/>
        <v>29535.4833333333</v>
      </c>
      <c r="X1576">
        <f t="shared" si="170"/>
        <v>0.212226504960506</v>
      </c>
      <c r="AH1576" t="str">
        <f t="shared" si="176"/>
        <v>2nd Quality</v>
      </c>
      <c r="AJ1576">
        <f>((T1576-X1576)*2)/16.1</f>
        <v>187.881067692374</v>
      </c>
      <c r="AK1576">
        <f t="shared" si="174"/>
        <v>1250965.53732143</v>
      </c>
    </row>
    <row r="1577" spans="1:37">
      <c r="A1577" t="s">
        <v>1640</v>
      </c>
      <c r="B1577">
        <v>18</v>
      </c>
      <c r="C1577" t="s">
        <v>44</v>
      </c>
      <c r="D1577" t="s">
        <v>51</v>
      </c>
      <c r="E1577">
        <v>930</v>
      </c>
      <c r="F1577">
        <v>30</v>
      </c>
      <c r="G1577">
        <v>9</v>
      </c>
      <c r="H1577">
        <v>753.66</v>
      </c>
      <c r="I1577">
        <v>6876.01</v>
      </c>
      <c r="J1577">
        <v>55</v>
      </c>
      <c r="K1577">
        <v>0</v>
      </c>
      <c r="L1577">
        <v>17.7</v>
      </c>
      <c r="M1577">
        <v>43.7</v>
      </c>
      <c r="N1577" t="s">
        <v>46</v>
      </c>
      <c r="O1577" t="s">
        <v>47</v>
      </c>
      <c r="P1577" t="s">
        <v>54</v>
      </c>
      <c r="R1577">
        <f>SUMIF(A1577:A6576,"C01576",I1577:I6576)</f>
        <v>6876.01</v>
      </c>
      <c r="S1577" s="1">
        <v>1066.37</v>
      </c>
      <c r="T1577">
        <f t="shared" si="175"/>
        <v>125.018363636364</v>
      </c>
      <c r="U1577">
        <f t="shared" si="178"/>
        <v>2403.5</v>
      </c>
      <c r="V1577">
        <f t="shared" si="177"/>
        <v>200.291666666667</v>
      </c>
      <c r="W1577">
        <f t="shared" si="173"/>
        <v>2543.55666666667</v>
      </c>
      <c r="X1577">
        <f t="shared" si="170"/>
        <v>1.23397818645012</v>
      </c>
      <c r="AH1577" t="str">
        <f t="shared" si="176"/>
        <v>3rd Quality</v>
      </c>
      <c r="AJ1577">
        <f>((T1577-X1577)*2)/17.7</f>
        <v>13.9869362090298</v>
      </c>
      <c r="AK1577">
        <f t="shared" si="174"/>
        <v>116267.078181818</v>
      </c>
    </row>
    <row r="1578" spans="1:37">
      <c r="A1578" t="s">
        <v>1641</v>
      </c>
      <c r="B1578">
        <v>38</v>
      </c>
      <c r="C1578" t="s">
        <v>44</v>
      </c>
      <c r="D1578" t="s">
        <v>60</v>
      </c>
      <c r="E1578">
        <v>1015</v>
      </c>
      <c r="F1578">
        <v>39</v>
      </c>
      <c r="G1578">
        <v>1</v>
      </c>
      <c r="H1578">
        <v>907.93</v>
      </c>
      <c r="I1578">
        <v>814.43</v>
      </c>
      <c r="J1578">
        <v>9</v>
      </c>
      <c r="K1578">
        <v>0</v>
      </c>
      <c r="L1578">
        <v>28.8</v>
      </c>
      <c r="M1578">
        <v>15.3</v>
      </c>
      <c r="N1578" t="s">
        <v>57</v>
      </c>
      <c r="O1578" t="s">
        <v>75</v>
      </c>
      <c r="P1578" t="s">
        <v>58</v>
      </c>
      <c r="R1578">
        <f>SUMIF(A1578:A6577,"C01577",I1578:I6577)</f>
        <v>814.43</v>
      </c>
      <c r="S1578" s="1">
        <v>5315.4</v>
      </c>
      <c r="T1578">
        <f t="shared" si="175"/>
        <v>90.4922222222222</v>
      </c>
      <c r="U1578">
        <f t="shared" si="178"/>
        <v>137.7</v>
      </c>
      <c r="V1578">
        <f t="shared" si="177"/>
        <v>11.475</v>
      </c>
      <c r="W1578">
        <f t="shared" si="173"/>
        <v>574.453333333333</v>
      </c>
      <c r="X1578">
        <f t="shared" si="170"/>
        <v>1.11792759353695</v>
      </c>
      <c r="AH1578" t="str">
        <f t="shared" si="176"/>
        <v>3rd Quality</v>
      </c>
      <c r="AJ1578">
        <f>((T1578-X1578)*2)/28.8</f>
        <v>6.20654823810314</v>
      </c>
      <c r="AK1578">
        <f t="shared" si="174"/>
        <v>91849.6055555556</v>
      </c>
    </row>
    <row r="1579" spans="1:37">
      <c r="A1579" t="s">
        <v>1642</v>
      </c>
      <c r="B1579">
        <v>55</v>
      </c>
      <c r="C1579" t="s">
        <v>44</v>
      </c>
      <c r="D1579" t="s">
        <v>60</v>
      </c>
      <c r="E1579">
        <v>875</v>
      </c>
      <c r="F1579">
        <v>74</v>
      </c>
      <c r="G1579">
        <v>2</v>
      </c>
      <c r="H1579">
        <v>582.37</v>
      </c>
      <c r="I1579">
        <v>1066.37</v>
      </c>
      <c r="J1579">
        <v>15</v>
      </c>
      <c r="K1579">
        <v>1</v>
      </c>
      <c r="L1579">
        <v>28</v>
      </c>
      <c r="M1579">
        <v>16.8</v>
      </c>
      <c r="N1579" t="s">
        <v>46</v>
      </c>
      <c r="O1579" t="s">
        <v>53</v>
      </c>
      <c r="P1579" t="s">
        <v>58</v>
      </c>
      <c r="R1579">
        <f>SUMIF(A1579:A6578,"C01578",I1579:I6578)</f>
        <v>1066.37</v>
      </c>
      <c r="S1579" s="1">
        <v>2930.61</v>
      </c>
      <c r="T1579">
        <f t="shared" si="175"/>
        <v>71.0913333333333</v>
      </c>
      <c r="U1579">
        <f t="shared" si="178"/>
        <v>252</v>
      </c>
      <c r="V1579">
        <f>U1579</f>
        <v>252</v>
      </c>
      <c r="W1579">
        <f t="shared" si="173"/>
        <v>549.913333333333</v>
      </c>
      <c r="X1579">
        <f t="shared" si="170"/>
        <v>1.50248124044851</v>
      </c>
      <c r="AH1579" t="str">
        <f t="shared" si="176"/>
        <v>3rd Quality</v>
      </c>
      <c r="AJ1579">
        <f>((T1579-X1579)*2)/28</f>
        <v>4.97063229234891</v>
      </c>
      <c r="AK1579">
        <f t="shared" si="174"/>
        <v>62204.9166666667</v>
      </c>
    </row>
    <row r="1580" spans="1:37">
      <c r="A1580" t="s">
        <v>1643</v>
      </c>
      <c r="B1580">
        <v>58</v>
      </c>
      <c r="C1580" t="s">
        <v>44</v>
      </c>
      <c r="D1580" t="s">
        <v>45</v>
      </c>
      <c r="E1580">
        <v>423</v>
      </c>
      <c r="F1580">
        <v>218</v>
      </c>
      <c r="G1580">
        <v>2</v>
      </c>
      <c r="H1580">
        <v>2755.69</v>
      </c>
      <c r="I1580">
        <v>5315.4</v>
      </c>
      <c r="J1580">
        <v>14</v>
      </c>
      <c r="K1580">
        <v>0</v>
      </c>
      <c r="L1580">
        <v>19.7</v>
      </c>
      <c r="M1580">
        <v>47.8</v>
      </c>
      <c r="N1580" t="s">
        <v>78</v>
      </c>
      <c r="O1580" t="s">
        <v>53</v>
      </c>
      <c r="P1580" t="s">
        <v>58</v>
      </c>
      <c r="R1580">
        <f>SUMIF(A1580:A6579,"C01579",I1580:I6579)</f>
        <v>5315.4</v>
      </c>
      <c r="S1580" s="1">
        <v>3111.92</v>
      </c>
      <c r="T1580">
        <f t="shared" si="175"/>
        <v>379.671428571429</v>
      </c>
      <c r="U1580">
        <f t="shared" si="178"/>
        <v>669.2</v>
      </c>
      <c r="V1580">
        <f t="shared" si="177"/>
        <v>55.7666666666667</v>
      </c>
      <c r="W1580">
        <f t="shared" si="173"/>
        <v>2690.69666666667</v>
      </c>
      <c r="X1580">
        <f t="shared" si="170"/>
        <v>0.15350057517355</v>
      </c>
      <c r="AH1580" t="str">
        <f t="shared" si="176"/>
        <v>3rd Quality</v>
      </c>
      <c r="AJ1580">
        <f>((T1580-X1580)*2)/19.7</f>
        <v>38.5297388828686</v>
      </c>
      <c r="AK1580">
        <f t="shared" si="174"/>
        <v>160601.014285714</v>
      </c>
    </row>
    <row r="1581" spans="1:37">
      <c r="A1581" t="s">
        <v>1644</v>
      </c>
      <c r="B1581">
        <v>24</v>
      </c>
      <c r="C1581" t="s">
        <v>44</v>
      </c>
      <c r="D1581" t="s">
        <v>45</v>
      </c>
      <c r="E1581">
        <v>1138</v>
      </c>
      <c r="F1581">
        <v>89</v>
      </c>
      <c r="G1581">
        <v>1</v>
      </c>
      <c r="H1581">
        <v>3310.15</v>
      </c>
      <c r="I1581">
        <v>2930.61</v>
      </c>
      <c r="J1581">
        <v>15</v>
      </c>
      <c r="K1581">
        <v>0</v>
      </c>
      <c r="L1581">
        <v>12.6</v>
      </c>
      <c r="M1581">
        <v>47.2</v>
      </c>
      <c r="N1581" t="s">
        <v>46</v>
      </c>
      <c r="O1581" t="s">
        <v>53</v>
      </c>
      <c r="P1581" t="s">
        <v>58</v>
      </c>
      <c r="R1581">
        <f>SUMIF(A1581:A6580,"C01580",I1581:I6580)</f>
        <v>2930.61</v>
      </c>
      <c r="S1581" s="1">
        <v>17726.82</v>
      </c>
      <c r="T1581">
        <f t="shared" si="175"/>
        <v>195.374</v>
      </c>
      <c r="U1581">
        <f t="shared" si="178"/>
        <v>708</v>
      </c>
      <c r="V1581">
        <f t="shared" si="177"/>
        <v>59</v>
      </c>
      <c r="W1581">
        <f t="shared" si="173"/>
        <v>2080.58666666667</v>
      </c>
      <c r="X1581">
        <f t="shared" si="170"/>
        <v>0.343791066870081</v>
      </c>
      <c r="AH1581" t="str">
        <f t="shared" si="176"/>
        <v>3rd Quality</v>
      </c>
      <c r="AJ1581">
        <f>((T1581-X1581)*2)/12.6</f>
        <v>30.9571760211317</v>
      </c>
      <c r="AK1581">
        <f t="shared" si="174"/>
        <v>222335.612</v>
      </c>
    </row>
    <row r="1582" spans="1:37">
      <c r="A1582" t="s">
        <v>1645</v>
      </c>
      <c r="B1582">
        <v>28</v>
      </c>
      <c r="C1582" t="s">
        <v>44</v>
      </c>
      <c r="D1582" t="s">
        <v>60</v>
      </c>
      <c r="E1582">
        <v>1347</v>
      </c>
      <c r="F1582">
        <v>33</v>
      </c>
      <c r="G1582">
        <v>1</v>
      </c>
      <c r="H1582">
        <v>3465.09</v>
      </c>
      <c r="I1582">
        <v>3111.92</v>
      </c>
      <c r="J1582">
        <v>16</v>
      </c>
      <c r="K1582">
        <v>0</v>
      </c>
      <c r="L1582">
        <v>9.2</v>
      </c>
      <c r="M1582">
        <v>14.4</v>
      </c>
      <c r="N1582" t="s">
        <v>52</v>
      </c>
      <c r="O1582" t="s">
        <v>75</v>
      </c>
      <c r="P1582" t="s">
        <v>58</v>
      </c>
      <c r="R1582">
        <f>SUMIF(A1582:A6581,"C01581",I1582:I6581)</f>
        <v>3111.92</v>
      </c>
      <c r="S1582" s="1">
        <v>10463.06</v>
      </c>
      <c r="T1582">
        <f t="shared" si="175"/>
        <v>194.495</v>
      </c>
      <c r="U1582">
        <f t="shared" si="178"/>
        <v>230.4</v>
      </c>
      <c r="V1582">
        <f t="shared" si="177"/>
        <v>19.2</v>
      </c>
      <c r="W1582">
        <f t="shared" si="173"/>
        <v>2192.67</v>
      </c>
      <c r="X1582">
        <f t="shared" si="170"/>
        <v>0.388734491744803</v>
      </c>
      <c r="AH1582" t="str">
        <f t="shared" si="176"/>
        <v>3rd Quality</v>
      </c>
      <c r="AJ1582">
        <f>((T1582-X1582)*2)/9.2</f>
        <v>42.197014240925</v>
      </c>
      <c r="AK1582">
        <f t="shared" si="174"/>
        <v>261984.765</v>
      </c>
    </row>
    <row r="1583" spans="1:37">
      <c r="A1583" t="s">
        <v>1646</v>
      </c>
      <c r="B1583">
        <v>18</v>
      </c>
      <c r="C1583" t="s">
        <v>50</v>
      </c>
      <c r="D1583" t="s">
        <v>45</v>
      </c>
      <c r="E1583">
        <v>1192</v>
      </c>
      <c r="F1583">
        <v>30</v>
      </c>
      <c r="G1583">
        <v>13</v>
      </c>
      <c r="H1583">
        <v>1546.45</v>
      </c>
      <c r="I1583">
        <v>17726.82</v>
      </c>
      <c r="J1583">
        <v>86</v>
      </c>
      <c r="K1583">
        <v>1</v>
      </c>
      <c r="L1583">
        <v>23.1</v>
      </c>
      <c r="M1583">
        <v>17.3</v>
      </c>
      <c r="N1583" t="s">
        <v>78</v>
      </c>
      <c r="O1583" t="s">
        <v>47</v>
      </c>
      <c r="P1583" t="s">
        <v>58</v>
      </c>
      <c r="R1583">
        <f>SUMIF(A1583:A6582,"C01582",I1583:I6582)</f>
        <v>17726.82</v>
      </c>
      <c r="S1583" s="1">
        <v>13158.19</v>
      </c>
      <c r="T1583">
        <f t="shared" si="175"/>
        <v>206.125813953488</v>
      </c>
      <c r="U1583">
        <f t="shared" si="178"/>
        <v>1487.8</v>
      </c>
      <c r="V1583">
        <f>U1583</f>
        <v>1487.8</v>
      </c>
      <c r="W1583">
        <f t="shared" si="173"/>
        <v>6424.75666666667</v>
      </c>
      <c r="X1583">
        <f t="shared" ref="X1583:X1646" si="179">E1583/H1583</f>
        <v>0.770797633289146</v>
      </c>
      <c r="AH1583" t="str">
        <f t="shared" si="176"/>
        <v>2nd Quality</v>
      </c>
      <c r="AJ1583">
        <f>((T1583-X1583)*2)/23.1</f>
        <v>17.7796550926579</v>
      </c>
      <c r="AK1583">
        <f t="shared" si="174"/>
        <v>245701.970232558</v>
      </c>
    </row>
    <row r="1584" spans="1:37">
      <c r="A1584" t="s">
        <v>1647</v>
      </c>
      <c r="B1584">
        <v>35</v>
      </c>
      <c r="C1584" t="s">
        <v>50</v>
      </c>
      <c r="D1584" t="s">
        <v>51</v>
      </c>
      <c r="E1584">
        <v>1120</v>
      </c>
      <c r="F1584">
        <v>93</v>
      </c>
      <c r="G1584">
        <v>10</v>
      </c>
      <c r="H1584">
        <v>1132.82</v>
      </c>
      <c r="I1584">
        <v>10463.06</v>
      </c>
      <c r="J1584">
        <v>46</v>
      </c>
      <c r="K1584">
        <v>0</v>
      </c>
      <c r="L1584">
        <v>27.8</v>
      </c>
      <c r="M1584">
        <v>25.6</v>
      </c>
      <c r="N1584" t="s">
        <v>61</v>
      </c>
      <c r="O1584" t="s">
        <v>53</v>
      </c>
      <c r="P1584" t="s">
        <v>68</v>
      </c>
      <c r="R1584">
        <f>SUMIF(A1584:A6583,"C01583",I1584:I6583)</f>
        <v>10463.06</v>
      </c>
      <c r="S1584" s="1">
        <v>12820.3</v>
      </c>
      <c r="T1584">
        <f t="shared" si="175"/>
        <v>227.457826086957</v>
      </c>
      <c r="U1584">
        <f t="shared" si="178"/>
        <v>1177.6</v>
      </c>
      <c r="V1584">
        <f t="shared" si="177"/>
        <v>98.1333333333333</v>
      </c>
      <c r="W1584">
        <f t="shared" si="173"/>
        <v>3865.62666666667</v>
      </c>
      <c r="X1584">
        <f t="shared" si="179"/>
        <v>0.988683109408379</v>
      </c>
      <c r="AH1584" t="str">
        <f t="shared" si="176"/>
        <v>3rd Quality</v>
      </c>
      <c r="AJ1584">
        <f>((T1584-X1584)*2)/27.8</f>
        <v>16.2927440991042</v>
      </c>
      <c r="AK1584">
        <f t="shared" si="174"/>
        <v>254752.765217391</v>
      </c>
    </row>
    <row r="1585" spans="1:37">
      <c r="A1585" t="s">
        <v>1648</v>
      </c>
      <c r="B1585">
        <v>42</v>
      </c>
      <c r="C1585" t="s">
        <v>50</v>
      </c>
      <c r="D1585" t="s">
        <v>45</v>
      </c>
      <c r="E1585">
        <v>435</v>
      </c>
      <c r="F1585">
        <v>35</v>
      </c>
      <c r="G1585">
        <v>8</v>
      </c>
      <c r="H1585">
        <v>1525.58</v>
      </c>
      <c r="I1585">
        <v>13158.19</v>
      </c>
      <c r="J1585">
        <v>70</v>
      </c>
      <c r="K1585">
        <v>1</v>
      </c>
      <c r="L1585">
        <v>21.1</v>
      </c>
      <c r="M1585">
        <v>68.5</v>
      </c>
      <c r="N1585" t="s">
        <v>46</v>
      </c>
      <c r="O1585" t="s">
        <v>75</v>
      </c>
      <c r="P1585" t="s">
        <v>68</v>
      </c>
      <c r="R1585">
        <f>SUMIF(A1585:A6584,"C01584",I1585:I6584)</f>
        <v>13158.19</v>
      </c>
      <c r="S1585" s="1">
        <v>4545.43</v>
      </c>
      <c r="T1585">
        <f t="shared" si="175"/>
        <v>187.974142857143</v>
      </c>
      <c r="U1585">
        <f t="shared" si="178"/>
        <v>4795</v>
      </c>
      <c r="V1585">
        <f>U1585</f>
        <v>4795</v>
      </c>
      <c r="W1585">
        <f t="shared" si="173"/>
        <v>4894.92333333333</v>
      </c>
      <c r="X1585">
        <f t="shared" si="179"/>
        <v>0.285137455918405</v>
      </c>
      <c r="AH1585" t="str">
        <f t="shared" si="176"/>
        <v>3rd Quality</v>
      </c>
      <c r="AJ1585">
        <f>((T1585-X1585)*2)/21.1</f>
        <v>17.7904270522488</v>
      </c>
      <c r="AK1585">
        <f t="shared" si="174"/>
        <v>81768.7521428571</v>
      </c>
    </row>
    <row r="1586" spans="1:37">
      <c r="A1586" t="s">
        <v>1649</v>
      </c>
      <c r="B1586">
        <v>23</v>
      </c>
      <c r="C1586" t="s">
        <v>50</v>
      </c>
      <c r="D1586" t="s">
        <v>60</v>
      </c>
      <c r="E1586">
        <v>1227</v>
      </c>
      <c r="F1586">
        <v>37</v>
      </c>
      <c r="G1586">
        <v>2</v>
      </c>
      <c r="H1586">
        <v>6647.21</v>
      </c>
      <c r="I1586">
        <v>12820.3</v>
      </c>
      <c r="J1586">
        <v>16</v>
      </c>
      <c r="K1586">
        <v>0</v>
      </c>
      <c r="L1586">
        <v>5.1</v>
      </c>
      <c r="M1586">
        <v>24.8</v>
      </c>
      <c r="N1586" t="s">
        <v>63</v>
      </c>
      <c r="O1586" t="s">
        <v>53</v>
      </c>
      <c r="P1586" t="s">
        <v>48</v>
      </c>
      <c r="R1586">
        <f>SUMIF(A1586:A6585,"C01585",I1586:I6585)</f>
        <v>12820.3</v>
      </c>
      <c r="S1586" s="1">
        <v>18574.04</v>
      </c>
      <c r="T1586">
        <f t="shared" si="175"/>
        <v>801.26875</v>
      </c>
      <c r="U1586">
        <f t="shared" si="178"/>
        <v>396.8</v>
      </c>
      <c r="V1586">
        <f t="shared" si="177"/>
        <v>33.0666666666667</v>
      </c>
      <c r="W1586">
        <f t="shared" si="173"/>
        <v>6489.50333333333</v>
      </c>
      <c r="X1586">
        <f t="shared" si="179"/>
        <v>0.184588722185699</v>
      </c>
      <c r="AH1586" t="str">
        <f t="shared" si="176"/>
        <v>2nd Quality</v>
      </c>
      <c r="AJ1586">
        <f>((T1586-X1586)*2)/5.1</f>
        <v>314.150651481496</v>
      </c>
      <c r="AK1586">
        <f t="shared" si="174"/>
        <v>983156.75625</v>
      </c>
    </row>
    <row r="1587" spans="1:37">
      <c r="A1587" t="s">
        <v>1650</v>
      </c>
      <c r="B1587">
        <v>29</v>
      </c>
      <c r="C1587" t="s">
        <v>44</v>
      </c>
      <c r="D1587" t="s">
        <v>60</v>
      </c>
      <c r="E1587">
        <v>847</v>
      </c>
      <c r="F1587">
        <v>159</v>
      </c>
      <c r="G1587">
        <v>1</v>
      </c>
      <c r="H1587">
        <v>4145.06</v>
      </c>
      <c r="I1587">
        <v>4545.43</v>
      </c>
      <c r="J1587">
        <v>16</v>
      </c>
      <c r="K1587">
        <v>0</v>
      </c>
      <c r="L1587">
        <v>8.7</v>
      </c>
      <c r="M1587">
        <v>61</v>
      </c>
      <c r="N1587" t="s">
        <v>81</v>
      </c>
      <c r="O1587" t="s">
        <v>47</v>
      </c>
      <c r="P1587" t="s">
        <v>66</v>
      </c>
      <c r="R1587">
        <f>SUMIF(A1587:A6586,"C01586",I1587:I6586)</f>
        <v>4545.43</v>
      </c>
      <c r="S1587" s="1">
        <v>69574.88</v>
      </c>
      <c r="T1587">
        <f t="shared" si="175"/>
        <v>284.089375</v>
      </c>
      <c r="U1587">
        <f t="shared" si="178"/>
        <v>976</v>
      </c>
      <c r="V1587">
        <f t="shared" si="177"/>
        <v>81.3333333333333</v>
      </c>
      <c r="W1587">
        <f t="shared" si="173"/>
        <v>2897.16333333333</v>
      </c>
      <c r="X1587">
        <f t="shared" si="179"/>
        <v>0.204339623551891</v>
      </c>
      <c r="AH1587" t="str">
        <f t="shared" si="176"/>
        <v>3rd Quality</v>
      </c>
      <c r="AJ1587">
        <f>((T1587-X1587)*2)/8.7</f>
        <v>65.2609276727467</v>
      </c>
      <c r="AK1587">
        <f t="shared" si="174"/>
        <v>240623.700625</v>
      </c>
    </row>
    <row r="1588" spans="1:37">
      <c r="A1588" t="s">
        <v>1651</v>
      </c>
      <c r="B1588">
        <v>49</v>
      </c>
      <c r="C1588" t="s">
        <v>50</v>
      </c>
      <c r="D1588" t="s">
        <v>60</v>
      </c>
      <c r="E1588">
        <v>701</v>
      </c>
      <c r="F1588">
        <v>50</v>
      </c>
      <c r="G1588">
        <v>8</v>
      </c>
      <c r="H1588">
        <v>2125.4</v>
      </c>
      <c r="I1588">
        <v>18574.04</v>
      </c>
      <c r="J1588">
        <v>56</v>
      </c>
      <c r="K1588">
        <v>0</v>
      </c>
      <c r="L1588">
        <v>25.6</v>
      </c>
      <c r="M1588">
        <v>12.2</v>
      </c>
      <c r="N1588" t="s">
        <v>63</v>
      </c>
      <c r="O1588" t="s">
        <v>75</v>
      </c>
      <c r="P1588" t="s">
        <v>48</v>
      </c>
      <c r="R1588">
        <f>SUMIF(A1588:A6587,"C01587",I1588:I6587)</f>
        <v>18574.04</v>
      </c>
      <c r="S1588" s="1">
        <v>14684.1</v>
      </c>
      <c r="T1588">
        <f t="shared" si="175"/>
        <v>331.679285714286</v>
      </c>
      <c r="U1588">
        <f t="shared" si="178"/>
        <v>683.2</v>
      </c>
      <c r="V1588">
        <f t="shared" si="177"/>
        <v>56.9333333333333</v>
      </c>
      <c r="W1588">
        <f t="shared" si="173"/>
        <v>6900.14666666667</v>
      </c>
      <c r="X1588">
        <f t="shared" si="179"/>
        <v>0.329820269125812</v>
      </c>
      <c r="AH1588" t="str">
        <f t="shared" si="176"/>
        <v>3rd Quality</v>
      </c>
      <c r="AJ1588">
        <f>((T1588-X1588)*2)/25.6</f>
        <v>25.8866769879031</v>
      </c>
      <c r="AK1588">
        <f t="shared" si="174"/>
        <v>232507.179285714</v>
      </c>
    </row>
    <row r="1589" spans="1:37">
      <c r="A1589" t="s">
        <v>1652</v>
      </c>
      <c r="B1589">
        <v>55</v>
      </c>
      <c r="C1589" t="s">
        <v>44</v>
      </c>
      <c r="D1589" t="s">
        <v>45</v>
      </c>
      <c r="E1589">
        <v>915</v>
      </c>
      <c r="F1589">
        <v>51</v>
      </c>
      <c r="G1589">
        <v>6</v>
      </c>
      <c r="H1589">
        <v>10665.47</v>
      </c>
      <c r="I1589">
        <v>69574.88</v>
      </c>
      <c r="J1589">
        <v>53</v>
      </c>
      <c r="K1589">
        <v>0</v>
      </c>
      <c r="L1589">
        <v>10.1</v>
      </c>
      <c r="M1589">
        <v>33</v>
      </c>
      <c r="N1589" t="s">
        <v>46</v>
      </c>
      <c r="O1589" t="s">
        <v>75</v>
      </c>
      <c r="P1589" t="s">
        <v>58</v>
      </c>
      <c r="R1589">
        <f>SUMIF(A1589:A6588,"C01588",I1589:I6588)</f>
        <v>69574.88</v>
      </c>
      <c r="S1589" s="1">
        <v>56192.13</v>
      </c>
      <c r="T1589">
        <f t="shared" si="175"/>
        <v>1312.73358490566</v>
      </c>
      <c r="U1589">
        <f t="shared" si="178"/>
        <v>1749</v>
      </c>
      <c r="V1589">
        <f t="shared" si="177"/>
        <v>145.75</v>
      </c>
      <c r="W1589">
        <f t="shared" si="173"/>
        <v>26747.1166666667</v>
      </c>
      <c r="X1589">
        <f t="shared" si="179"/>
        <v>0.0857908746637513</v>
      </c>
      <c r="AH1589" t="str">
        <f t="shared" si="176"/>
        <v>3rd Quality</v>
      </c>
      <c r="AJ1589">
        <f>((T1589-X1589)*2)/10.1</f>
        <v>259.930256243762</v>
      </c>
      <c r="AK1589">
        <f t="shared" si="174"/>
        <v>1201151.23018868</v>
      </c>
    </row>
    <row r="1590" spans="1:37">
      <c r="A1590" t="s">
        <v>1653</v>
      </c>
      <c r="B1590">
        <v>43</v>
      </c>
      <c r="C1590" t="s">
        <v>50</v>
      </c>
      <c r="D1590" t="s">
        <v>60</v>
      </c>
      <c r="E1590">
        <v>619</v>
      </c>
      <c r="F1590">
        <v>81</v>
      </c>
      <c r="G1590">
        <v>8</v>
      </c>
      <c r="H1590">
        <v>1971.87</v>
      </c>
      <c r="I1590">
        <v>14684.1</v>
      </c>
      <c r="J1590">
        <v>39</v>
      </c>
      <c r="K1590">
        <v>0</v>
      </c>
      <c r="L1590">
        <v>21.2</v>
      </c>
      <c r="M1590">
        <v>40.2</v>
      </c>
      <c r="N1590" t="s">
        <v>52</v>
      </c>
      <c r="O1590" t="s">
        <v>53</v>
      </c>
      <c r="P1590" t="s">
        <v>66</v>
      </c>
      <c r="R1590">
        <f>SUMIF(A1590:A6589,"C01589",I1590:I6589)</f>
        <v>14684.1</v>
      </c>
      <c r="S1590" s="1">
        <v>58364.19</v>
      </c>
      <c r="T1590">
        <f t="shared" si="175"/>
        <v>376.515384615385</v>
      </c>
      <c r="U1590">
        <f t="shared" si="178"/>
        <v>1567.8</v>
      </c>
      <c r="V1590">
        <f t="shared" si="177"/>
        <v>130.65</v>
      </c>
      <c r="W1590">
        <f t="shared" si="173"/>
        <v>5552.32333333333</v>
      </c>
      <c r="X1590">
        <f t="shared" si="179"/>
        <v>0.313915217534625</v>
      </c>
      <c r="AH1590" t="str">
        <f t="shared" si="176"/>
        <v>3rd Quality</v>
      </c>
      <c r="AJ1590">
        <f>((T1590-X1590)*2)/21.2</f>
        <v>35.4907046601746</v>
      </c>
      <c r="AK1590">
        <f t="shared" si="174"/>
        <v>233063.023076923</v>
      </c>
    </row>
    <row r="1591" spans="1:37">
      <c r="A1591" t="s">
        <v>1654</v>
      </c>
      <c r="B1591">
        <v>28</v>
      </c>
      <c r="C1591" t="s">
        <v>44</v>
      </c>
      <c r="D1591" t="s">
        <v>45</v>
      </c>
      <c r="E1591">
        <v>705</v>
      </c>
      <c r="F1591">
        <v>28</v>
      </c>
      <c r="G1591">
        <v>22</v>
      </c>
      <c r="H1591">
        <v>2654.6</v>
      </c>
      <c r="I1591">
        <v>56192.13</v>
      </c>
      <c r="J1591">
        <v>140</v>
      </c>
      <c r="K1591">
        <v>0</v>
      </c>
      <c r="L1591">
        <v>2.2</v>
      </c>
      <c r="M1591">
        <v>45</v>
      </c>
      <c r="N1591" t="s">
        <v>46</v>
      </c>
      <c r="O1591" t="s">
        <v>75</v>
      </c>
      <c r="P1591" t="s">
        <v>68</v>
      </c>
      <c r="R1591">
        <f>SUMIF(A1591:A6590,"C01590",I1591:I6590)</f>
        <v>56192.13</v>
      </c>
      <c r="S1591" s="1">
        <v>27147.66</v>
      </c>
      <c r="T1591">
        <f t="shared" si="175"/>
        <v>401.372357142857</v>
      </c>
      <c r="U1591">
        <f t="shared" si="178"/>
        <v>6300</v>
      </c>
      <c r="V1591">
        <f t="shared" si="177"/>
        <v>525</v>
      </c>
      <c r="W1591">
        <f t="shared" si="173"/>
        <v>19615.91</v>
      </c>
      <c r="X1591">
        <f t="shared" si="179"/>
        <v>0.265576734724629</v>
      </c>
      <c r="AH1591" t="str">
        <f t="shared" si="176"/>
        <v>2nd Quality</v>
      </c>
      <c r="AJ1591">
        <f>((T1591-X1591)*2)/2.2</f>
        <v>364.642527643757</v>
      </c>
      <c r="AK1591">
        <f t="shared" si="174"/>
        <v>282967.511785714</v>
      </c>
    </row>
    <row r="1592" spans="1:37">
      <c r="A1592" t="s">
        <v>1655</v>
      </c>
      <c r="B1592">
        <v>53</v>
      </c>
      <c r="C1592" t="s">
        <v>50</v>
      </c>
      <c r="D1592" t="s">
        <v>60</v>
      </c>
      <c r="E1592">
        <v>1254</v>
      </c>
      <c r="F1592">
        <v>13</v>
      </c>
      <c r="G1592">
        <v>28</v>
      </c>
      <c r="H1592">
        <v>2100.4</v>
      </c>
      <c r="I1592">
        <v>58364.19</v>
      </c>
      <c r="J1592">
        <v>94</v>
      </c>
      <c r="K1592">
        <v>1</v>
      </c>
      <c r="L1592">
        <v>9.6</v>
      </c>
      <c r="M1592">
        <v>40.2</v>
      </c>
      <c r="N1592" t="s">
        <v>61</v>
      </c>
      <c r="O1592" t="s">
        <v>47</v>
      </c>
      <c r="P1592" t="s">
        <v>58</v>
      </c>
      <c r="R1592">
        <f>SUMIF(A1592:A6591,"C01591",I1592:I6591)</f>
        <v>58364.19</v>
      </c>
      <c r="S1592" s="1">
        <v>1577.61</v>
      </c>
      <c r="T1592">
        <f t="shared" si="175"/>
        <v>620.895638297872</v>
      </c>
      <c r="U1592">
        <f t="shared" si="178"/>
        <v>3778.8</v>
      </c>
      <c r="V1592">
        <f>U1592</f>
        <v>3778.8</v>
      </c>
      <c r="W1592">
        <f t="shared" si="173"/>
        <v>20155.1966666667</v>
      </c>
      <c r="X1592">
        <f t="shared" si="179"/>
        <v>0.59702913730718</v>
      </c>
      <c r="AH1592" t="str">
        <f t="shared" si="176"/>
        <v>3rd Quality</v>
      </c>
      <c r="AJ1592">
        <f>((T1592-X1592)*2)/9.6</f>
        <v>129.228876908451</v>
      </c>
      <c r="AK1592">
        <f t="shared" si="174"/>
        <v>778603.130425532</v>
      </c>
    </row>
    <row r="1593" spans="1:37">
      <c r="A1593" t="s">
        <v>1656</v>
      </c>
      <c r="B1593">
        <v>40</v>
      </c>
      <c r="C1593" t="s">
        <v>50</v>
      </c>
      <c r="D1593" t="s">
        <v>60</v>
      </c>
      <c r="E1593">
        <v>1198</v>
      </c>
      <c r="F1593">
        <v>23</v>
      </c>
      <c r="G1593">
        <v>20</v>
      </c>
      <c r="H1593">
        <v>1380.04</v>
      </c>
      <c r="I1593">
        <v>27147.66</v>
      </c>
      <c r="J1593">
        <v>169</v>
      </c>
      <c r="K1593">
        <v>2</v>
      </c>
      <c r="L1593">
        <v>10.2</v>
      </c>
      <c r="M1593">
        <v>57</v>
      </c>
      <c r="N1593" t="s">
        <v>52</v>
      </c>
      <c r="O1593" t="s">
        <v>47</v>
      </c>
      <c r="P1593" t="s">
        <v>58</v>
      </c>
      <c r="R1593">
        <f>SUMIF(A1593:A6592,"C01592",I1593:I6592)</f>
        <v>27147.66</v>
      </c>
      <c r="S1593" s="1">
        <v>15199.13</v>
      </c>
      <c r="T1593">
        <f t="shared" si="175"/>
        <v>160.637041420118</v>
      </c>
      <c r="U1593">
        <f t="shared" si="178"/>
        <v>9633</v>
      </c>
      <c r="V1593">
        <f>U1593</f>
        <v>9633</v>
      </c>
      <c r="W1593">
        <f t="shared" si="173"/>
        <v>9509.56666666667</v>
      </c>
      <c r="X1593">
        <f t="shared" si="179"/>
        <v>0.868090779977392</v>
      </c>
      <c r="AH1593" t="str">
        <f t="shared" si="176"/>
        <v>2nd Quality</v>
      </c>
      <c r="AJ1593">
        <f>((T1593-X1593)*2)/10.2</f>
        <v>31.327245223557</v>
      </c>
      <c r="AK1593">
        <f t="shared" si="174"/>
        <v>192443.175621302</v>
      </c>
    </row>
    <row r="1594" spans="1:37">
      <c r="A1594" t="s">
        <v>1657</v>
      </c>
      <c r="B1594">
        <v>30</v>
      </c>
      <c r="C1594" t="s">
        <v>50</v>
      </c>
      <c r="D1594" t="s">
        <v>45</v>
      </c>
      <c r="E1594">
        <v>980</v>
      </c>
      <c r="F1594">
        <v>365</v>
      </c>
      <c r="G1594">
        <v>1</v>
      </c>
      <c r="H1594">
        <v>1754.51</v>
      </c>
      <c r="I1594">
        <v>1577.61</v>
      </c>
      <c r="J1594">
        <v>8</v>
      </c>
      <c r="K1594">
        <v>0</v>
      </c>
      <c r="L1594">
        <v>16.7</v>
      </c>
      <c r="M1594">
        <v>50.7</v>
      </c>
      <c r="N1594" t="s">
        <v>81</v>
      </c>
      <c r="O1594" t="s">
        <v>75</v>
      </c>
      <c r="P1594" t="s">
        <v>66</v>
      </c>
      <c r="R1594">
        <f>SUMIF(A1594:A6593,"C01593",I1594:I6593)</f>
        <v>1577.61</v>
      </c>
      <c r="S1594" s="1">
        <v>1065.29</v>
      </c>
      <c r="T1594">
        <f t="shared" si="175"/>
        <v>197.20125</v>
      </c>
      <c r="U1594">
        <f t="shared" si="178"/>
        <v>405.6</v>
      </c>
      <c r="V1594">
        <f>U1594</f>
        <v>405.6</v>
      </c>
      <c r="W1594">
        <f t="shared" si="173"/>
        <v>1111.04</v>
      </c>
      <c r="X1594">
        <f t="shared" si="179"/>
        <v>0.558560509771959</v>
      </c>
      <c r="AH1594" t="str">
        <f t="shared" si="176"/>
        <v>3rd Quality</v>
      </c>
      <c r="AJ1594">
        <f>((T1594-X1594)*2)/16.7</f>
        <v>23.5500226934405</v>
      </c>
      <c r="AK1594">
        <f t="shared" si="174"/>
        <v>193257.225</v>
      </c>
    </row>
    <row r="1595" spans="1:37">
      <c r="A1595" t="s">
        <v>1658</v>
      </c>
      <c r="B1595">
        <v>27</v>
      </c>
      <c r="C1595" t="s">
        <v>44</v>
      </c>
      <c r="D1595" t="s">
        <v>60</v>
      </c>
      <c r="E1595">
        <v>1337</v>
      </c>
      <c r="F1595">
        <v>51</v>
      </c>
      <c r="G1595">
        <v>13</v>
      </c>
      <c r="H1595">
        <v>1247.33</v>
      </c>
      <c r="I1595">
        <v>15199.13</v>
      </c>
      <c r="J1595">
        <v>97</v>
      </c>
      <c r="K1595">
        <v>3</v>
      </c>
      <c r="L1595">
        <v>14.4</v>
      </c>
      <c r="M1595">
        <v>26.6</v>
      </c>
      <c r="N1595" t="s">
        <v>63</v>
      </c>
      <c r="O1595" t="s">
        <v>75</v>
      </c>
      <c r="P1595" t="s">
        <v>58</v>
      </c>
      <c r="R1595">
        <f>SUMIF(A1595:A6594,"C01594",I1595:I6594)</f>
        <v>15199.13</v>
      </c>
      <c r="S1595" s="1">
        <v>1780.85</v>
      </c>
      <c r="T1595">
        <f t="shared" si="175"/>
        <v>156.69206185567</v>
      </c>
      <c r="U1595">
        <f t="shared" si="178"/>
        <v>2580.2</v>
      </c>
      <c r="V1595">
        <f>U1595</f>
        <v>2580.2</v>
      </c>
      <c r="W1595">
        <f t="shared" si="173"/>
        <v>5482.48666666667</v>
      </c>
      <c r="X1595">
        <f t="shared" si="179"/>
        <v>1.07188955609181</v>
      </c>
      <c r="AH1595" t="str">
        <f t="shared" si="176"/>
        <v>3rd Quality</v>
      </c>
      <c r="AJ1595">
        <f>((T1595-X1595)*2)/14.4</f>
        <v>21.6139128193859</v>
      </c>
      <c r="AK1595">
        <f t="shared" si="174"/>
        <v>209497.286701031</v>
      </c>
    </row>
    <row r="1596" spans="1:37">
      <c r="A1596" t="s">
        <v>1659</v>
      </c>
      <c r="B1596">
        <v>18</v>
      </c>
      <c r="C1596" t="s">
        <v>44</v>
      </c>
      <c r="D1596" t="s">
        <v>45</v>
      </c>
      <c r="E1596">
        <v>540</v>
      </c>
      <c r="F1596">
        <v>92</v>
      </c>
      <c r="G1596">
        <v>1</v>
      </c>
      <c r="H1596">
        <v>1035.42</v>
      </c>
      <c r="I1596">
        <v>1065.29</v>
      </c>
      <c r="J1596">
        <v>14</v>
      </c>
      <c r="K1596">
        <v>0</v>
      </c>
      <c r="L1596">
        <v>30.8</v>
      </c>
      <c r="M1596">
        <v>42</v>
      </c>
      <c r="N1596" t="s">
        <v>61</v>
      </c>
      <c r="O1596" t="s">
        <v>47</v>
      </c>
      <c r="P1596" t="s">
        <v>68</v>
      </c>
      <c r="R1596">
        <f>SUMIF(A1596:A6595,"C01595",I1596:I6595)</f>
        <v>1065.29</v>
      </c>
      <c r="S1596" s="1">
        <v>81552.58</v>
      </c>
      <c r="T1596">
        <f t="shared" si="175"/>
        <v>76.0921428571429</v>
      </c>
      <c r="U1596">
        <f t="shared" si="178"/>
        <v>588</v>
      </c>
      <c r="V1596">
        <f t="shared" si="177"/>
        <v>49</v>
      </c>
      <c r="W1596">
        <f t="shared" si="173"/>
        <v>700.57</v>
      </c>
      <c r="X1596">
        <f t="shared" si="179"/>
        <v>0.521527496088544</v>
      </c>
      <c r="AH1596" t="str">
        <f t="shared" si="176"/>
        <v>3rd Quality</v>
      </c>
      <c r="AJ1596">
        <f>((T1596-X1596)*2)/30.8</f>
        <v>4.90718281565288</v>
      </c>
      <c r="AK1596">
        <f t="shared" si="174"/>
        <v>41089.7571428571</v>
      </c>
    </row>
    <row r="1597" spans="1:37">
      <c r="A1597" t="s">
        <v>1660</v>
      </c>
      <c r="B1597">
        <v>53</v>
      </c>
      <c r="C1597" t="s">
        <v>44</v>
      </c>
      <c r="D1597" t="s">
        <v>60</v>
      </c>
      <c r="E1597">
        <v>1292</v>
      </c>
      <c r="F1597">
        <v>10</v>
      </c>
      <c r="G1597">
        <v>2</v>
      </c>
      <c r="H1597">
        <v>854.23</v>
      </c>
      <c r="I1597">
        <v>1780.85</v>
      </c>
      <c r="J1597">
        <v>22</v>
      </c>
      <c r="K1597">
        <v>1</v>
      </c>
      <c r="L1597">
        <v>30.1</v>
      </c>
      <c r="M1597">
        <v>39.4</v>
      </c>
      <c r="N1597" t="s">
        <v>78</v>
      </c>
      <c r="O1597" t="s">
        <v>47</v>
      </c>
      <c r="P1597" t="s">
        <v>48</v>
      </c>
      <c r="R1597">
        <f>SUMIF(A1597:A6596,"C01596",I1597:I6596)</f>
        <v>1780.85</v>
      </c>
      <c r="S1597" s="1">
        <v>82859.63</v>
      </c>
      <c r="T1597">
        <f t="shared" si="175"/>
        <v>80.9477272727273</v>
      </c>
      <c r="U1597">
        <f t="shared" si="178"/>
        <v>866.8</v>
      </c>
      <c r="V1597">
        <f>U1597</f>
        <v>866.8</v>
      </c>
      <c r="W1597">
        <f t="shared" si="173"/>
        <v>878.693333333333</v>
      </c>
      <c r="X1597">
        <f t="shared" si="179"/>
        <v>1.51247322149772</v>
      </c>
      <c r="AH1597" t="str">
        <f t="shared" si="176"/>
        <v>3rd Quality</v>
      </c>
      <c r="AJ1597">
        <f>((T1597-X1597)*2)/30.1</f>
        <v>5.27808997018137</v>
      </c>
      <c r="AK1597">
        <f t="shared" si="174"/>
        <v>104584.463636364</v>
      </c>
    </row>
    <row r="1598" spans="1:37">
      <c r="A1598" t="s">
        <v>1661</v>
      </c>
      <c r="B1598">
        <v>62</v>
      </c>
      <c r="C1598" t="s">
        <v>44</v>
      </c>
      <c r="D1598" t="s">
        <v>60</v>
      </c>
      <c r="E1598">
        <v>890</v>
      </c>
      <c r="F1598">
        <v>39</v>
      </c>
      <c r="G1598">
        <v>22</v>
      </c>
      <c r="H1598">
        <v>3831.39</v>
      </c>
      <c r="I1598">
        <v>81552.58</v>
      </c>
      <c r="J1598">
        <v>53</v>
      </c>
      <c r="K1598">
        <v>2</v>
      </c>
      <c r="L1598">
        <v>11.9</v>
      </c>
      <c r="M1598">
        <v>26.7</v>
      </c>
      <c r="N1598" t="s">
        <v>57</v>
      </c>
      <c r="O1598" t="s">
        <v>47</v>
      </c>
      <c r="P1598" t="s">
        <v>58</v>
      </c>
      <c r="R1598">
        <f>SUMIF(A1598:A6597,"C01597",I1598:I6597)</f>
        <v>81552.58</v>
      </c>
      <c r="S1598" s="1">
        <v>1494.33</v>
      </c>
      <c r="T1598">
        <f t="shared" si="175"/>
        <v>1538.7279245283</v>
      </c>
      <c r="U1598">
        <f t="shared" si="178"/>
        <v>1415.1</v>
      </c>
      <c r="V1598">
        <f>U1598</f>
        <v>1415.1</v>
      </c>
      <c r="W1598">
        <f t="shared" si="173"/>
        <v>28461.6566666667</v>
      </c>
      <c r="X1598">
        <f t="shared" si="179"/>
        <v>0.232291674822975</v>
      </c>
      <c r="AH1598" t="str">
        <f t="shared" si="176"/>
        <v>3rd Quality</v>
      </c>
      <c r="AJ1598">
        <f>((T1598-X1598)*2)/11.9</f>
        <v>258.570694597223</v>
      </c>
      <c r="AK1598">
        <f t="shared" si="174"/>
        <v>1369467.85283019</v>
      </c>
    </row>
    <row r="1599" spans="1:37">
      <c r="A1599" t="s">
        <v>1662</v>
      </c>
      <c r="B1599">
        <v>33</v>
      </c>
      <c r="C1599" t="s">
        <v>50</v>
      </c>
      <c r="D1599" t="s">
        <v>45</v>
      </c>
      <c r="E1599">
        <v>1061</v>
      </c>
      <c r="F1599">
        <v>11</v>
      </c>
      <c r="G1599">
        <v>20</v>
      </c>
      <c r="H1599">
        <v>4355.17</v>
      </c>
      <c r="I1599">
        <v>82859.63</v>
      </c>
      <c r="J1599">
        <v>49</v>
      </c>
      <c r="K1599">
        <v>1</v>
      </c>
      <c r="L1599">
        <v>8</v>
      </c>
      <c r="M1599">
        <v>81.5</v>
      </c>
      <c r="N1599" t="s">
        <v>78</v>
      </c>
      <c r="O1599" t="s">
        <v>47</v>
      </c>
      <c r="P1599" t="s">
        <v>68</v>
      </c>
      <c r="R1599">
        <f>SUMIF(A1599:A6598,"C01598",I1599:I6598)</f>
        <v>82859.63</v>
      </c>
      <c r="S1599" s="1">
        <v>15614.67</v>
      </c>
      <c r="T1599">
        <f t="shared" si="175"/>
        <v>1691.01285714286</v>
      </c>
      <c r="U1599">
        <f t="shared" si="178"/>
        <v>3993.5</v>
      </c>
      <c r="V1599">
        <f>U1599</f>
        <v>3993.5</v>
      </c>
      <c r="W1599">
        <f t="shared" si="173"/>
        <v>29071.9333333333</v>
      </c>
      <c r="X1599">
        <f t="shared" si="179"/>
        <v>0.243618503984919</v>
      </c>
      <c r="AH1599" t="str">
        <f t="shared" si="176"/>
        <v>1st Quality</v>
      </c>
      <c r="AJ1599">
        <f>((T1599-X1599)*2)/8</f>
        <v>422.692309659719</v>
      </c>
      <c r="AK1599">
        <f t="shared" si="174"/>
        <v>1794164.64142857</v>
      </c>
    </row>
    <row r="1600" spans="1:37">
      <c r="A1600" t="s">
        <v>1663</v>
      </c>
      <c r="B1600">
        <v>41</v>
      </c>
      <c r="C1600" t="s">
        <v>44</v>
      </c>
      <c r="D1600" t="s">
        <v>45</v>
      </c>
      <c r="E1600">
        <v>1283</v>
      </c>
      <c r="F1600">
        <v>65</v>
      </c>
      <c r="G1600">
        <v>3</v>
      </c>
      <c r="H1600">
        <v>488.03</v>
      </c>
      <c r="I1600">
        <v>1494.33</v>
      </c>
      <c r="J1600">
        <v>16</v>
      </c>
      <c r="K1600">
        <v>0</v>
      </c>
      <c r="L1600">
        <v>38</v>
      </c>
      <c r="M1600">
        <v>15.7</v>
      </c>
      <c r="N1600" t="s">
        <v>63</v>
      </c>
      <c r="O1600" t="s">
        <v>47</v>
      </c>
      <c r="P1600" t="s">
        <v>68</v>
      </c>
      <c r="R1600">
        <f>SUMIF(A1600:A6599,"C01599",I1600:I6599)</f>
        <v>1494.33</v>
      </c>
      <c r="S1600" s="1">
        <v>1530.39</v>
      </c>
      <c r="T1600">
        <f t="shared" si="175"/>
        <v>93.395625</v>
      </c>
      <c r="U1600">
        <f t="shared" si="178"/>
        <v>251.2</v>
      </c>
      <c r="V1600">
        <f t="shared" si="177"/>
        <v>20.9333333333333</v>
      </c>
      <c r="W1600">
        <f t="shared" si="173"/>
        <v>661.12</v>
      </c>
      <c r="X1600">
        <f t="shared" si="179"/>
        <v>2.62893674569186</v>
      </c>
      <c r="AH1600" t="str">
        <f t="shared" si="176"/>
        <v>3rd Quality</v>
      </c>
      <c r="AJ1600">
        <f>((T1600-X1600)*2)/38</f>
        <v>4.7771941186478</v>
      </c>
      <c r="AK1600">
        <f t="shared" si="174"/>
        <v>119826.586875</v>
      </c>
    </row>
    <row r="1601" spans="1:37">
      <c r="A1601" t="s">
        <v>1664</v>
      </c>
      <c r="B1601">
        <v>33</v>
      </c>
      <c r="C1601" t="s">
        <v>44</v>
      </c>
      <c r="D1601" t="s">
        <v>60</v>
      </c>
      <c r="E1601">
        <v>1236</v>
      </c>
      <c r="F1601">
        <v>25</v>
      </c>
      <c r="G1601">
        <v>8</v>
      </c>
      <c r="H1601">
        <v>1878.15</v>
      </c>
      <c r="I1601">
        <v>15614.67</v>
      </c>
      <c r="J1601">
        <v>76</v>
      </c>
      <c r="K1601">
        <v>0</v>
      </c>
      <c r="L1601">
        <v>22</v>
      </c>
      <c r="M1601">
        <v>48.8</v>
      </c>
      <c r="N1601" t="s">
        <v>63</v>
      </c>
      <c r="O1601" t="s">
        <v>53</v>
      </c>
      <c r="P1601" t="s">
        <v>48</v>
      </c>
      <c r="R1601">
        <f>SUMIF(A1601:A6600,"C01600",I1601:I6600)</f>
        <v>15614.67</v>
      </c>
      <c r="S1601" s="1">
        <v>83725.13</v>
      </c>
      <c r="T1601">
        <f t="shared" si="175"/>
        <v>205.456184210526</v>
      </c>
      <c r="U1601">
        <f t="shared" si="178"/>
        <v>3708.8</v>
      </c>
      <c r="V1601">
        <f t="shared" si="177"/>
        <v>309.066666666667</v>
      </c>
      <c r="W1601">
        <f t="shared" si="173"/>
        <v>5831.27333333333</v>
      </c>
      <c r="X1601">
        <f t="shared" si="179"/>
        <v>0.658094401405638</v>
      </c>
      <c r="AH1601" t="str">
        <f t="shared" si="176"/>
        <v>3rd Quality</v>
      </c>
      <c r="AJ1601">
        <f>((T1601-X1601)*2)/22</f>
        <v>18.6180081644655</v>
      </c>
      <c r="AK1601">
        <f t="shared" si="174"/>
        <v>253943.843684211</v>
      </c>
    </row>
    <row r="1602" spans="1:37">
      <c r="A1602" t="s">
        <v>1665</v>
      </c>
      <c r="B1602">
        <v>36</v>
      </c>
      <c r="C1602" t="s">
        <v>44</v>
      </c>
      <c r="D1602" t="s">
        <v>60</v>
      </c>
      <c r="E1602">
        <v>1450</v>
      </c>
      <c r="F1602">
        <v>355</v>
      </c>
      <c r="G1602">
        <v>1</v>
      </c>
      <c r="H1602">
        <v>1456.63</v>
      </c>
      <c r="I1602">
        <v>1530.39</v>
      </c>
      <c r="J1602">
        <v>14</v>
      </c>
      <c r="K1602">
        <v>0</v>
      </c>
      <c r="L1602">
        <v>26.8</v>
      </c>
      <c r="M1602">
        <v>12.5</v>
      </c>
      <c r="N1602" t="s">
        <v>81</v>
      </c>
      <c r="O1602" t="s">
        <v>47</v>
      </c>
      <c r="P1602" t="s">
        <v>66</v>
      </c>
      <c r="R1602">
        <f>SUMIF(A1602:A6601,"C01601",I1602:I6601)</f>
        <v>1530.39</v>
      </c>
      <c r="S1602" s="1">
        <v>2557.43</v>
      </c>
      <c r="T1602">
        <f t="shared" si="175"/>
        <v>109.313571428571</v>
      </c>
      <c r="U1602">
        <f t="shared" si="178"/>
        <v>175</v>
      </c>
      <c r="V1602">
        <f t="shared" si="177"/>
        <v>14.5833333333333</v>
      </c>
      <c r="W1602">
        <f t="shared" si="173"/>
        <v>996.006666666667</v>
      </c>
      <c r="X1602">
        <f t="shared" si="179"/>
        <v>0.995448398014595</v>
      </c>
      <c r="AH1602" t="str">
        <f t="shared" si="176"/>
        <v>3rd Quality</v>
      </c>
      <c r="AJ1602">
        <f>((T1602-X1602)*2)/26.8</f>
        <v>8.0834420172057</v>
      </c>
      <c r="AK1602">
        <f t="shared" si="174"/>
        <v>158504.678571429</v>
      </c>
    </row>
    <row r="1603" spans="1:37">
      <c r="A1603" t="s">
        <v>1666</v>
      </c>
      <c r="B1603">
        <v>22</v>
      </c>
      <c r="C1603" t="s">
        <v>44</v>
      </c>
      <c r="D1603" t="s">
        <v>60</v>
      </c>
      <c r="E1603">
        <v>623</v>
      </c>
      <c r="F1603">
        <v>3</v>
      </c>
      <c r="G1603">
        <v>20</v>
      </c>
      <c r="H1603">
        <v>3895.53</v>
      </c>
      <c r="I1603">
        <v>83725.13</v>
      </c>
      <c r="J1603">
        <v>165</v>
      </c>
      <c r="K1603">
        <v>0</v>
      </c>
      <c r="L1603">
        <v>10.6</v>
      </c>
      <c r="M1603">
        <v>29.9</v>
      </c>
      <c r="N1603" t="s">
        <v>57</v>
      </c>
      <c r="O1603" t="s">
        <v>53</v>
      </c>
      <c r="P1603" t="s">
        <v>48</v>
      </c>
      <c r="R1603">
        <f>SUMIF(A1603:A6602,"C01602",I1603:I6602)</f>
        <v>83725.13</v>
      </c>
      <c r="S1603" s="1">
        <v>2440.45</v>
      </c>
      <c r="T1603">
        <f t="shared" si="175"/>
        <v>507.42503030303</v>
      </c>
      <c r="U1603">
        <f t="shared" si="178"/>
        <v>4933.5</v>
      </c>
      <c r="V1603">
        <f t="shared" si="177"/>
        <v>411.125</v>
      </c>
      <c r="W1603">
        <f t="shared" ref="W1603:W1666" si="180">(H1603+I1603+1)/3</f>
        <v>29207.22</v>
      </c>
      <c r="X1603">
        <f t="shared" si="179"/>
        <v>0.159926890564313</v>
      </c>
      <c r="AH1603" t="str">
        <f t="shared" si="176"/>
        <v>2nd Quality</v>
      </c>
      <c r="AJ1603">
        <f>((T1603-X1603)*2)/10.6</f>
        <v>95.7103968702766</v>
      </c>
      <c r="AK1603">
        <f t="shared" ref="AK1603:AK1666" si="181">I1603/J1603*E1603</f>
        <v>316125.793878788</v>
      </c>
    </row>
    <row r="1604" spans="1:37">
      <c r="A1604" t="s">
        <v>1667</v>
      </c>
      <c r="B1604">
        <v>39</v>
      </c>
      <c r="C1604" t="s">
        <v>44</v>
      </c>
      <c r="D1604" t="s">
        <v>60</v>
      </c>
      <c r="E1604">
        <v>554</v>
      </c>
      <c r="F1604">
        <v>244</v>
      </c>
      <c r="G1604">
        <v>2</v>
      </c>
      <c r="H1604">
        <v>1253.48</v>
      </c>
      <c r="I1604">
        <v>2557.43</v>
      </c>
      <c r="J1604">
        <v>20</v>
      </c>
      <c r="K1604">
        <v>0</v>
      </c>
      <c r="L1604">
        <v>20.9</v>
      </c>
      <c r="M1604">
        <v>4.6</v>
      </c>
      <c r="N1604" t="s">
        <v>78</v>
      </c>
      <c r="O1604" t="s">
        <v>47</v>
      </c>
      <c r="P1604" t="s">
        <v>48</v>
      </c>
      <c r="R1604">
        <f>SUMIF(A1604:A6603,"C01603",I1604:I6603)</f>
        <v>2557.43</v>
      </c>
      <c r="S1604" s="1">
        <v>9563.03</v>
      </c>
      <c r="T1604">
        <f t="shared" si="175"/>
        <v>127.8715</v>
      </c>
      <c r="U1604">
        <f t="shared" si="178"/>
        <v>92</v>
      </c>
      <c r="V1604">
        <f t="shared" si="177"/>
        <v>7.66666666666667</v>
      </c>
      <c r="W1604">
        <f t="shared" si="180"/>
        <v>1270.63666666667</v>
      </c>
      <c r="X1604">
        <f t="shared" si="179"/>
        <v>0.441969556753997</v>
      </c>
      <c r="AH1604" t="str">
        <f t="shared" si="176"/>
        <v>3rd Quality</v>
      </c>
      <c r="AJ1604">
        <f>((T1604-X1604)*2)/20.9</f>
        <v>12.1942134395451</v>
      </c>
      <c r="AK1604">
        <f t="shared" si="181"/>
        <v>70840.811</v>
      </c>
    </row>
    <row r="1605" spans="1:37">
      <c r="A1605" t="s">
        <v>1668</v>
      </c>
      <c r="B1605">
        <v>55</v>
      </c>
      <c r="C1605" t="s">
        <v>50</v>
      </c>
      <c r="D1605" t="s">
        <v>60</v>
      </c>
      <c r="E1605">
        <v>398</v>
      </c>
      <c r="F1605">
        <v>122</v>
      </c>
      <c r="G1605">
        <v>2</v>
      </c>
      <c r="H1605">
        <v>1256.76</v>
      </c>
      <c r="I1605">
        <v>2440.45</v>
      </c>
      <c r="J1605">
        <v>17</v>
      </c>
      <c r="K1605">
        <v>0</v>
      </c>
      <c r="L1605">
        <v>34.9</v>
      </c>
      <c r="M1605">
        <v>13.9</v>
      </c>
      <c r="N1605" t="s">
        <v>52</v>
      </c>
      <c r="O1605" t="s">
        <v>47</v>
      </c>
      <c r="P1605" t="s">
        <v>58</v>
      </c>
      <c r="R1605">
        <f>SUMIF(A1605:A6604,"C01604",I1605:I6604)</f>
        <v>2440.45</v>
      </c>
      <c r="S1605" s="1">
        <v>2566.54</v>
      </c>
      <c r="T1605">
        <f t="shared" si="175"/>
        <v>143.555882352941</v>
      </c>
      <c r="U1605">
        <f t="shared" si="178"/>
        <v>236.3</v>
      </c>
      <c r="V1605">
        <f t="shared" si="177"/>
        <v>19.6916666666667</v>
      </c>
      <c r="W1605">
        <f t="shared" si="180"/>
        <v>1232.73666666667</v>
      </c>
      <c r="X1605">
        <f t="shared" si="179"/>
        <v>0.316687354785321</v>
      </c>
      <c r="AH1605" t="str">
        <f t="shared" si="176"/>
        <v>3rd Quality</v>
      </c>
      <c r="AJ1605">
        <f>((T1605-X1605)*2)/34.9</f>
        <v>8.20854985662783</v>
      </c>
      <c r="AK1605">
        <f t="shared" si="181"/>
        <v>57135.2411764706</v>
      </c>
    </row>
    <row r="1606" spans="1:37">
      <c r="A1606" t="s">
        <v>1669</v>
      </c>
      <c r="B1606">
        <v>33</v>
      </c>
      <c r="C1606" t="s">
        <v>50</v>
      </c>
      <c r="D1606" t="s">
        <v>45</v>
      </c>
      <c r="E1606">
        <v>1103</v>
      </c>
      <c r="F1606">
        <v>20</v>
      </c>
      <c r="G1606">
        <v>7</v>
      </c>
      <c r="H1606">
        <v>1417.91</v>
      </c>
      <c r="I1606">
        <v>9563.03</v>
      </c>
      <c r="J1606">
        <v>42</v>
      </c>
      <c r="K1606">
        <v>1</v>
      </c>
      <c r="L1606">
        <v>19.5</v>
      </c>
      <c r="M1606">
        <v>22.1</v>
      </c>
      <c r="N1606" t="s">
        <v>81</v>
      </c>
      <c r="O1606" t="s">
        <v>47</v>
      </c>
      <c r="P1606" t="s">
        <v>58</v>
      </c>
      <c r="R1606">
        <f>SUMIF(A1606:A6605,"C01605",I1606:I6605)</f>
        <v>9563.03</v>
      </c>
      <c r="S1606" s="1">
        <v>2337.96</v>
      </c>
      <c r="T1606">
        <f t="shared" si="175"/>
        <v>227.69119047619</v>
      </c>
      <c r="U1606">
        <f t="shared" si="178"/>
        <v>928.2</v>
      </c>
      <c r="V1606">
        <f>U1606</f>
        <v>928.2</v>
      </c>
      <c r="W1606">
        <f t="shared" si="180"/>
        <v>3660.64666666667</v>
      </c>
      <c r="X1606">
        <f t="shared" si="179"/>
        <v>0.777905508812266</v>
      </c>
      <c r="AH1606" t="str">
        <f t="shared" si="176"/>
        <v>3rd Quality</v>
      </c>
      <c r="AJ1606">
        <f>((T1606-X1606)*2)/19.5</f>
        <v>23.2731574325516</v>
      </c>
      <c r="AK1606">
        <f t="shared" si="181"/>
        <v>251143.383095238</v>
      </c>
    </row>
    <row r="1607" spans="1:37">
      <c r="A1607" t="s">
        <v>1670</v>
      </c>
      <c r="B1607">
        <v>30</v>
      </c>
      <c r="C1607" t="s">
        <v>44</v>
      </c>
      <c r="D1607" t="s">
        <v>45</v>
      </c>
      <c r="E1607">
        <v>930</v>
      </c>
      <c r="F1607">
        <v>55</v>
      </c>
      <c r="G1607">
        <v>2</v>
      </c>
      <c r="H1607">
        <v>1444.73</v>
      </c>
      <c r="I1607">
        <v>2566.54</v>
      </c>
      <c r="J1607">
        <v>30</v>
      </c>
      <c r="K1607">
        <v>0</v>
      </c>
      <c r="L1607">
        <v>18.9</v>
      </c>
      <c r="M1607">
        <v>24.5</v>
      </c>
      <c r="N1607" t="s">
        <v>63</v>
      </c>
      <c r="O1607" t="s">
        <v>47</v>
      </c>
      <c r="P1607" t="s">
        <v>48</v>
      </c>
      <c r="R1607">
        <f>SUMIF(A1607:A6606,"C01606",I1607:I6606)</f>
        <v>2566.54</v>
      </c>
      <c r="S1607" s="1">
        <v>10798.6</v>
      </c>
      <c r="T1607">
        <f t="shared" si="175"/>
        <v>85.5513333333333</v>
      </c>
      <c r="U1607">
        <f t="shared" si="178"/>
        <v>735</v>
      </c>
      <c r="V1607">
        <f t="shared" si="177"/>
        <v>61.25</v>
      </c>
      <c r="W1607">
        <f t="shared" si="180"/>
        <v>1337.42333333333</v>
      </c>
      <c r="X1607">
        <f t="shared" si="179"/>
        <v>0.643718895572183</v>
      </c>
      <c r="AH1607" t="str">
        <f t="shared" si="176"/>
        <v>3rd Quality</v>
      </c>
      <c r="AJ1607">
        <f>((T1607-X1607)*2)/18.9</f>
        <v>8.98493274473663</v>
      </c>
      <c r="AK1607">
        <f t="shared" si="181"/>
        <v>79562.74</v>
      </c>
    </row>
    <row r="1608" spans="1:37">
      <c r="A1608" t="s">
        <v>1671</v>
      </c>
      <c r="B1608">
        <v>46</v>
      </c>
      <c r="C1608" t="s">
        <v>44</v>
      </c>
      <c r="D1608" t="s">
        <v>51</v>
      </c>
      <c r="E1608">
        <v>1096</v>
      </c>
      <c r="F1608">
        <v>365</v>
      </c>
      <c r="G1608">
        <v>1</v>
      </c>
      <c r="H1608">
        <v>2385.85</v>
      </c>
      <c r="I1608">
        <v>2337.96</v>
      </c>
      <c r="J1608">
        <v>12</v>
      </c>
      <c r="K1608">
        <v>0</v>
      </c>
      <c r="L1608">
        <v>24.3</v>
      </c>
      <c r="M1608">
        <v>40.2</v>
      </c>
      <c r="N1608" t="s">
        <v>52</v>
      </c>
      <c r="O1608" t="s">
        <v>53</v>
      </c>
      <c r="P1608" t="s">
        <v>58</v>
      </c>
      <c r="R1608">
        <f>SUMIF(A1608:A6607,"C01607",I1608:I6607)</f>
        <v>2337.96</v>
      </c>
      <c r="S1608" s="1">
        <v>11630.06</v>
      </c>
      <c r="T1608">
        <f t="shared" si="175"/>
        <v>194.83</v>
      </c>
      <c r="U1608">
        <f t="shared" si="178"/>
        <v>482.4</v>
      </c>
      <c r="V1608">
        <f t="shared" si="177"/>
        <v>40.2</v>
      </c>
      <c r="W1608">
        <f t="shared" si="180"/>
        <v>1574.93666666667</v>
      </c>
      <c r="X1608">
        <f t="shared" si="179"/>
        <v>0.459375065490287</v>
      </c>
      <c r="AH1608" t="str">
        <f t="shared" si="176"/>
        <v>3rd Quality</v>
      </c>
      <c r="AJ1608">
        <f>((T1608-X1608)*2)/24.3</f>
        <v>15.9975822991366</v>
      </c>
      <c r="AK1608">
        <f t="shared" si="181"/>
        <v>213533.68</v>
      </c>
    </row>
    <row r="1609" spans="1:37">
      <c r="A1609" t="s">
        <v>1672</v>
      </c>
      <c r="B1609">
        <v>26</v>
      </c>
      <c r="C1609" t="s">
        <v>50</v>
      </c>
      <c r="D1609" t="s">
        <v>51</v>
      </c>
      <c r="E1609">
        <v>817</v>
      </c>
      <c r="F1609">
        <v>19</v>
      </c>
      <c r="G1609">
        <v>13</v>
      </c>
      <c r="H1609">
        <v>763.12</v>
      </c>
      <c r="I1609">
        <v>10798.6</v>
      </c>
      <c r="J1609">
        <v>68</v>
      </c>
      <c r="K1609">
        <v>2</v>
      </c>
      <c r="L1609">
        <v>13.3</v>
      </c>
      <c r="M1609">
        <v>13.8</v>
      </c>
      <c r="N1609" t="s">
        <v>46</v>
      </c>
      <c r="O1609" t="s">
        <v>47</v>
      </c>
      <c r="P1609" t="s">
        <v>66</v>
      </c>
      <c r="R1609">
        <f>SUMIF(A1609:A6608,"C01608",I1609:I6608)</f>
        <v>10798.6</v>
      </c>
      <c r="S1609" s="1">
        <v>9929.58</v>
      </c>
      <c r="T1609">
        <f t="shared" si="175"/>
        <v>158.802941176471</v>
      </c>
      <c r="U1609">
        <f t="shared" si="178"/>
        <v>938.4</v>
      </c>
      <c r="V1609">
        <f>U1609</f>
        <v>938.4</v>
      </c>
      <c r="W1609">
        <f t="shared" si="180"/>
        <v>3854.24</v>
      </c>
      <c r="X1609">
        <f t="shared" si="179"/>
        <v>1.07060488520809</v>
      </c>
      <c r="AH1609" t="str">
        <f t="shared" si="176"/>
        <v>3rd Quality</v>
      </c>
      <c r="AJ1609">
        <f>((T1609-X1609)*2)/13.3</f>
        <v>23.7191483144756</v>
      </c>
      <c r="AK1609">
        <f t="shared" si="181"/>
        <v>129742.002941176</v>
      </c>
    </row>
    <row r="1610" spans="1:37">
      <c r="A1610" t="s">
        <v>1673</v>
      </c>
      <c r="B1610">
        <v>31</v>
      </c>
      <c r="C1610" t="s">
        <v>44</v>
      </c>
      <c r="D1610" t="s">
        <v>60</v>
      </c>
      <c r="E1610">
        <v>751</v>
      </c>
      <c r="F1610">
        <v>53</v>
      </c>
      <c r="G1610">
        <v>12</v>
      </c>
      <c r="H1610">
        <v>940.36</v>
      </c>
      <c r="I1610">
        <v>11630.06</v>
      </c>
      <c r="J1610">
        <v>55</v>
      </c>
      <c r="K1610">
        <v>2</v>
      </c>
      <c r="L1610">
        <v>9.7</v>
      </c>
      <c r="M1610">
        <v>16.9</v>
      </c>
      <c r="N1610" t="s">
        <v>52</v>
      </c>
      <c r="O1610" t="s">
        <v>47</v>
      </c>
      <c r="P1610" t="s">
        <v>68</v>
      </c>
      <c r="R1610">
        <f>SUMIF(A1610:A6609,"C01609",I1610:I6609)</f>
        <v>11630.06</v>
      </c>
      <c r="S1610" s="1">
        <v>6836.53</v>
      </c>
      <c r="T1610">
        <f t="shared" si="175"/>
        <v>211.455636363636</v>
      </c>
      <c r="U1610">
        <f t="shared" si="178"/>
        <v>929.5</v>
      </c>
      <c r="V1610">
        <f>U1610</f>
        <v>929.5</v>
      </c>
      <c r="W1610">
        <f t="shared" si="180"/>
        <v>4190.47333333333</v>
      </c>
      <c r="X1610">
        <f t="shared" si="179"/>
        <v>0.798630311795483</v>
      </c>
      <c r="AH1610" t="str">
        <f t="shared" si="176"/>
        <v>3rd Quality</v>
      </c>
      <c r="AJ1610">
        <f>((T1610-X1610)*2)/9.7</f>
        <v>43.4344342374929</v>
      </c>
      <c r="AK1610">
        <f t="shared" si="181"/>
        <v>158803.182909091</v>
      </c>
    </row>
    <row r="1611" spans="1:37">
      <c r="A1611" t="s">
        <v>1674</v>
      </c>
      <c r="B1611">
        <v>30</v>
      </c>
      <c r="C1611" t="s">
        <v>44</v>
      </c>
      <c r="D1611" t="s">
        <v>45</v>
      </c>
      <c r="E1611">
        <v>1331</v>
      </c>
      <c r="F1611">
        <v>27</v>
      </c>
      <c r="G1611">
        <v>8</v>
      </c>
      <c r="H1611">
        <v>1214.08</v>
      </c>
      <c r="I1611">
        <v>9929.58</v>
      </c>
      <c r="J1611">
        <v>48</v>
      </c>
      <c r="K1611">
        <v>0</v>
      </c>
      <c r="L1611">
        <v>20.5</v>
      </c>
      <c r="M1611">
        <v>39.2</v>
      </c>
      <c r="N1611" t="s">
        <v>78</v>
      </c>
      <c r="O1611" t="s">
        <v>47</v>
      </c>
      <c r="P1611" t="s">
        <v>58</v>
      </c>
      <c r="R1611">
        <f>SUMIF(A1611:A6610,"C01610",I1611:I6610)</f>
        <v>9929.58</v>
      </c>
      <c r="S1611" s="1">
        <v>784.29</v>
      </c>
      <c r="T1611">
        <f t="shared" si="175"/>
        <v>206.86625</v>
      </c>
      <c r="U1611">
        <f t="shared" si="178"/>
        <v>1881.6</v>
      </c>
      <c r="V1611">
        <f t="shared" si="177"/>
        <v>156.8</v>
      </c>
      <c r="W1611">
        <f t="shared" si="180"/>
        <v>3714.88666666667</v>
      </c>
      <c r="X1611">
        <f t="shared" si="179"/>
        <v>1.09630337374802</v>
      </c>
      <c r="AH1611" t="str">
        <f t="shared" si="176"/>
        <v>3rd Quality</v>
      </c>
      <c r="AJ1611">
        <f>((T1611-X1611)*2)/20.5</f>
        <v>20.0751167440246</v>
      </c>
      <c r="AK1611">
        <f t="shared" si="181"/>
        <v>275338.97875</v>
      </c>
    </row>
    <row r="1612" spans="1:37">
      <c r="A1612" t="s">
        <v>1675</v>
      </c>
      <c r="B1612">
        <v>28</v>
      </c>
      <c r="C1612" t="s">
        <v>50</v>
      </c>
      <c r="D1612" t="s">
        <v>45</v>
      </c>
      <c r="E1612">
        <v>568</v>
      </c>
      <c r="F1612">
        <v>27</v>
      </c>
      <c r="G1612">
        <v>9</v>
      </c>
      <c r="H1612">
        <v>813.54</v>
      </c>
      <c r="I1612">
        <v>6836.53</v>
      </c>
      <c r="J1612">
        <v>61</v>
      </c>
      <c r="K1612">
        <v>1</v>
      </c>
      <c r="L1612">
        <v>24.1</v>
      </c>
      <c r="M1612">
        <v>24.2</v>
      </c>
      <c r="N1612" t="s">
        <v>46</v>
      </c>
      <c r="O1612" t="s">
        <v>47</v>
      </c>
      <c r="P1612" t="s">
        <v>58</v>
      </c>
      <c r="R1612">
        <f>SUMIF(A1612:A6611,"C01611",I1612:I6611)</f>
        <v>6836.53</v>
      </c>
      <c r="S1612" s="1">
        <v>2079.8</v>
      </c>
      <c r="T1612">
        <f t="shared" si="175"/>
        <v>112.074262295082</v>
      </c>
      <c r="U1612">
        <f t="shared" si="178"/>
        <v>1476.2</v>
      </c>
      <c r="V1612">
        <f>U1612</f>
        <v>1476.2</v>
      </c>
      <c r="W1612">
        <f t="shared" si="180"/>
        <v>2550.35666666667</v>
      </c>
      <c r="X1612">
        <f t="shared" si="179"/>
        <v>0.698183248518819</v>
      </c>
      <c r="AH1612" t="str">
        <f t="shared" si="176"/>
        <v>3rd Quality</v>
      </c>
      <c r="AJ1612">
        <f>((T1612-X1612)*2)/24.1</f>
        <v>9.24282813664425</v>
      </c>
      <c r="AK1612">
        <f t="shared" si="181"/>
        <v>63658.1809836066</v>
      </c>
    </row>
    <row r="1613" spans="1:37">
      <c r="A1613" t="s">
        <v>1676</v>
      </c>
      <c r="B1613">
        <v>24</v>
      </c>
      <c r="C1613" t="s">
        <v>44</v>
      </c>
      <c r="D1613" t="s">
        <v>45</v>
      </c>
      <c r="E1613">
        <v>1230</v>
      </c>
      <c r="F1613">
        <v>79</v>
      </c>
      <c r="G1613">
        <v>1</v>
      </c>
      <c r="H1613">
        <v>766.61</v>
      </c>
      <c r="I1613">
        <v>784.29</v>
      </c>
      <c r="J1613">
        <v>16</v>
      </c>
      <c r="K1613">
        <v>0</v>
      </c>
      <c r="L1613">
        <v>35.1</v>
      </c>
      <c r="M1613">
        <v>22.4</v>
      </c>
      <c r="N1613" t="s">
        <v>78</v>
      </c>
      <c r="O1613" t="s">
        <v>53</v>
      </c>
      <c r="P1613" t="s">
        <v>58</v>
      </c>
      <c r="R1613">
        <f>SUMIF(A1613:A6612,"C01612",I1613:I6612)</f>
        <v>784.29</v>
      </c>
      <c r="S1613" s="1">
        <v>9395.32</v>
      </c>
      <c r="T1613">
        <f t="shared" si="175"/>
        <v>49.018125</v>
      </c>
      <c r="U1613">
        <f t="shared" si="178"/>
        <v>358.4</v>
      </c>
      <c r="V1613">
        <f t="shared" si="177"/>
        <v>29.8666666666667</v>
      </c>
      <c r="W1613">
        <f t="shared" si="180"/>
        <v>517.3</v>
      </c>
      <c r="X1613">
        <f t="shared" si="179"/>
        <v>1.604466417083</v>
      </c>
      <c r="AH1613" t="str">
        <f t="shared" si="176"/>
        <v>3rd Quality</v>
      </c>
      <c r="AJ1613">
        <f>((T1613-X1613)*2)/35.1</f>
        <v>2.70163296768758</v>
      </c>
      <c r="AK1613">
        <f t="shared" si="181"/>
        <v>60292.29375</v>
      </c>
    </row>
    <row r="1614" spans="1:37">
      <c r="A1614" t="s">
        <v>1677</v>
      </c>
      <c r="B1614">
        <v>43</v>
      </c>
      <c r="C1614" t="s">
        <v>44</v>
      </c>
      <c r="D1614" t="s">
        <v>45</v>
      </c>
      <c r="E1614">
        <v>485</v>
      </c>
      <c r="F1614">
        <v>5</v>
      </c>
      <c r="G1614">
        <v>3</v>
      </c>
      <c r="H1614">
        <v>750.86</v>
      </c>
      <c r="I1614">
        <v>2079.8</v>
      </c>
      <c r="J1614">
        <v>27</v>
      </c>
      <c r="K1614">
        <v>0</v>
      </c>
      <c r="L1614">
        <v>30</v>
      </c>
      <c r="M1614">
        <v>14.2</v>
      </c>
      <c r="N1614" t="s">
        <v>78</v>
      </c>
      <c r="O1614" t="s">
        <v>47</v>
      </c>
      <c r="P1614" t="s">
        <v>58</v>
      </c>
      <c r="R1614">
        <f>SUMIF(A1614:A6613,"C01613",I1614:I6613)</f>
        <v>2079.8</v>
      </c>
      <c r="S1614" s="1">
        <v>2546.06</v>
      </c>
      <c r="T1614">
        <f t="shared" ref="T1614:T1677" si="182">I1614/J1614</f>
        <v>77.0296296296296</v>
      </c>
      <c r="U1614">
        <f t="shared" si="178"/>
        <v>383.4</v>
      </c>
      <c r="V1614">
        <f t="shared" si="177"/>
        <v>31.95</v>
      </c>
      <c r="W1614">
        <f t="shared" si="180"/>
        <v>943.886666666667</v>
      </c>
      <c r="X1614">
        <f t="shared" si="179"/>
        <v>0.645926004847775</v>
      </c>
      <c r="AH1614" t="str">
        <f t="shared" ref="AH1614:AH1677" si="183">IF(AND(W1614&gt;=12550,B1614&lt;=33,E1614&gt;=915),"1st Quality",IF(AND(W1614&gt;=6275,B1614&lt;=43,E1614&gt;=457),"2nd Quality","3rd Quality"))</f>
        <v>3rd Quality</v>
      </c>
      <c r="AJ1614">
        <f>((T1614-X1614)*2)/30</f>
        <v>5.09224690831879</v>
      </c>
      <c r="AK1614">
        <f t="shared" si="181"/>
        <v>37359.3703703704</v>
      </c>
    </row>
    <row r="1615" spans="1:37">
      <c r="A1615" t="s">
        <v>1678</v>
      </c>
      <c r="B1615">
        <v>50</v>
      </c>
      <c r="C1615" t="s">
        <v>44</v>
      </c>
      <c r="D1615" t="s">
        <v>45</v>
      </c>
      <c r="E1615">
        <v>786</v>
      </c>
      <c r="F1615">
        <v>77</v>
      </c>
      <c r="G1615">
        <v>7</v>
      </c>
      <c r="H1615">
        <v>1395.43</v>
      </c>
      <c r="I1615">
        <v>9395.32</v>
      </c>
      <c r="J1615">
        <v>38</v>
      </c>
      <c r="K1615">
        <v>1</v>
      </c>
      <c r="L1615">
        <v>6.2</v>
      </c>
      <c r="M1615">
        <v>10.4</v>
      </c>
      <c r="N1615" t="s">
        <v>57</v>
      </c>
      <c r="O1615" t="s">
        <v>47</v>
      </c>
      <c r="P1615" t="s">
        <v>68</v>
      </c>
      <c r="R1615">
        <f>SUMIF(A1615:A6614,"C01614",I1615:I6614)</f>
        <v>9395.32</v>
      </c>
      <c r="S1615" s="1">
        <v>102721.83</v>
      </c>
      <c r="T1615">
        <f t="shared" si="182"/>
        <v>247.245263157895</v>
      </c>
      <c r="U1615">
        <f t="shared" si="178"/>
        <v>395.2</v>
      </c>
      <c r="V1615">
        <f>U1615</f>
        <v>395.2</v>
      </c>
      <c r="W1615">
        <f t="shared" si="180"/>
        <v>3597.25</v>
      </c>
      <c r="X1615">
        <f t="shared" si="179"/>
        <v>0.563267236622403</v>
      </c>
      <c r="AH1615" t="str">
        <f t="shared" si="183"/>
        <v>3rd Quality</v>
      </c>
      <c r="AJ1615">
        <f>((T1615-X1615)*2)/6.2</f>
        <v>79.5748373939589</v>
      </c>
      <c r="AK1615">
        <f t="shared" si="181"/>
        <v>194334.776842105</v>
      </c>
    </row>
    <row r="1616" spans="1:37">
      <c r="A1616" t="s">
        <v>1679</v>
      </c>
      <c r="B1616">
        <v>43</v>
      </c>
      <c r="C1616" t="s">
        <v>50</v>
      </c>
      <c r="D1616" t="s">
        <v>60</v>
      </c>
      <c r="E1616">
        <v>421</v>
      </c>
      <c r="F1616">
        <v>74</v>
      </c>
      <c r="G1616">
        <v>3</v>
      </c>
      <c r="H1616">
        <v>831.82</v>
      </c>
      <c r="I1616">
        <v>2546.06</v>
      </c>
      <c r="J1616">
        <v>28</v>
      </c>
      <c r="K1616">
        <v>0</v>
      </c>
      <c r="L1616">
        <v>22.2</v>
      </c>
      <c r="M1616">
        <v>1.5</v>
      </c>
      <c r="N1616" t="s">
        <v>46</v>
      </c>
      <c r="O1616" t="s">
        <v>75</v>
      </c>
      <c r="P1616" t="s">
        <v>68</v>
      </c>
      <c r="R1616">
        <f>SUMIF(A1616:A6615,"C01615",I1616:I6615)</f>
        <v>2546.06</v>
      </c>
      <c r="S1616" s="1">
        <v>83564.41</v>
      </c>
      <c r="T1616">
        <f t="shared" si="182"/>
        <v>90.9307142857143</v>
      </c>
      <c r="U1616">
        <f t="shared" si="178"/>
        <v>42</v>
      </c>
      <c r="V1616">
        <f t="shared" si="177"/>
        <v>3.5</v>
      </c>
      <c r="W1616">
        <f t="shared" si="180"/>
        <v>1126.29333333333</v>
      </c>
      <c r="X1616">
        <f t="shared" si="179"/>
        <v>0.506119112307951</v>
      </c>
      <c r="AH1616" t="str">
        <f t="shared" si="183"/>
        <v>3rd Quality</v>
      </c>
      <c r="AJ1616">
        <f>((T1616-X1616)*2)/22.2</f>
        <v>8.1463599255321</v>
      </c>
      <c r="AK1616">
        <f t="shared" si="181"/>
        <v>38281.8307142857</v>
      </c>
    </row>
    <row r="1617" spans="1:37">
      <c r="A1617" t="s">
        <v>1680</v>
      </c>
      <c r="B1617">
        <v>56</v>
      </c>
      <c r="C1617" t="s">
        <v>44</v>
      </c>
      <c r="D1617" t="s">
        <v>60</v>
      </c>
      <c r="E1617">
        <v>389</v>
      </c>
      <c r="F1617">
        <v>7</v>
      </c>
      <c r="G1617">
        <v>24</v>
      </c>
      <c r="H1617">
        <v>4804.26</v>
      </c>
      <c r="I1617">
        <v>102721.83</v>
      </c>
      <c r="J1617">
        <v>174</v>
      </c>
      <c r="K1617">
        <v>1</v>
      </c>
      <c r="L1617">
        <v>0.2</v>
      </c>
      <c r="M1617">
        <v>13.3</v>
      </c>
      <c r="N1617" t="s">
        <v>57</v>
      </c>
      <c r="O1617" t="s">
        <v>47</v>
      </c>
      <c r="P1617" t="s">
        <v>58</v>
      </c>
      <c r="R1617">
        <f>SUMIF(A1617:A6616,"C01616",I1617:I6616)</f>
        <v>102721.83</v>
      </c>
      <c r="S1617" s="1">
        <v>58336.8</v>
      </c>
      <c r="T1617">
        <f t="shared" si="182"/>
        <v>590.355344827586</v>
      </c>
      <c r="U1617">
        <f t="shared" si="178"/>
        <v>2314.2</v>
      </c>
      <c r="V1617">
        <f>U1617</f>
        <v>2314.2</v>
      </c>
      <c r="W1617">
        <f t="shared" si="180"/>
        <v>35842.3633333333</v>
      </c>
      <c r="X1617">
        <f t="shared" si="179"/>
        <v>0.0809698059638737</v>
      </c>
      <c r="AH1617" t="str">
        <f t="shared" si="183"/>
        <v>3rd Quality</v>
      </c>
      <c r="AJ1617">
        <f>((T1617-X1617)*2)/0.2</f>
        <v>5902.74375021622</v>
      </c>
      <c r="AK1617">
        <f t="shared" si="181"/>
        <v>229648.229137931</v>
      </c>
    </row>
    <row r="1618" spans="1:37">
      <c r="A1618" t="s">
        <v>1681</v>
      </c>
      <c r="B1618">
        <v>43</v>
      </c>
      <c r="C1618" t="s">
        <v>101</v>
      </c>
      <c r="D1618" t="s">
        <v>60</v>
      </c>
      <c r="E1618">
        <v>408</v>
      </c>
      <c r="F1618">
        <v>24</v>
      </c>
      <c r="G1618">
        <v>22</v>
      </c>
      <c r="H1618">
        <v>3978.45</v>
      </c>
      <c r="I1618">
        <v>83564.41</v>
      </c>
      <c r="J1618">
        <v>96</v>
      </c>
      <c r="K1618">
        <v>3</v>
      </c>
      <c r="L1618">
        <v>0</v>
      </c>
      <c r="M1618">
        <v>54.2</v>
      </c>
      <c r="N1618" t="s">
        <v>78</v>
      </c>
      <c r="O1618" t="s">
        <v>47</v>
      </c>
      <c r="P1618" t="s">
        <v>58</v>
      </c>
      <c r="R1618">
        <f>SUMIF(A1618:A6617,"C01617",I1618:I6617)</f>
        <v>83564.41</v>
      </c>
      <c r="S1618" s="1">
        <v>1376.99</v>
      </c>
      <c r="T1618">
        <f t="shared" si="182"/>
        <v>870.462604166667</v>
      </c>
      <c r="U1618">
        <f t="shared" si="178"/>
        <v>5203.2</v>
      </c>
      <c r="V1618">
        <f>U1618</f>
        <v>5203.2</v>
      </c>
      <c r="W1618">
        <f t="shared" si="180"/>
        <v>29181.2866666667</v>
      </c>
      <c r="X1618">
        <f t="shared" si="179"/>
        <v>0.102552501602383</v>
      </c>
      <c r="AH1618" t="str">
        <f t="shared" si="183"/>
        <v>3rd Quality</v>
      </c>
      <c r="AJ1618">
        <f>((T1618-X1618)*2)</f>
        <v>1740.72010333013</v>
      </c>
      <c r="AK1618">
        <f t="shared" si="181"/>
        <v>355148.7425</v>
      </c>
    </row>
    <row r="1619" spans="1:37">
      <c r="A1619" t="s">
        <v>1682</v>
      </c>
      <c r="B1619">
        <v>35</v>
      </c>
      <c r="C1619" t="s">
        <v>50</v>
      </c>
      <c r="D1619" t="s">
        <v>60</v>
      </c>
      <c r="E1619">
        <v>669</v>
      </c>
      <c r="F1619">
        <v>41</v>
      </c>
      <c r="G1619">
        <v>7</v>
      </c>
      <c r="H1619">
        <v>9247.01</v>
      </c>
      <c r="I1619">
        <v>58336.8</v>
      </c>
      <c r="J1619">
        <v>56</v>
      </c>
      <c r="K1619">
        <v>0</v>
      </c>
      <c r="L1619">
        <v>4.8</v>
      </c>
      <c r="M1619">
        <v>48</v>
      </c>
      <c r="N1619" t="s">
        <v>63</v>
      </c>
      <c r="O1619" t="s">
        <v>47</v>
      </c>
      <c r="P1619" t="s">
        <v>58</v>
      </c>
      <c r="R1619">
        <f>SUMIF(A1619:A6618,"C01618",I1619:I6618)</f>
        <v>58336.8</v>
      </c>
      <c r="S1619" s="1">
        <v>81841.65</v>
      </c>
      <c r="T1619">
        <f t="shared" si="182"/>
        <v>1041.72857142857</v>
      </c>
      <c r="U1619">
        <f t="shared" si="178"/>
        <v>2688</v>
      </c>
      <c r="V1619">
        <f t="shared" si="177"/>
        <v>224</v>
      </c>
      <c r="W1619">
        <f t="shared" si="180"/>
        <v>22528.27</v>
      </c>
      <c r="X1619">
        <f t="shared" si="179"/>
        <v>0.0723477102328212</v>
      </c>
      <c r="AH1619" t="str">
        <f t="shared" si="183"/>
        <v>2nd Quality</v>
      </c>
      <c r="AJ1619">
        <f>((T1619-X1619)*2)/4.8</f>
        <v>434.023426549307</v>
      </c>
      <c r="AK1619">
        <f t="shared" si="181"/>
        <v>696916.414285714</v>
      </c>
    </row>
    <row r="1620" spans="1:37">
      <c r="A1620" t="s">
        <v>1683</v>
      </c>
      <c r="B1620">
        <v>31</v>
      </c>
      <c r="C1620" t="s">
        <v>44</v>
      </c>
      <c r="D1620" t="s">
        <v>60</v>
      </c>
      <c r="E1620">
        <v>1399</v>
      </c>
      <c r="F1620">
        <v>104</v>
      </c>
      <c r="G1620">
        <v>1</v>
      </c>
      <c r="H1620">
        <v>1497.79</v>
      </c>
      <c r="I1620">
        <v>1376.99</v>
      </c>
      <c r="J1620">
        <v>11</v>
      </c>
      <c r="K1620">
        <v>0</v>
      </c>
      <c r="L1620">
        <v>20.6</v>
      </c>
      <c r="M1620">
        <v>31</v>
      </c>
      <c r="N1620" t="s">
        <v>81</v>
      </c>
      <c r="O1620" t="s">
        <v>75</v>
      </c>
      <c r="P1620" t="s">
        <v>48</v>
      </c>
      <c r="R1620">
        <f>SUMIF(A1620:A6619,"C01619",I1620:I6619)</f>
        <v>1376.99</v>
      </c>
      <c r="S1620" s="1">
        <v>82757.63</v>
      </c>
      <c r="T1620">
        <f t="shared" si="182"/>
        <v>125.180909090909</v>
      </c>
      <c r="U1620">
        <f t="shared" si="178"/>
        <v>341</v>
      </c>
      <c r="V1620">
        <f t="shared" si="177"/>
        <v>28.4166666666667</v>
      </c>
      <c r="W1620">
        <f t="shared" si="180"/>
        <v>958.593333333333</v>
      </c>
      <c r="X1620">
        <f t="shared" si="179"/>
        <v>0.93404282309269</v>
      </c>
      <c r="AH1620" t="str">
        <f t="shared" si="183"/>
        <v>3rd Quality</v>
      </c>
      <c r="AJ1620">
        <f>((T1620-X1620)*2)/20.6</f>
        <v>12.0628025502734</v>
      </c>
      <c r="AK1620">
        <f t="shared" si="181"/>
        <v>175128.091818182</v>
      </c>
    </row>
    <row r="1621" spans="1:37">
      <c r="A1621" t="s">
        <v>1684</v>
      </c>
      <c r="B1621">
        <v>35</v>
      </c>
      <c r="C1621" t="s">
        <v>44</v>
      </c>
      <c r="D1621" t="s">
        <v>60</v>
      </c>
      <c r="E1621">
        <v>763</v>
      </c>
      <c r="F1621">
        <v>12</v>
      </c>
      <c r="G1621">
        <v>27</v>
      </c>
      <c r="H1621">
        <v>3142.69</v>
      </c>
      <c r="I1621">
        <v>81841.65</v>
      </c>
      <c r="J1621">
        <v>224</v>
      </c>
      <c r="K1621">
        <v>1</v>
      </c>
      <c r="L1621">
        <v>15.8</v>
      </c>
      <c r="M1621">
        <v>25.3</v>
      </c>
      <c r="N1621" t="s">
        <v>81</v>
      </c>
      <c r="O1621" t="s">
        <v>47</v>
      </c>
      <c r="P1621" t="s">
        <v>58</v>
      </c>
      <c r="R1621">
        <f>SUMIF(A1621:A6620,"C01620",I1621:I6620)</f>
        <v>81841.65</v>
      </c>
      <c r="S1621" s="1">
        <v>23359.02</v>
      </c>
      <c r="T1621">
        <f t="shared" si="182"/>
        <v>365.364508928571</v>
      </c>
      <c r="U1621">
        <f t="shared" si="178"/>
        <v>5667.2</v>
      </c>
      <c r="V1621">
        <f>U1621</f>
        <v>5667.2</v>
      </c>
      <c r="W1621">
        <f t="shared" si="180"/>
        <v>28328.4466666667</v>
      </c>
      <c r="X1621">
        <f t="shared" si="179"/>
        <v>0.242785639054441</v>
      </c>
      <c r="AH1621" t="str">
        <f t="shared" si="183"/>
        <v>2nd Quality</v>
      </c>
      <c r="AJ1621">
        <f>((T1621-X1621)*2)/15.8</f>
        <v>46.2179396569008</v>
      </c>
      <c r="AK1621">
        <f t="shared" si="181"/>
        <v>278773.1203125</v>
      </c>
    </row>
    <row r="1622" spans="1:37">
      <c r="A1622" t="s">
        <v>1685</v>
      </c>
      <c r="B1622">
        <v>44</v>
      </c>
      <c r="C1622" t="s">
        <v>44</v>
      </c>
      <c r="D1622" t="s">
        <v>45</v>
      </c>
      <c r="E1622">
        <v>1040</v>
      </c>
      <c r="F1622">
        <v>14</v>
      </c>
      <c r="G1622">
        <v>25</v>
      </c>
      <c r="H1622">
        <v>3163.89</v>
      </c>
      <c r="I1622">
        <v>82757.63</v>
      </c>
      <c r="J1622">
        <v>108</v>
      </c>
      <c r="K1622">
        <v>2</v>
      </c>
      <c r="L1622">
        <v>12.5</v>
      </c>
      <c r="M1622">
        <v>8.7</v>
      </c>
      <c r="N1622" t="s">
        <v>57</v>
      </c>
      <c r="O1622" t="s">
        <v>53</v>
      </c>
      <c r="P1622" t="s">
        <v>68</v>
      </c>
      <c r="R1622">
        <f>SUMIF(A1622:A6621,"C01621",I1622:I6621)</f>
        <v>82757.63</v>
      </c>
      <c r="S1622" s="1">
        <v>864.5</v>
      </c>
      <c r="T1622">
        <f t="shared" si="182"/>
        <v>766.274351851852</v>
      </c>
      <c r="U1622">
        <f t="shared" si="178"/>
        <v>939.6</v>
      </c>
      <c r="V1622">
        <f>U1622</f>
        <v>939.6</v>
      </c>
      <c r="W1622">
        <f t="shared" si="180"/>
        <v>28640.84</v>
      </c>
      <c r="X1622">
        <f t="shared" si="179"/>
        <v>0.328709278767593</v>
      </c>
      <c r="AH1622" t="str">
        <f t="shared" si="183"/>
        <v>3rd Quality</v>
      </c>
      <c r="AJ1622">
        <f>((T1622-X1622)*2)/12.5</f>
        <v>122.551302811693</v>
      </c>
      <c r="AK1622">
        <f t="shared" si="181"/>
        <v>796925.325925926</v>
      </c>
    </row>
    <row r="1623" spans="1:37">
      <c r="A1623" t="s">
        <v>1686</v>
      </c>
      <c r="B1623">
        <v>37</v>
      </c>
      <c r="C1623" t="s">
        <v>44</v>
      </c>
      <c r="D1623" t="s">
        <v>51</v>
      </c>
      <c r="E1623">
        <v>1107</v>
      </c>
      <c r="F1623">
        <v>26</v>
      </c>
      <c r="G1623">
        <v>1</v>
      </c>
      <c r="H1623">
        <v>24739.95</v>
      </c>
      <c r="I1623">
        <v>23359.02</v>
      </c>
      <c r="J1623">
        <v>11</v>
      </c>
      <c r="K1623">
        <v>1</v>
      </c>
      <c r="L1623">
        <v>2.1</v>
      </c>
      <c r="M1623">
        <v>47.6</v>
      </c>
      <c r="N1623" t="s">
        <v>78</v>
      </c>
      <c r="O1623" t="s">
        <v>47</v>
      </c>
      <c r="P1623" t="s">
        <v>58</v>
      </c>
      <c r="R1623">
        <f>SUMIF(A1623:A6622,"C01622",I1623:I6622)</f>
        <v>23359.02</v>
      </c>
      <c r="S1623" s="1">
        <v>54900.11</v>
      </c>
      <c r="T1623">
        <f t="shared" si="182"/>
        <v>2123.54727272727</v>
      </c>
      <c r="U1623">
        <f t="shared" si="178"/>
        <v>523.6</v>
      </c>
      <c r="V1623">
        <f>U1623</f>
        <v>523.6</v>
      </c>
      <c r="W1623">
        <f t="shared" si="180"/>
        <v>16033.3233333333</v>
      </c>
      <c r="X1623">
        <f t="shared" si="179"/>
        <v>0.0447454420886057</v>
      </c>
      <c r="AH1623" t="str">
        <f t="shared" si="183"/>
        <v>2nd Quality</v>
      </c>
      <c r="AJ1623">
        <f>((T1623-X1623)*2)/2.1</f>
        <v>2022.38335931922</v>
      </c>
      <c r="AK1623">
        <f t="shared" si="181"/>
        <v>2350766.83090909</v>
      </c>
    </row>
    <row r="1624" spans="1:37">
      <c r="A1624" t="s">
        <v>1687</v>
      </c>
      <c r="B1624">
        <v>47</v>
      </c>
      <c r="C1624" t="s">
        <v>44</v>
      </c>
      <c r="D1624" t="s">
        <v>51</v>
      </c>
      <c r="E1624">
        <v>1325</v>
      </c>
      <c r="F1624">
        <v>302</v>
      </c>
      <c r="G1624">
        <v>2</v>
      </c>
      <c r="H1624">
        <v>488.52</v>
      </c>
      <c r="I1624">
        <v>864.5</v>
      </c>
      <c r="J1624">
        <v>19</v>
      </c>
      <c r="K1624">
        <v>0</v>
      </c>
      <c r="L1624">
        <v>36.6</v>
      </c>
      <c r="M1624">
        <v>19.6</v>
      </c>
      <c r="N1624" t="s">
        <v>61</v>
      </c>
      <c r="O1624" t="s">
        <v>47</v>
      </c>
      <c r="P1624" t="s">
        <v>48</v>
      </c>
      <c r="R1624">
        <f>SUMIF(A1624:A6623,"C01623",I1624:I6623)</f>
        <v>864.5</v>
      </c>
      <c r="S1624" s="1">
        <v>10054.26</v>
      </c>
      <c r="T1624">
        <f t="shared" si="182"/>
        <v>45.5</v>
      </c>
      <c r="U1624">
        <f t="shared" si="178"/>
        <v>372.4</v>
      </c>
      <c r="V1624">
        <f t="shared" si="177"/>
        <v>31.0333333333333</v>
      </c>
      <c r="W1624">
        <f t="shared" si="180"/>
        <v>451.34</v>
      </c>
      <c r="X1624">
        <f t="shared" si="179"/>
        <v>2.71227380659952</v>
      </c>
      <c r="AH1624" t="str">
        <f t="shared" si="183"/>
        <v>3rd Quality</v>
      </c>
      <c r="AJ1624">
        <f>((T1624-X1624)*2)/36.6</f>
        <v>2.33812711439347</v>
      </c>
      <c r="AK1624">
        <f t="shared" si="181"/>
        <v>60287.5</v>
      </c>
    </row>
    <row r="1625" spans="1:37">
      <c r="A1625" t="s">
        <v>1688</v>
      </c>
      <c r="B1625">
        <v>25</v>
      </c>
      <c r="C1625" t="s">
        <v>44</v>
      </c>
      <c r="D1625" t="s">
        <v>60</v>
      </c>
      <c r="E1625">
        <v>1355</v>
      </c>
      <c r="F1625">
        <v>8</v>
      </c>
      <c r="G1625">
        <v>25</v>
      </c>
      <c r="H1625">
        <v>2250.53</v>
      </c>
      <c r="I1625">
        <v>54900.11</v>
      </c>
      <c r="J1625">
        <v>107</v>
      </c>
      <c r="K1625">
        <v>2</v>
      </c>
      <c r="L1625">
        <v>7.5</v>
      </c>
      <c r="M1625">
        <v>57.8</v>
      </c>
      <c r="N1625" t="s">
        <v>78</v>
      </c>
      <c r="O1625" t="s">
        <v>47</v>
      </c>
      <c r="P1625" t="s">
        <v>58</v>
      </c>
      <c r="R1625">
        <f>SUMIF(A1625:A6624,"C01624",I1625:I6624)</f>
        <v>54900.11</v>
      </c>
      <c r="S1625" s="1">
        <v>2008.93</v>
      </c>
      <c r="T1625">
        <f t="shared" si="182"/>
        <v>513.085140186916</v>
      </c>
      <c r="U1625">
        <f t="shared" si="178"/>
        <v>6184.6</v>
      </c>
      <c r="V1625">
        <f>U1625</f>
        <v>6184.6</v>
      </c>
      <c r="W1625">
        <f t="shared" si="180"/>
        <v>19050.5466666667</v>
      </c>
      <c r="X1625">
        <f t="shared" si="179"/>
        <v>0.602080398839384</v>
      </c>
      <c r="AH1625" t="str">
        <f t="shared" si="183"/>
        <v>1st Quality</v>
      </c>
      <c r="AJ1625">
        <f>((T1625-X1625)*2)/7.5</f>
        <v>136.66214927682</v>
      </c>
      <c r="AK1625">
        <f t="shared" si="181"/>
        <v>695230.364953271</v>
      </c>
    </row>
    <row r="1626" spans="1:37">
      <c r="A1626" t="s">
        <v>1689</v>
      </c>
      <c r="B1626">
        <v>31</v>
      </c>
      <c r="C1626" t="s">
        <v>50</v>
      </c>
      <c r="D1626" t="s">
        <v>60</v>
      </c>
      <c r="E1626">
        <v>411</v>
      </c>
      <c r="F1626">
        <v>36</v>
      </c>
      <c r="G1626">
        <v>12</v>
      </c>
      <c r="H1626">
        <v>897.98</v>
      </c>
      <c r="I1626">
        <v>10054.26</v>
      </c>
      <c r="J1626">
        <v>35</v>
      </c>
      <c r="K1626">
        <v>0</v>
      </c>
      <c r="L1626">
        <v>22.4</v>
      </c>
      <c r="M1626">
        <v>9.9</v>
      </c>
      <c r="N1626" t="s">
        <v>52</v>
      </c>
      <c r="O1626" t="s">
        <v>75</v>
      </c>
      <c r="P1626" t="s">
        <v>48</v>
      </c>
      <c r="R1626">
        <f>SUMIF(A1626:A6625,"C01625",I1626:I6625)</f>
        <v>10054.26</v>
      </c>
      <c r="S1626" s="1">
        <v>7934.75</v>
      </c>
      <c r="T1626">
        <f t="shared" si="182"/>
        <v>287.264571428571</v>
      </c>
      <c r="U1626">
        <f t="shared" si="178"/>
        <v>346.5</v>
      </c>
      <c r="V1626">
        <f t="shared" si="177"/>
        <v>28.875</v>
      </c>
      <c r="W1626">
        <f t="shared" si="180"/>
        <v>3651.08</v>
      </c>
      <c r="X1626">
        <f t="shared" si="179"/>
        <v>0.457693935276955</v>
      </c>
      <c r="AH1626" t="str">
        <f t="shared" si="183"/>
        <v>3rd Quality</v>
      </c>
      <c r="AJ1626">
        <f>((T1626-X1626)*2)/22.4</f>
        <v>25.6077569190441</v>
      </c>
      <c r="AK1626">
        <f t="shared" si="181"/>
        <v>118065.738857143</v>
      </c>
    </row>
    <row r="1627" spans="1:37">
      <c r="A1627" t="s">
        <v>1690</v>
      </c>
      <c r="B1627">
        <v>39</v>
      </c>
      <c r="C1627" t="s">
        <v>56</v>
      </c>
      <c r="D1627" t="s">
        <v>45</v>
      </c>
      <c r="E1627">
        <v>611</v>
      </c>
      <c r="F1627">
        <v>98</v>
      </c>
      <c r="G1627">
        <v>2</v>
      </c>
      <c r="H1627">
        <v>941.58</v>
      </c>
      <c r="I1627">
        <v>2008.93</v>
      </c>
      <c r="J1627">
        <v>19</v>
      </c>
      <c r="K1627">
        <v>0</v>
      </c>
      <c r="L1627">
        <v>24.4</v>
      </c>
      <c r="M1627">
        <v>32.9</v>
      </c>
      <c r="N1627" t="s">
        <v>57</v>
      </c>
      <c r="O1627" t="s">
        <v>47</v>
      </c>
      <c r="P1627" t="s">
        <v>58</v>
      </c>
      <c r="R1627">
        <f>SUMIF(A1627:A6626,"C01626",I1627:I6626)</f>
        <v>2008.93</v>
      </c>
      <c r="S1627" s="1">
        <v>72344.1</v>
      </c>
      <c r="T1627">
        <f t="shared" si="182"/>
        <v>105.733157894737</v>
      </c>
      <c r="U1627">
        <f t="shared" si="178"/>
        <v>625.1</v>
      </c>
      <c r="V1627">
        <f t="shared" si="177"/>
        <v>52.0916666666667</v>
      </c>
      <c r="W1627">
        <f t="shared" si="180"/>
        <v>983.836666666667</v>
      </c>
      <c r="X1627">
        <f t="shared" si="179"/>
        <v>0.648909280146137</v>
      </c>
      <c r="AH1627" t="str">
        <f t="shared" si="183"/>
        <v>3rd Quality</v>
      </c>
      <c r="AJ1627">
        <f>((T1627-X1627)*2)/24.4</f>
        <v>8.61346300119597</v>
      </c>
      <c r="AK1627">
        <f t="shared" si="181"/>
        <v>64602.9594736842</v>
      </c>
    </row>
    <row r="1628" spans="1:37">
      <c r="A1628" t="s">
        <v>1691</v>
      </c>
      <c r="B1628">
        <v>24</v>
      </c>
      <c r="C1628" t="s">
        <v>101</v>
      </c>
      <c r="D1628" t="s">
        <v>51</v>
      </c>
      <c r="E1628">
        <v>1208</v>
      </c>
      <c r="F1628">
        <v>61</v>
      </c>
      <c r="G1628">
        <v>5</v>
      </c>
      <c r="H1628">
        <v>1473.12</v>
      </c>
      <c r="I1628">
        <v>7934.75</v>
      </c>
      <c r="J1628">
        <v>32</v>
      </c>
      <c r="K1628">
        <v>1</v>
      </c>
      <c r="L1628">
        <v>20.3</v>
      </c>
      <c r="M1628">
        <v>10.3</v>
      </c>
      <c r="N1628" t="s">
        <v>78</v>
      </c>
      <c r="O1628" t="s">
        <v>47</v>
      </c>
      <c r="P1628" t="s">
        <v>48</v>
      </c>
      <c r="R1628">
        <f>SUMIF(A1628:A6627,"C01627",I1628:I6627)</f>
        <v>7934.75</v>
      </c>
      <c r="S1628" s="1">
        <v>152465.7</v>
      </c>
      <c r="T1628">
        <f t="shared" si="182"/>
        <v>247.9609375</v>
      </c>
      <c r="U1628">
        <f t="shared" si="178"/>
        <v>329.6</v>
      </c>
      <c r="V1628">
        <f>U1628</f>
        <v>329.6</v>
      </c>
      <c r="W1628">
        <f t="shared" si="180"/>
        <v>3136.29</v>
      </c>
      <c r="X1628">
        <f t="shared" si="179"/>
        <v>0.820028239383078</v>
      </c>
      <c r="AH1628" t="str">
        <f t="shared" si="183"/>
        <v>3rd Quality</v>
      </c>
      <c r="AJ1628">
        <f>((T1628-X1628)*2)/20.3</f>
        <v>24.3488580552332</v>
      </c>
      <c r="AK1628">
        <f t="shared" si="181"/>
        <v>299536.8125</v>
      </c>
    </row>
    <row r="1629" spans="1:37">
      <c r="A1629" t="s">
        <v>1692</v>
      </c>
      <c r="B1629">
        <v>39</v>
      </c>
      <c r="C1629" t="s">
        <v>44</v>
      </c>
      <c r="D1629" t="s">
        <v>45</v>
      </c>
      <c r="E1629">
        <v>1227</v>
      </c>
      <c r="F1629">
        <v>4</v>
      </c>
      <c r="G1629">
        <v>27</v>
      </c>
      <c r="H1629">
        <v>2573.8</v>
      </c>
      <c r="I1629">
        <v>72344.1</v>
      </c>
      <c r="J1629">
        <v>70</v>
      </c>
      <c r="K1629">
        <v>2</v>
      </c>
      <c r="L1629">
        <v>6.1</v>
      </c>
      <c r="M1629">
        <v>26.3</v>
      </c>
      <c r="N1629" t="s">
        <v>81</v>
      </c>
      <c r="O1629" t="s">
        <v>47</v>
      </c>
      <c r="P1629" t="s">
        <v>58</v>
      </c>
      <c r="R1629">
        <f>SUMIF(A1629:A6628,"C01628",I1629:I6628)</f>
        <v>72344.1</v>
      </c>
      <c r="S1629" s="1">
        <v>11477.14</v>
      </c>
      <c r="T1629">
        <f t="shared" si="182"/>
        <v>1033.48714285714</v>
      </c>
      <c r="U1629">
        <f t="shared" si="178"/>
        <v>1841</v>
      </c>
      <c r="V1629">
        <f>U1629</f>
        <v>1841</v>
      </c>
      <c r="W1629">
        <f t="shared" si="180"/>
        <v>24972.9666666667</v>
      </c>
      <c r="X1629">
        <f t="shared" si="179"/>
        <v>0.476727018416349</v>
      </c>
      <c r="AH1629" t="str">
        <f t="shared" si="183"/>
        <v>2nd Quality</v>
      </c>
      <c r="AJ1629">
        <f>((T1629-X1629)*2)/6.1</f>
        <v>338.691939619254</v>
      </c>
      <c r="AK1629">
        <f t="shared" si="181"/>
        <v>1268088.72428571</v>
      </c>
    </row>
    <row r="1630" spans="1:37">
      <c r="A1630" t="s">
        <v>1693</v>
      </c>
      <c r="B1630">
        <v>18</v>
      </c>
      <c r="C1630" t="s">
        <v>44</v>
      </c>
      <c r="D1630" t="s">
        <v>60</v>
      </c>
      <c r="E1630">
        <v>1440</v>
      </c>
      <c r="F1630">
        <v>19</v>
      </c>
      <c r="G1630">
        <v>33</v>
      </c>
      <c r="H1630">
        <v>4498.19</v>
      </c>
      <c r="I1630">
        <v>152465.7</v>
      </c>
      <c r="J1630">
        <v>107</v>
      </c>
      <c r="K1630">
        <v>4</v>
      </c>
      <c r="L1630">
        <v>0</v>
      </c>
      <c r="M1630">
        <v>65.3</v>
      </c>
      <c r="N1630" t="s">
        <v>63</v>
      </c>
      <c r="O1630" t="s">
        <v>53</v>
      </c>
      <c r="P1630" t="s">
        <v>58</v>
      </c>
      <c r="R1630">
        <f>SUMIF(A1630:A6629,"C01629",I1630:I6629)</f>
        <v>152465.7</v>
      </c>
      <c r="S1630" s="1">
        <v>9354.01</v>
      </c>
      <c r="T1630">
        <f t="shared" si="182"/>
        <v>1424.91308411215</v>
      </c>
      <c r="U1630">
        <f t="shared" si="178"/>
        <v>6987.1</v>
      </c>
      <c r="V1630">
        <f>U1630</f>
        <v>6987.1</v>
      </c>
      <c r="W1630">
        <f t="shared" si="180"/>
        <v>52321.63</v>
      </c>
      <c r="X1630">
        <f t="shared" si="179"/>
        <v>0.320128762902412</v>
      </c>
      <c r="AH1630" t="str">
        <f t="shared" si="183"/>
        <v>1st Quality</v>
      </c>
      <c r="AJ1630">
        <f>((T1630-X1630)*2)</f>
        <v>2849.1859106985</v>
      </c>
      <c r="AK1630">
        <f t="shared" si="181"/>
        <v>2051874.8411215</v>
      </c>
    </row>
    <row r="1631" spans="1:37">
      <c r="A1631" t="s">
        <v>1694</v>
      </c>
      <c r="B1631">
        <v>42</v>
      </c>
      <c r="C1631" t="s">
        <v>44</v>
      </c>
      <c r="D1631" t="s">
        <v>60</v>
      </c>
      <c r="E1631">
        <v>1164</v>
      </c>
      <c r="F1631">
        <v>148</v>
      </c>
      <c r="G1631">
        <v>7</v>
      </c>
      <c r="H1631">
        <v>1553.6</v>
      </c>
      <c r="I1631">
        <v>11477.14</v>
      </c>
      <c r="J1631">
        <v>48</v>
      </c>
      <c r="K1631">
        <v>3</v>
      </c>
      <c r="L1631">
        <v>26.5</v>
      </c>
      <c r="M1631">
        <v>26.3</v>
      </c>
      <c r="N1631" t="s">
        <v>61</v>
      </c>
      <c r="O1631" t="s">
        <v>75</v>
      </c>
      <c r="P1631" t="s">
        <v>68</v>
      </c>
      <c r="R1631">
        <f>SUMIF(A1631:A6630,"C01630",I1631:I6630)</f>
        <v>11477.14</v>
      </c>
      <c r="S1631" s="1">
        <v>2783.12</v>
      </c>
      <c r="T1631">
        <f t="shared" si="182"/>
        <v>239.107083333333</v>
      </c>
      <c r="U1631">
        <f t="shared" si="178"/>
        <v>1262.4</v>
      </c>
      <c r="V1631">
        <f>U1631</f>
        <v>1262.4</v>
      </c>
      <c r="W1631">
        <f t="shared" si="180"/>
        <v>4343.91333333333</v>
      </c>
      <c r="X1631">
        <f t="shared" si="179"/>
        <v>0.749227600411946</v>
      </c>
      <c r="AH1631" t="str">
        <f t="shared" si="183"/>
        <v>3rd Quality</v>
      </c>
      <c r="AJ1631">
        <f>((T1631-X1631)*2)/26.5</f>
        <v>17.9892721307865</v>
      </c>
      <c r="AK1631">
        <f t="shared" si="181"/>
        <v>278320.645</v>
      </c>
    </row>
    <row r="1632" spans="1:37">
      <c r="A1632" t="s">
        <v>1695</v>
      </c>
      <c r="B1632">
        <v>28</v>
      </c>
      <c r="C1632" t="s">
        <v>50</v>
      </c>
      <c r="D1632" t="s">
        <v>60</v>
      </c>
      <c r="E1632">
        <v>954</v>
      </c>
      <c r="F1632">
        <v>9</v>
      </c>
      <c r="G1632">
        <v>5</v>
      </c>
      <c r="H1632">
        <v>1928.19</v>
      </c>
      <c r="I1632">
        <v>9354.01</v>
      </c>
      <c r="J1632">
        <v>41</v>
      </c>
      <c r="K1632">
        <v>0</v>
      </c>
      <c r="L1632">
        <v>23.2</v>
      </c>
      <c r="M1632">
        <v>40.2</v>
      </c>
      <c r="N1632" t="s">
        <v>61</v>
      </c>
      <c r="O1632" t="s">
        <v>47</v>
      </c>
      <c r="P1632" t="s">
        <v>54</v>
      </c>
      <c r="R1632">
        <f>SUMIF(A1632:A6631,"C01631",I1632:I6631)</f>
        <v>9354.01</v>
      </c>
      <c r="S1632" s="1">
        <v>4145.57</v>
      </c>
      <c r="T1632">
        <f t="shared" si="182"/>
        <v>228.146585365854</v>
      </c>
      <c r="U1632">
        <f t="shared" si="178"/>
        <v>1648.2</v>
      </c>
      <c r="V1632">
        <f t="shared" ref="V1628:V1691" si="184">U1632/12</f>
        <v>137.35</v>
      </c>
      <c r="W1632">
        <f t="shared" si="180"/>
        <v>3761.06666666667</v>
      </c>
      <c r="X1632">
        <f t="shared" si="179"/>
        <v>0.494764520093974</v>
      </c>
      <c r="AH1632" t="str">
        <f t="shared" si="183"/>
        <v>3rd Quality</v>
      </c>
      <c r="AJ1632">
        <f>((T1632-X1632)*2)/23.2</f>
        <v>19.6251569694621</v>
      </c>
      <c r="AK1632">
        <f t="shared" si="181"/>
        <v>217651.842439024</v>
      </c>
    </row>
    <row r="1633" spans="1:37">
      <c r="A1633" t="s">
        <v>1696</v>
      </c>
      <c r="B1633">
        <v>31</v>
      </c>
      <c r="C1633" t="s">
        <v>44</v>
      </c>
      <c r="D1633" t="s">
        <v>45</v>
      </c>
      <c r="E1633">
        <v>755</v>
      </c>
      <c r="F1633">
        <v>101</v>
      </c>
      <c r="G1633">
        <v>1</v>
      </c>
      <c r="H1633">
        <v>2685.7</v>
      </c>
      <c r="I1633">
        <v>2783.12</v>
      </c>
      <c r="J1633">
        <v>16</v>
      </c>
      <c r="K1633">
        <v>0</v>
      </c>
      <c r="L1633">
        <v>22.6</v>
      </c>
      <c r="M1633">
        <v>19.8</v>
      </c>
      <c r="N1633" t="s">
        <v>61</v>
      </c>
      <c r="O1633" t="s">
        <v>75</v>
      </c>
      <c r="P1633" t="s">
        <v>66</v>
      </c>
      <c r="R1633">
        <f>SUMIF(A1633:A6632,"C01632",I1633:I6632)</f>
        <v>2783.12</v>
      </c>
      <c r="S1633" s="1">
        <v>10844.05</v>
      </c>
      <c r="T1633">
        <f t="shared" si="182"/>
        <v>173.945</v>
      </c>
      <c r="U1633">
        <f t="shared" si="178"/>
        <v>316.8</v>
      </c>
      <c r="V1633">
        <f t="shared" si="184"/>
        <v>26.4</v>
      </c>
      <c r="W1633">
        <f t="shared" si="180"/>
        <v>1823.27333333333</v>
      </c>
      <c r="X1633">
        <f t="shared" si="179"/>
        <v>0.281118516587854</v>
      </c>
      <c r="AH1633" t="str">
        <f t="shared" si="183"/>
        <v>3rd Quality</v>
      </c>
      <c r="AJ1633">
        <f>((T1633-X1633)*2)/22.6</f>
        <v>15.3684850870276</v>
      </c>
      <c r="AK1633">
        <f t="shared" si="181"/>
        <v>131328.475</v>
      </c>
    </row>
    <row r="1634" spans="1:37">
      <c r="A1634" t="s">
        <v>1697</v>
      </c>
      <c r="B1634">
        <v>26</v>
      </c>
      <c r="C1634" t="s">
        <v>50</v>
      </c>
      <c r="D1634" t="s">
        <v>51</v>
      </c>
      <c r="E1634">
        <v>883</v>
      </c>
      <c r="F1634">
        <v>6</v>
      </c>
      <c r="G1634">
        <v>1</v>
      </c>
      <c r="H1634">
        <v>4227.01</v>
      </c>
      <c r="I1634">
        <v>4145.57</v>
      </c>
      <c r="J1634">
        <v>17</v>
      </c>
      <c r="K1634">
        <v>0</v>
      </c>
      <c r="L1634">
        <v>1.1</v>
      </c>
      <c r="M1634">
        <v>63.8</v>
      </c>
      <c r="N1634" t="s">
        <v>46</v>
      </c>
      <c r="O1634" t="s">
        <v>47</v>
      </c>
      <c r="P1634" t="s">
        <v>66</v>
      </c>
      <c r="R1634">
        <f>SUMIF(A1634:A6633,"C01633",I1634:I6633)</f>
        <v>4145.57</v>
      </c>
      <c r="S1634" s="1">
        <v>1113.38</v>
      </c>
      <c r="T1634">
        <f t="shared" si="182"/>
        <v>243.857058823529</v>
      </c>
      <c r="U1634">
        <f t="shared" ref="U1634:U1697" si="185">J1634*M1634</f>
        <v>1084.6</v>
      </c>
      <c r="V1634">
        <f t="shared" si="184"/>
        <v>90.3833333333333</v>
      </c>
      <c r="W1634">
        <f t="shared" si="180"/>
        <v>2791.19333333333</v>
      </c>
      <c r="X1634">
        <f t="shared" si="179"/>
        <v>0.20889470334823</v>
      </c>
      <c r="AH1634" t="str">
        <f t="shared" si="183"/>
        <v>3rd Quality</v>
      </c>
      <c r="AJ1634">
        <f>((T1634-X1634)*2)/1.1</f>
        <v>442.996662036692</v>
      </c>
      <c r="AK1634">
        <f t="shared" si="181"/>
        <v>215325.782941176</v>
      </c>
    </row>
    <row r="1635" spans="1:37">
      <c r="A1635" t="s">
        <v>1698</v>
      </c>
      <c r="B1635">
        <v>34</v>
      </c>
      <c r="C1635" t="s">
        <v>50</v>
      </c>
      <c r="D1635" t="s">
        <v>60</v>
      </c>
      <c r="E1635">
        <v>387</v>
      </c>
      <c r="F1635">
        <v>8</v>
      </c>
      <c r="G1635">
        <v>10</v>
      </c>
      <c r="H1635">
        <v>1102.98</v>
      </c>
      <c r="I1635">
        <v>10844.05</v>
      </c>
      <c r="J1635">
        <v>96</v>
      </c>
      <c r="K1635">
        <v>0</v>
      </c>
      <c r="L1635">
        <v>33.9</v>
      </c>
      <c r="M1635">
        <v>57.6</v>
      </c>
      <c r="N1635" t="s">
        <v>78</v>
      </c>
      <c r="O1635" t="s">
        <v>75</v>
      </c>
      <c r="P1635" t="s">
        <v>58</v>
      </c>
      <c r="R1635">
        <f>SUMIF(A1635:A6634,"C01634",I1635:I6634)</f>
        <v>10844.05</v>
      </c>
      <c r="S1635" s="1">
        <v>6351.58</v>
      </c>
      <c r="T1635">
        <f t="shared" si="182"/>
        <v>112.958854166667</v>
      </c>
      <c r="U1635">
        <f t="shared" si="185"/>
        <v>5529.6</v>
      </c>
      <c r="V1635">
        <f t="shared" si="184"/>
        <v>460.8</v>
      </c>
      <c r="W1635">
        <f t="shared" si="180"/>
        <v>3982.67666666667</v>
      </c>
      <c r="X1635">
        <f t="shared" si="179"/>
        <v>0.350867649458739</v>
      </c>
      <c r="AH1635" t="str">
        <f t="shared" si="183"/>
        <v>3rd Quality</v>
      </c>
      <c r="AJ1635">
        <f>((T1635-X1635)*2)/33.9</f>
        <v>6.64353902756391</v>
      </c>
      <c r="AK1635">
        <f t="shared" si="181"/>
        <v>43715.0765625</v>
      </c>
    </row>
    <row r="1636" spans="1:37">
      <c r="A1636" t="s">
        <v>1699</v>
      </c>
      <c r="B1636">
        <v>24</v>
      </c>
      <c r="C1636" t="s">
        <v>44</v>
      </c>
      <c r="D1636" t="s">
        <v>60</v>
      </c>
      <c r="E1636">
        <v>1117</v>
      </c>
      <c r="F1636">
        <v>99</v>
      </c>
      <c r="G1636">
        <v>1</v>
      </c>
      <c r="H1636">
        <v>1041.23</v>
      </c>
      <c r="I1636">
        <v>1113.38</v>
      </c>
      <c r="J1636">
        <v>9</v>
      </c>
      <c r="K1636">
        <v>0</v>
      </c>
      <c r="L1636">
        <v>6</v>
      </c>
      <c r="M1636">
        <v>21.4</v>
      </c>
      <c r="N1636" t="s">
        <v>61</v>
      </c>
      <c r="O1636" t="s">
        <v>47</v>
      </c>
      <c r="P1636" t="s">
        <v>68</v>
      </c>
      <c r="R1636">
        <f>SUMIF(A1636:A6635,"C01635",I1636:I6635)</f>
        <v>1113.38</v>
      </c>
      <c r="S1636" s="1">
        <v>10253.97</v>
      </c>
      <c r="T1636">
        <f t="shared" si="182"/>
        <v>123.708888888889</v>
      </c>
      <c r="U1636">
        <f t="shared" si="185"/>
        <v>192.6</v>
      </c>
      <c r="V1636">
        <f t="shared" si="184"/>
        <v>16.05</v>
      </c>
      <c r="W1636">
        <f t="shared" si="180"/>
        <v>718.536666666667</v>
      </c>
      <c r="X1636">
        <f t="shared" si="179"/>
        <v>1.07276970506036</v>
      </c>
      <c r="AH1636" t="str">
        <f t="shared" si="183"/>
        <v>3rd Quality</v>
      </c>
      <c r="AJ1636">
        <f>((T1636-X1636)*2)/6</f>
        <v>40.8787063946095</v>
      </c>
      <c r="AK1636">
        <f t="shared" si="181"/>
        <v>138182.828888889</v>
      </c>
    </row>
    <row r="1637" spans="1:37">
      <c r="A1637" t="s">
        <v>1700</v>
      </c>
      <c r="B1637">
        <v>24</v>
      </c>
      <c r="C1637" t="s">
        <v>50</v>
      </c>
      <c r="D1637" t="s">
        <v>51</v>
      </c>
      <c r="E1637">
        <v>405</v>
      </c>
      <c r="F1637">
        <v>18</v>
      </c>
      <c r="G1637">
        <v>4</v>
      </c>
      <c r="H1637">
        <v>1484.21</v>
      </c>
      <c r="I1637">
        <v>6351.58</v>
      </c>
      <c r="J1637">
        <v>21</v>
      </c>
      <c r="K1637">
        <v>1</v>
      </c>
      <c r="L1637">
        <v>25.8</v>
      </c>
      <c r="M1637">
        <v>14.6</v>
      </c>
      <c r="N1637" t="s">
        <v>52</v>
      </c>
      <c r="O1637" t="s">
        <v>75</v>
      </c>
      <c r="P1637" t="s">
        <v>58</v>
      </c>
      <c r="R1637">
        <f>SUMIF(A1637:A6636,"C01636",I1637:I6636)</f>
        <v>6351.58</v>
      </c>
      <c r="S1637" s="1">
        <v>1856.91</v>
      </c>
      <c r="T1637">
        <f t="shared" si="182"/>
        <v>302.45619047619</v>
      </c>
      <c r="U1637">
        <f t="shared" si="185"/>
        <v>306.6</v>
      </c>
      <c r="V1637">
        <f>U1637</f>
        <v>306.6</v>
      </c>
      <c r="W1637">
        <f t="shared" si="180"/>
        <v>2612.26333333333</v>
      </c>
      <c r="X1637">
        <f t="shared" si="179"/>
        <v>0.272872437188807</v>
      </c>
      <c r="AH1637" t="str">
        <f t="shared" si="183"/>
        <v>3rd Quality</v>
      </c>
      <c r="AJ1637">
        <f>((T1637-X1637)*2)/25.8</f>
        <v>23.4250634138761</v>
      </c>
      <c r="AK1637">
        <f t="shared" si="181"/>
        <v>122494.757142857</v>
      </c>
    </row>
    <row r="1638" spans="1:37">
      <c r="A1638" t="s">
        <v>1701</v>
      </c>
      <c r="B1638">
        <v>38</v>
      </c>
      <c r="C1638" t="s">
        <v>50</v>
      </c>
      <c r="D1638" t="s">
        <v>60</v>
      </c>
      <c r="E1638">
        <v>1076</v>
      </c>
      <c r="F1638">
        <v>65</v>
      </c>
      <c r="G1638">
        <v>8</v>
      </c>
      <c r="H1638">
        <v>1313.12</v>
      </c>
      <c r="I1638">
        <v>10253.97</v>
      </c>
      <c r="J1638">
        <v>32</v>
      </c>
      <c r="K1638">
        <v>0</v>
      </c>
      <c r="L1638">
        <v>26.7</v>
      </c>
      <c r="M1638">
        <v>13.7</v>
      </c>
      <c r="N1638" t="s">
        <v>81</v>
      </c>
      <c r="O1638" t="s">
        <v>47</v>
      </c>
      <c r="P1638" t="s">
        <v>68</v>
      </c>
      <c r="R1638">
        <f>SUMIF(A1638:A6637,"C01637",I1638:I6637)</f>
        <v>10253.97</v>
      </c>
      <c r="S1638" s="1">
        <v>8626.66</v>
      </c>
      <c r="T1638">
        <f t="shared" si="182"/>
        <v>320.4365625</v>
      </c>
      <c r="U1638">
        <f t="shared" si="185"/>
        <v>438.4</v>
      </c>
      <c r="V1638">
        <f t="shared" si="184"/>
        <v>36.5333333333333</v>
      </c>
      <c r="W1638">
        <f t="shared" si="180"/>
        <v>3856.03</v>
      </c>
      <c r="X1638">
        <f t="shared" si="179"/>
        <v>0.819422444254904</v>
      </c>
      <c r="AH1638" t="str">
        <f t="shared" si="183"/>
        <v>3rd Quality</v>
      </c>
      <c r="AJ1638">
        <f>((T1638-X1638)*2)/26.7</f>
        <v>23.9413588056738</v>
      </c>
      <c r="AK1638">
        <f t="shared" si="181"/>
        <v>344789.74125</v>
      </c>
    </row>
    <row r="1639" spans="1:37">
      <c r="A1639" t="s">
        <v>1702</v>
      </c>
      <c r="B1639">
        <v>18</v>
      </c>
      <c r="C1639" t="s">
        <v>44</v>
      </c>
      <c r="D1639" t="s">
        <v>60</v>
      </c>
      <c r="E1639">
        <v>1045</v>
      </c>
      <c r="F1639">
        <v>365</v>
      </c>
      <c r="G1639">
        <v>1</v>
      </c>
      <c r="H1639">
        <v>1680.59</v>
      </c>
      <c r="I1639">
        <v>1856.91</v>
      </c>
      <c r="J1639">
        <v>17</v>
      </c>
      <c r="K1639">
        <v>0</v>
      </c>
      <c r="L1639">
        <v>9.7</v>
      </c>
      <c r="M1639">
        <v>22.9</v>
      </c>
      <c r="N1639" t="s">
        <v>63</v>
      </c>
      <c r="O1639" t="s">
        <v>53</v>
      </c>
      <c r="P1639" t="s">
        <v>68</v>
      </c>
      <c r="R1639">
        <f>SUMIF(A1639:A6638,"C01638",I1639:I6638)</f>
        <v>1856.91</v>
      </c>
      <c r="S1639" s="1">
        <v>5014.2</v>
      </c>
      <c r="T1639">
        <f t="shared" si="182"/>
        <v>109.23</v>
      </c>
      <c r="U1639">
        <f t="shared" si="185"/>
        <v>389.3</v>
      </c>
      <c r="V1639">
        <f t="shared" si="184"/>
        <v>32.4416666666667</v>
      </c>
      <c r="W1639">
        <f t="shared" si="180"/>
        <v>1179.5</v>
      </c>
      <c r="X1639">
        <f t="shared" si="179"/>
        <v>0.62180543737616</v>
      </c>
      <c r="AH1639" t="str">
        <f t="shared" si="183"/>
        <v>3rd Quality</v>
      </c>
      <c r="AJ1639">
        <f>((T1639-X1639)*2)/9.7</f>
        <v>22.3934421778606</v>
      </c>
      <c r="AK1639">
        <f t="shared" si="181"/>
        <v>114145.35</v>
      </c>
    </row>
    <row r="1640" spans="1:37">
      <c r="A1640" t="s">
        <v>1703</v>
      </c>
      <c r="B1640">
        <v>29</v>
      </c>
      <c r="C1640" t="s">
        <v>50</v>
      </c>
      <c r="D1640" t="s">
        <v>51</v>
      </c>
      <c r="E1640">
        <v>1444</v>
      </c>
      <c r="F1640">
        <v>44</v>
      </c>
      <c r="G1640">
        <v>10</v>
      </c>
      <c r="H1640">
        <v>854.15</v>
      </c>
      <c r="I1640">
        <v>8626.66</v>
      </c>
      <c r="J1640">
        <v>79</v>
      </c>
      <c r="K1640">
        <v>1</v>
      </c>
      <c r="L1640">
        <v>29.8</v>
      </c>
      <c r="M1640">
        <v>30</v>
      </c>
      <c r="N1640" t="s">
        <v>81</v>
      </c>
      <c r="O1640" t="s">
        <v>75</v>
      </c>
      <c r="P1640" t="s">
        <v>48</v>
      </c>
      <c r="R1640">
        <f>SUMIF(A1640:A6639,"C01639",I1640:I6639)</f>
        <v>8626.66</v>
      </c>
      <c r="S1640" s="1">
        <v>2603.62</v>
      </c>
      <c r="T1640">
        <f t="shared" si="182"/>
        <v>109.198227848101</v>
      </c>
      <c r="U1640">
        <f t="shared" si="185"/>
        <v>2370</v>
      </c>
      <c r="V1640">
        <f t="shared" ref="V1640:V1646" si="186">U1640</f>
        <v>2370</v>
      </c>
      <c r="W1640">
        <f t="shared" si="180"/>
        <v>3160.60333333333</v>
      </c>
      <c r="X1640">
        <f t="shared" si="179"/>
        <v>1.69056957208921</v>
      </c>
      <c r="AH1640" t="str">
        <f t="shared" si="183"/>
        <v>3rd Quality</v>
      </c>
      <c r="AJ1640">
        <f>((T1640-X1640)*2)/29.8</f>
        <v>7.21527907892697</v>
      </c>
      <c r="AK1640">
        <f t="shared" si="181"/>
        <v>157682.241012658</v>
      </c>
    </row>
    <row r="1641" spans="1:37">
      <c r="A1641" t="s">
        <v>1704</v>
      </c>
      <c r="B1641">
        <v>41</v>
      </c>
      <c r="C1641" t="s">
        <v>50</v>
      </c>
      <c r="D1641" t="s">
        <v>45</v>
      </c>
      <c r="E1641">
        <v>1294</v>
      </c>
      <c r="F1641">
        <v>200</v>
      </c>
      <c r="G1641">
        <v>4</v>
      </c>
      <c r="H1641">
        <v>1257.42</v>
      </c>
      <c r="I1641">
        <v>5014.2</v>
      </c>
      <c r="J1641">
        <v>32</v>
      </c>
      <c r="K1641">
        <v>1</v>
      </c>
      <c r="L1641">
        <v>39.9</v>
      </c>
      <c r="M1641">
        <v>18.1</v>
      </c>
      <c r="N1641" t="s">
        <v>52</v>
      </c>
      <c r="O1641" t="s">
        <v>47</v>
      </c>
      <c r="P1641" t="s">
        <v>58</v>
      </c>
      <c r="R1641">
        <f>SUMIF(A1641:A6640,"C01640",I1641:I6640)</f>
        <v>5014.2</v>
      </c>
      <c r="S1641" s="1">
        <v>149868.22</v>
      </c>
      <c r="T1641">
        <f t="shared" si="182"/>
        <v>156.69375</v>
      </c>
      <c r="U1641">
        <f t="shared" si="185"/>
        <v>579.2</v>
      </c>
      <c r="V1641">
        <f t="shared" si="186"/>
        <v>579.2</v>
      </c>
      <c r="W1641">
        <f t="shared" si="180"/>
        <v>2090.87333333333</v>
      </c>
      <c r="X1641">
        <f t="shared" si="179"/>
        <v>1.02909131396033</v>
      </c>
      <c r="AH1641" t="str">
        <f t="shared" si="183"/>
        <v>3rd Quality</v>
      </c>
      <c r="AJ1641">
        <f>((T1641-X1641)*2)/39.9</f>
        <v>7.80273978376139</v>
      </c>
      <c r="AK1641">
        <f t="shared" si="181"/>
        <v>202761.7125</v>
      </c>
    </row>
    <row r="1642" spans="1:37">
      <c r="A1642" t="s">
        <v>1705</v>
      </c>
      <c r="B1642">
        <v>26</v>
      </c>
      <c r="C1642" t="s">
        <v>56</v>
      </c>
      <c r="D1642" t="s">
        <v>51</v>
      </c>
      <c r="E1642">
        <v>1165</v>
      </c>
      <c r="F1642">
        <v>159</v>
      </c>
      <c r="G1642">
        <v>5</v>
      </c>
      <c r="H1642">
        <v>520.53</v>
      </c>
      <c r="I1642">
        <v>2603.62</v>
      </c>
      <c r="J1642">
        <v>37</v>
      </c>
      <c r="K1642">
        <v>0</v>
      </c>
      <c r="L1642">
        <v>25</v>
      </c>
      <c r="M1642">
        <v>39.5</v>
      </c>
      <c r="N1642" t="s">
        <v>52</v>
      </c>
      <c r="O1642" t="s">
        <v>47</v>
      </c>
      <c r="P1642" t="s">
        <v>58</v>
      </c>
      <c r="R1642">
        <f>SUMIF(A1642:A6641,"C01641",I1642:I6641)</f>
        <v>2603.62</v>
      </c>
      <c r="S1642" s="1">
        <v>6099.76</v>
      </c>
      <c r="T1642">
        <f t="shared" si="182"/>
        <v>70.3681081081081</v>
      </c>
      <c r="U1642">
        <f t="shared" si="185"/>
        <v>1461.5</v>
      </c>
      <c r="V1642">
        <f t="shared" si="186"/>
        <v>1461.5</v>
      </c>
      <c r="W1642">
        <f t="shared" si="180"/>
        <v>1041.71666666667</v>
      </c>
      <c r="X1642">
        <f t="shared" si="179"/>
        <v>2.23810347146178</v>
      </c>
      <c r="AH1642" t="str">
        <f t="shared" si="183"/>
        <v>3rd Quality</v>
      </c>
      <c r="AJ1642">
        <f>((T1642-X1642)*2)/25</f>
        <v>5.45040037093171</v>
      </c>
      <c r="AK1642">
        <f t="shared" si="181"/>
        <v>81978.8459459459</v>
      </c>
    </row>
    <row r="1643" spans="1:37">
      <c r="A1643" t="s">
        <v>1706</v>
      </c>
      <c r="B1643">
        <v>44</v>
      </c>
      <c r="C1643" t="s">
        <v>101</v>
      </c>
      <c r="D1643" t="s">
        <v>60</v>
      </c>
      <c r="E1643">
        <v>1059</v>
      </c>
      <c r="F1643">
        <v>6</v>
      </c>
      <c r="G1643">
        <v>33</v>
      </c>
      <c r="H1643">
        <v>4256.1</v>
      </c>
      <c r="I1643">
        <v>149868.22</v>
      </c>
      <c r="J1643">
        <v>204</v>
      </c>
      <c r="K1643">
        <v>1</v>
      </c>
      <c r="L1643">
        <v>19.1</v>
      </c>
      <c r="M1643">
        <v>46.6</v>
      </c>
      <c r="N1643" t="s">
        <v>81</v>
      </c>
      <c r="O1643" t="s">
        <v>75</v>
      </c>
      <c r="P1643" t="s">
        <v>58</v>
      </c>
      <c r="R1643">
        <f>SUMIF(A1643:A6642,"C01642",I1643:I6642)</f>
        <v>149868.22</v>
      </c>
      <c r="S1643" s="1">
        <v>83083.42</v>
      </c>
      <c r="T1643">
        <f t="shared" si="182"/>
        <v>734.648137254902</v>
      </c>
      <c r="U1643">
        <f t="shared" si="185"/>
        <v>9506.4</v>
      </c>
      <c r="V1643">
        <f t="shared" si="186"/>
        <v>9506.4</v>
      </c>
      <c r="W1643">
        <f t="shared" si="180"/>
        <v>51375.1066666667</v>
      </c>
      <c r="X1643">
        <f t="shared" si="179"/>
        <v>0.248819341650807</v>
      </c>
      <c r="AH1643" t="str">
        <f t="shared" si="183"/>
        <v>3rd Quality</v>
      </c>
      <c r="AJ1643">
        <f>((T1643-X1643)*2)/19.1</f>
        <v>76.9004521375132</v>
      </c>
      <c r="AK1643">
        <f t="shared" si="181"/>
        <v>777992.377352941</v>
      </c>
    </row>
    <row r="1644" spans="1:37">
      <c r="A1644" t="s">
        <v>1707</v>
      </c>
      <c r="B1644">
        <v>19</v>
      </c>
      <c r="C1644" t="s">
        <v>50</v>
      </c>
      <c r="D1644" t="s">
        <v>60</v>
      </c>
      <c r="E1644">
        <v>693</v>
      </c>
      <c r="F1644">
        <v>48</v>
      </c>
      <c r="G1644">
        <v>7</v>
      </c>
      <c r="H1644">
        <v>783.48</v>
      </c>
      <c r="I1644">
        <v>6099.76</v>
      </c>
      <c r="J1644">
        <v>57</v>
      </c>
      <c r="K1644">
        <v>1</v>
      </c>
      <c r="L1644">
        <v>10.1</v>
      </c>
      <c r="M1644">
        <v>37.3</v>
      </c>
      <c r="N1644" t="s">
        <v>63</v>
      </c>
      <c r="O1644" t="s">
        <v>53</v>
      </c>
      <c r="P1644" t="s">
        <v>58</v>
      </c>
      <c r="R1644">
        <f>SUMIF(A1644:A6643,"C01643",I1644:I6643)</f>
        <v>6099.76</v>
      </c>
      <c r="S1644" s="1">
        <v>164979.64</v>
      </c>
      <c r="T1644">
        <f t="shared" si="182"/>
        <v>107.013333333333</v>
      </c>
      <c r="U1644">
        <f t="shared" si="185"/>
        <v>2126.1</v>
      </c>
      <c r="V1644">
        <f t="shared" si="186"/>
        <v>2126.1</v>
      </c>
      <c r="W1644">
        <f t="shared" si="180"/>
        <v>2294.74666666667</v>
      </c>
      <c r="X1644">
        <f t="shared" si="179"/>
        <v>0.884515239699801</v>
      </c>
      <c r="AH1644" t="str">
        <f t="shared" si="183"/>
        <v>3rd Quality</v>
      </c>
      <c r="AJ1644">
        <f>((T1644-X1644)*2)/10.1</f>
        <v>21.0156075432937</v>
      </c>
      <c r="AK1644">
        <f t="shared" si="181"/>
        <v>74160.24</v>
      </c>
    </row>
    <row r="1645" spans="1:37">
      <c r="A1645" t="s">
        <v>1708</v>
      </c>
      <c r="B1645">
        <v>21</v>
      </c>
      <c r="C1645" t="s">
        <v>44</v>
      </c>
      <c r="D1645" t="s">
        <v>51</v>
      </c>
      <c r="E1645">
        <v>1214</v>
      </c>
      <c r="F1645">
        <v>4</v>
      </c>
      <c r="G1645">
        <v>25</v>
      </c>
      <c r="H1645">
        <v>3178.36</v>
      </c>
      <c r="I1645">
        <v>83083.42</v>
      </c>
      <c r="J1645">
        <v>166</v>
      </c>
      <c r="K1645">
        <v>2</v>
      </c>
      <c r="L1645">
        <v>8</v>
      </c>
      <c r="M1645">
        <v>77.7</v>
      </c>
      <c r="N1645" t="s">
        <v>63</v>
      </c>
      <c r="O1645" t="s">
        <v>47</v>
      </c>
      <c r="P1645" t="s">
        <v>58</v>
      </c>
      <c r="R1645">
        <f>SUMIF(A1645:A6644,"C01644",I1645:I6644)</f>
        <v>83083.42</v>
      </c>
      <c r="S1645" s="1">
        <v>29927.39</v>
      </c>
      <c r="T1645">
        <f t="shared" si="182"/>
        <v>500.502530120482</v>
      </c>
      <c r="U1645">
        <f t="shared" si="185"/>
        <v>12898.2</v>
      </c>
      <c r="V1645">
        <f t="shared" si="186"/>
        <v>12898.2</v>
      </c>
      <c r="W1645">
        <f t="shared" si="180"/>
        <v>28754.26</v>
      </c>
      <c r="X1645">
        <f t="shared" si="179"/>
        <v>0.381957990913553</v>
      </c>
      <c r="AH1645" t="str">
        <f t="shared" si="183"/>
        <v>1st Quality</v>
      </c>
      <c r="AJ1645">
        <f>((T1645-X1645)*2)/8</f>
        <v>125.030143032392</v>
      </c>
      <c r="AK1645">
        <f t="shared" si="181"/>
        <v>607610.071566265</v>
      </c>
    </row>
    <row r="1646" spans="1:37">
      <c r="A1646" t="s">
        <v>1709</v>
      </c>
      <c r="B1646">
        <v>18</v>
      </c>
      <c r="C1646" t="s">
        <v>50</v>
      </c>
      <c r="D1646" t="s">
        <v>60</v>
      </c>
      <c r="E1646">
        <v>973</v>
      </c>
      <c r="F1646">
        <v>10</v>
      </c>
      <c r="G1646">
        <v>27</v>
      </c>
      <c r="H1646">
        <v>6352.32</v>
      </c>
      <c r="I1646">
        <v>164979.64</v>
      </c>
      <c r="J1646">
        <v>176</v>
      </c>
      <c r="K1646">
        <v>1</v>
      </c>
      <c r="L1646">
        <v>0</v>
      </c>
      <c r="M1646">
        <v>35.4</v>
      </c>
      <c r="N1646" t="s">
        <v>52</v>
      </c>
      <c r="O1646" t="s">
        <v>47</v>
      </c>
      <c r="P1646" t="s">
        <v>48</v>
      </c>
      <c r="R1646">
        <f>SUMIF(A1646:A6645,"C01645",I1646:I6645)</f>
        <v>164979.64</v>
      </c>
      <c r="S1646" s="1">
        <v>9744.17</v>
      </c>
      <c r="T1646">
        <f t="shared" si="182"/>
        <v>937.384318181818</v>
      </c>
      <c r="U1646">
        <f t="shared" si="185"/>
        <v>6230.4</v>
      </c>
      <c r="V1646">
        <f t="shared" si="186"/>
        <v>6230.4</v>
      </c>
      <c r="W1646">
        <f t="shared" si="180"/>
        <v>57110.9866666667</v>
      </c>
      <c r="X1646">
        <f t="shared" si="179"/>
        <v>0.153172384262758</v>
      </c>
      <c r="AH1646" t="str">
        <f t="shared" si="183"/>
        <v>1st Quality</v>
      </c>
      <c r="AJ1646">
        <f>((T1646-X1646)*2)</f>
        <v>1874.46229159511</v>
      </c>
      <c r="AK1646">
        <f t="shared" si="181"/>
        <v>912074.941590909</v>
      </c>
    </row>
    <row r="1647" spans="1:37">
      <c r="A1647" t="s">
        <v>1710</v>
      </c>
      <c r="B1647">
        <v>18</v>
      </c>
      <c r="C1647" t="s">
        <v>44</v>
      </c>
      <c r="D1647" t="s">
        <v>45</v>
      </c>
      <c r="E1647">
        <v>918</v>
      </c>
      <c r="F1647">
        <v>42</v>
      </c>
      <c r="G1647">
        <v>9</v>
      </c>
      <c r="H1647">
        <v>3311.91</v>
      </c>
      <c r="I1647">
        <v>29927.39</v>
      </c>
      <c r="J1647">
        <v>35</v>
      </c>
      <c r="K1647">
        <v>0</v>
      </c>
      <c r="L1647">
        <v>28.5</v>
      </c>
      <c r="M1647">
        <v>17</v>
      </c>
      <c r="N1647" t="s">
        <v>63</v>
      </c>
      <c r="O1647" t="s">
        <v>53</v>
      </c>
      <c r="P1647" t="s">
        <v>58</v>
      </c>
      <c r="R1647">
        <f>SUMIF(A1647:A6646,"C01646",I1647:I6646)</f>
        <v>29927.39</v>
      </c>
      <c r="S1647" s="1">
        <v>2023.01</v>
      </c>
      <c r="T1647">
        <f t="shared" si="182"/>
        <v>855.068285714286</v>
      </c>
      <c r="U1647">
        <f t="shared" si="185"/>
        <v>595</v>
      </c>
      <c r="V1647">
        <f t="shared" si="184"/>
        <v>49.5833333333333</v>
      </c>
      <c r="W1647">
        <f t="shared" si="180"/>
        <v>11080.1</v>
      </c>
      <c r="X1647">
        <f t="shared" ref="X1647:X1710" si="187">E1647/H1647</f>
        <v>0.277181445147966</v>
      </c>
      <c r="AH1647" t="str">
        <f t="shared" si="183"/>
        <v>2nd Quality</v>
      </c>
      <c r="AJ1647">
        <f>((T1647-X1647)*2)/28.5</f>
        <v>59.9853406504658</v>
      </c>
      <c r="AK1647">
        <f t="shared" si="181"/>
        <v>784952.686285714</v>
      </c>
    </row>
    <row r="1648" spans="1:37">
      <c r="A1648" t="s">
        <v>1711</v>
      </c>
      <c r="B1648">
        <v>22</v>
      </c>
      <c r="C1648" t="s">
        <v>44</v>
      </c>
      <c r="D1648" t="s">
        <v>51</v>
      </c>
      <c r="E1648">
        <v>1047</v>
      </c>
      <c r="F1648">
        <v>56</v>
      </c>
      <c r="G1648">
        <v>14</v>
      </c>
      <c r="H1648">
        <v>729.78</v>
      </c>
      <c r="I1648">
        <v>9744.17</v>
      </c>
      <c r="J1648">
        <v>77</v>
      </c>
      <c r="K1648">
        <v>0</v>
      </c>
      <c r="L1648">
        <v>11.3</v>
      </c>
      <c r="M1648">
        <v>35</v>
      </c>
      <c r="N1648" t="s">
        <v>81</v>
      </c>
      <c r="O1648" t="s">
        <v>47</v>
      </c>
      <c r="P1648" t="s">
        <v>58</v>
      </c>
      <c r="R1648">
        <f>SUMIF(A1648:A6647,"C01647",I1648:I6647)</f>
        <v>9744.17</v>
      </c>
      <c r="S1648" s="1">
        <v>1560.77</v>
      </c>
      <c r="T1648">
        <f t="shared" si="182"/>
        <v>126.547662337662</v>
      </c>
      <c r="U1648">
        <f t="shared" si="185"/>
        <v>2695</v>
      </c>
      <c r="V1648">
        <f t="shared" si="184"/>
        <v>224.583333333333</v>
      </c>
      <c r="W1648">
        <f t="shared" si="180"/>
        <v>3491.65</v>
      </c>
      <c r="X1648">
        <f t="shared" si="187"/>
        <v>1.43467894433939</v>
      </c>
      <c r="AH1648" t="str">
        <f t="shared" si="183"/>
        <v>3rd Quality</v>
      </c>
      <c r="AJ1648">
        <f>((T1648-X1648)*2)/11.3</f>
        <v>22.1438908660748</v>
      </c>
      <c r="AK1648">
        <f t="shared" si="181"/>
        <v>132495.402467532</v>
      </c>
    </row>
    <row r="1649" spans="1:37">
      <c r="A1649" t="s">
        <v>1712</v>
      </c>
      <c r="B1649">
        <v>40</v>
      </c>
      <c r="C1649" t="s">
        <v>44</v>
      </c>
      <c r="D1649" t="s">
        <v>45</v>
      </c>
      <c r="E1649">
        <v>656</v>
      </c>
      <c r="F1649">
        <v>280</v>
      </c>
      <c r="G1649">
        <v>3</v>
      </c>
      <c r="H1649">
        <v>650.35</v>
      </c>
      <c r="I1649">
        <v>2023.01</v>
      </c>
      <c r="J1649">
        <v>30</v>
      </c>
      <c r="K1649">
        <v>1</v>
      </c>
      <c r="L1649">
        <v>15.3</v>
      </c>
      <c r="M1649">
        <v>3.3</v>
      </c>
      <c r="N1649" t="s">
        <v>52</v>
      </c>
      <c r="O1649" t="s">
        <v>47</v>
      </c>
      <c r="P1649" t="s">
        <v>68</v>
      </c>
      <c r="R1649">
        <f>SUMIF(A1649:A6648,"C01648",I1649:I6648)</f>
        <v>2023.01</v>
      </c>
      <c r="S1649" s="1">
        <v>4355.8</v>
      </c>
      <c r="T1649">
        <f t="shared" si="182"/>
        <v>67.4336666666667</v>
      </c>
      <c r="U1649">
        <f t="shared" si="185"/>
        <v>99</v>
      </c>
      <c r="V1649">
        <f>U1649</f>
        <v>99</v>
      </c>
      <c r="W1649">
        <f t="shared" si="180"/>
        <v>891.453333333333</v>
      </c>
      <c r="X1649">
        <f t="shared" si="187"/>
        <v>1.00868762973783</v>
      </c>
      <c r="AH1649" t="str">
        <f t="shared" si="183"/>
        <v>3rd Quality</v>
      </c>
      <c r="AJ1649">
        <f>((T1649-X1649)*2)/15.3</f>
        <v>8.68300379567697</v>
      </c>
      <c r="AK1649">
        <f t="shared" si="181"/>
        <v>44236.4853333333</v>
      </c>
    </row>
    <row r="1650" spans="1:37">
      <c r="A1650" t="s">
        <v>1713</v>
      </c>
      <c r="B1650">
        <v>20</v>
      </c>
      <c r="C1650" t="s">
        <v>44</v>
      </c>
      <c r="D1650" t="s">
        <v>60</v>
      </c>
      <c r="E1650">
        <v>654</v>
      </c>
      <c r="F1650">
        <v>65</v>
      </c>
      <c r="G1650">
        <v>1</v>
      </c>
      <c r="H1650">
        <v>1393.78</v>
      </c>
      <c r="I1650">
        <v>1560.77</v>
      </c>
      <c r="J1650">
        <v>19</v>
      </c>
      <c r="K1650">
        <v>0</v>
      </c>
      <c r="L1650">
        <v>18.8</v>
      </c>
      <c r="M1650">
        <v>27.2</v>
      </c>
      <c r="N1650" t="s">
        <v>81</v>
      </c>
      <c r="O1650" t="s">
        <v>47</v>
      </c>
      <c r="P1650" t="s">
        <v>58</v>
      </c>
      <c r="R1650">
        <f>SUMIF(A1650:A6649,"C01649",I1650:I6649)</f>
        <v>1560.77</v>
      </c>
      <c r="S1650" s="1">
        <v>10454.37</v>
      </c>
      <c r="T1650">
        <f t="shared" si="182"/>
        <v>82.1457894736842</v>
      </c>
      <c r="U1650">
        <f t="shared" si="185"/>
        <v>516.8</v>
      </c>
      <c r="V1650">
        <f t="shared" si="184"/>
        <v>43.0666666666667</v>
      </c>
      <c r="W1650">
        <f t="shared" si="180"/>
        <v>985.183333333333</v>
      </c>
      <c r="X1650">
        <f t="shared" si="187"/>
        <v>0.469227568195842</v>
      </c>
      <c r="AH1650" t="str">
        <f t="shared" si="183"/>
        <v>3rd Quality</v>
      </c>
      <c r="AJ1650">
        <f>((T1650-X1650)*2)/18.8</f>
        <v>8.68899594739238</v>
      </c>
      <c r="AK1650">
        <f t="shared" si="181"/>
        <v>53723.3463157895</v>
      </c>
    </row>
    <row r="1651" spans="1:37">
      <c r="A1651" t="s">
        <v>1714</v>
      </c>
      <c r="B1651">
        <v>29</v>
      </c>
      <c r="C1651" t="s">
        <v>44</v>
      </c>
      <c r="D1651" t="s">
        <v>60</v>
      </c>
      <c r="E1651">
        <v>413</v>
      </c>
      <c r="F1651">
        <v>93</v>
      </c>
      <c r="G1651">
        <v>2</v>
      </c>
      <c r="H1651">
        <v>2002.51</v>
      </c>
      <c r="I1651">
        <v>4355.8</v>
      </c>
      <c r="J1651">
        <v>13</v>
      </c>
      <c r="K1651">
        <v>0</v>
      </c>
      <c r="L1651">
        <v>36.3</v>
      </c>
      <c r="M1651">
        <v>11.5</v>
      </c>
      <c r="N1651" t="s">
        <v>63</v>
      </c>
      <c r="O1651" t="s">
        <v>47</v>
      </c>
      <c r="P1651" t="s">
        <v>58</v>
      </c>
      <c r="R1651">
        <f>SUMIF(A1651:A6650,"C01650",I1651:I6650)</f>
        <v>4355.8</v>
      </c>
      <c r="S1651" s="1">
        <v>17585.8</v>
      </c>
      <c r="T1651">
        <f t="shared" si="182"/>
        <v>335.061538461538</v>
      </c>
      <c r="U1651">
        <f t="shared" si="185"/>
        <v>149.5</v>
      </c>
      <c r="V1651">
        <f t="shared" si="184"/>
        <v>12.4583333333333</v>
      </c>
      <c r="W1651">
        <f t="shared" si="180"/>
        <v>2119.77</v>
      </c>
      <c r="X1651">
        <f t="shared" si="187"/>
        <v>0.206241167334995</v>
      </c>
      <c r="AH1651" t="str">
        <f t="shared" si="183"/>
        <v>3rd Quality</v>
      </c>
      <c r="AJ1651">
        <f>((T1651-X1651)*2)/36.3</f>
        <v>18.4493276746117</v>
      </c>
      <c r="AK1651">
        <f t="shared" si="181"/>
        <v>138380.415384615</v>
      </c>
    </row>
    <row r="1652" spans="1:37">
      <c r="A1652" t="s">
        <v>1715</v>
      </c>
      <c r="B1652">
        <v>18</v>
      </c>
      <c r="C1652" t="s">
        <v>44</v>
      </c>
      <c r="D1652" t="s">
        <v>60</v>
      </c>
      <c r="E1652">
        <v>792</v>
      </c>
      <c r="F1652">
        <v>94</v>
      </c>
      <c r="G1652">
        <v>8</v>
      </c>
      <c r="H1652">
        <v>1315.4</v>
      </c>
      <c r="I1652">
        <v>10454.37</v>
      </c>
      <c r="J1652">
        <v>30</v>
      </c>
      <c r="K1652">
        <v>0</v>
      </c>
      <c r="L1652">
        <v>19.2</v>
      </c>
      <c r="M1652">
        <v>58.6</v>
      </c>
      <c r="N1652" t="s">
        <v>61</v>
      </c>
      <c r="O1652" t="s">
        <v>53</v>
      </c>
      <c r="P1652" t="s">
        <v>58</v>
      </c>
      <c r="R1652">
        <f>SUMIF(A1652:A6651,"C01651",I1652:I6651)</f>
        <v>10454.37</v>
      </c>
      <c r="S1652" s="1">
        <v>10469.82</v>
      </c>
      <c r="T1652">
        <f t="shared" si="182"/>
        <v>348.479</v>
      </c>
      <c r="U1652">
        <f t="shared" si="185"/>
        <v>1758</v>
      </c>
      <c r="V1652">
        <f t="shared" si="184"/>
        <v>146.5</v>
      </c>
      <c r="W1652">
        <f t="shared" si="180"/>
        <v>3923.59</v>
      </c>
      <c r="X1652">
        <f t="shared" si="187"/>
        <v>0.602098221073438</v>
      </c>
      <c r="AH1652" t="str">
        <f t="shared" si="183"/>
        <v>3rd Quality</v>
      </c>
      <c r="AJ1652">
        <f>((T1652-X1652)*2)/19.2</f>
        <v>36.2371772686382</v>
      </c>
      <c r="AK1652">
        <f t="shared" si="181"/>
        <v>275995.368</v>
      </c>
    </row>
    <row r="1653" spans="1:37">
      <c r="A1653" t="s">
        <v>1716</v>
      </c>
      <c r="B1653">
        <v>36</v>
      </c>
      <c r="C1653" t="s">
        <v>50</v>
      </c>
      <c r="D1653" t="s">
        <v>45</v>
      </c>
      <c r="E1653">
        <v>1261</v>
      </c>
      <c r="F1653">
        <v>20</v>
      </c>
      <c r="G1653">
        <v>9</v>
      </c>
      <c r="H1653">
        <v>2030.9</v>
      </c>
      <c r="I1653">
        <v>17585.8</v>
      </c>
      <c r="J1653">
        <v>76</v>
      </c>
      <c r="K1653">
        <v>0</v>
      </c>
      <c r="L1653">
        <v>23</v>
      </c>
      <c r="M1653">
        <v>19.8</v>
      </c>
      <c r="N1653" t="s">
        <v>78</v>
      </c>
      <c r="O1653" t="s">
        <v>47</v>
      </c>
      <c r="P1653" t="s">
        <v>68</v>
      </c>
      <c r="R1653">
        <f>SUMIF(A1653:A6652,"C01652",I1653:I6652)</f>
        <v>17585.8</v>
      </c>
      <c r="S1653" s="1">
        <v>40726.02</v>
      </c>
      <c r="T1653">
        <f t="shared" si="182"/>
        <v>231.392105263158</v>
      </c>
      <c r="U1653">
        <f t="shared" si="185"/>
        <v>1504.8</v>
      </c>
      <c r="V1653">
        <f t="shared" si="184"/>
        <v>125.4</v>
      </c>
      <c r="W1653">
        <f t="shared" si="180"/>
        <v>6539.23333333333</v>
      </c>
      <c r="X1653">
        <f t="shared" si="187"/>
        <v>0.620906987050076</v>
      </c>
      <c r="AH1653" t="str">
        <f t="shared" si="183"/>
        <v>2nd Quality</v>
      </c>
      <c r="AJ1653">
        <f>((T1653-X1653)*2)/23</f>
        <v>20.0670607196616</v>
      </c>
      <c r="AK1653">
        <f t="shared" si="181"/>
        <v>291785.444736842</v>
      </c>
    </row>
    <row r="1654" spans="1:37">
      <c r="A1654" t="s">
        <v>1717</v>
      </c>
      <c r="B1654">
        <v>23</v>
      </c>
      <c r="C1654" t="s">
        <v>50</v>
      </c>
      <c r="D1654" t="s">
        <v>60</v>
      </c>
      <c r="E1654">
        <v>462</v>
      </c>
      <c r="F1654">
        <v>15</v>
      </c>
      <c r="G1654">
        <v>7</v>
      </c>
      <c r="H1654">
        <v>1512.85</v>
      </c>
      <c r="I1654">
        <v>10469.82</v>
      </c>
      <c r="J1654">
        <v>62</v>
      </c>
      <c r="K1654">
        <v>0</v>
      </c>
      <c r="L1654">
        <v>34.3</v>
      </c>
      <c r="M1654">
        <v>10.2</v>
      </c>
      <c r="N1654" t="s">
        <v>57</v>
      </c>
      <c r="O1654" t="s">
        <v>75</v>
      </c>
      <c r="P1654" t="s">
        <v>66</v>
      </c>
      <c r="R1654">
        <f>SUMIF(A1654:A6653,"C01653",I1654:I6653)</f>
        <v>10469.82</v>
      </c>
      <c r="S1654" s="1">
        <v>937.48</v>
      </c>
      <c r="T1654">
        <f t="shared" si="182"/>
        <v>168.868064516129</v>
      </c>
      <c r="U1654">
        <f t="shared" si="185"/>
        <v>632.4</v>
      </c>
      <c r="V1654">
        <f t="shared" si="184"/>
        <v>52.7</v>
      </c>
      <c r="W1654">
        <f t="shared" si="180"/>
        <v>3994.55666666667</v>
      </c>
      <c r="X1654">
        <f t="shared" si="187"/>
        <v>0.30538387811085</v>
      </c>
      <c r="AH1654" t="str">
        <f t="shared" si="183"/>
        <v>3rd Quality</v>
      </c>
      <c r="AJ1654">
        <f>((T1654-X1654)*2)/34.3</f>
        <v>9.82872773399523</v>
      </c>
      <c r="AK1654">
        <f t="shared" si="181"/>
        <v>78017.0458064516</v>
      </c>
    </row>
    <row r="1655" spans="1:37">
      <c r="A1655" t="s">
        <v>1718</v>
      </c>
      <c r="B1655">
        <v>46</v>
      </c>
      <c r="C1655" t="s">
        <v>44</v>
      </c>
      <c r="D1655" t="s">
        <v>45</v>
      </c>
      <c r="E1655">
        <v>887</v>
      </c>
      <c r="F1655">
        <v>17</v>
      </c>
      <c r="G1655">
        <v>21</v>
      </c>
      <c r="H1655">
        <v>2028.81</v>
      </c>
      <c r="I1655">
        <v>40726.02</v>
      </c>
      <c r="J1655">
        <v>45</v>
      </c>
      <c r="K1655">
        <v>4</v>
      </c>
      <c r="L1655">
        <v>2.3</v>
      </c>
      <c r="M1655">
        <v>49.3</v>
      </c>
      <c r="N1655" t="s">
        <v>46</v>
      </c>
      <c r="O1655" t="s">
        <v>75</v>
      </c>
      <c r="P1655" t="s">
        <v>58</v>
      </c>
      <c r="R1655">
        <f>SUMIF(A1655:A6654,"C01654",I1655:I6654)</f>
        <v>40726.02</v>
      </c>
      <c r="S1655" s="1">
        <v>8936.29</v>
      </c>
      <c r="T1655">
        <f t="shared" si="182"/>
        <v>905.022666666667</v>
      </c>
      <c r="U1655">
        <f t="shared" si="185"/>
        <v>2218.5</v>
      </c>
      <c r="V1655">
        <f t="shared" ref="V1655:V1663" si="188">U1655</f>
        <v>2218.5</v>
      </c>
      <c r="W1655">
        <f t="shared" si="180"/>
        <v>14251.9433333333</v>
      </c>
      <c r="X1655">
        <f t="shared" si="187"/>
        <v>0.437202103696255</v>
      </c>
      <c r="AH1655" t="str">
        <f t="shared" si="183"/>
        <v>3rd Quality</v>
      </c>
      <c r="AJ1655">
        <f>((T1655-X1655)*2)/2.3</f>
        <v>786.596056141714</v>
      </c>
      <c r="AK1655">
        <f t="shared" si="181"/>
        <v>802755.105333333</v>
      </c>
    </row>
    <row r="1656" spans="1:37">
      <c r="A1656" t="s">
        <v>1719</v>
      </c>
      <c r="B1656">
        <v>36</v>
      </c>
      <c r="C1656" t="s">
        <v>44</v>
      </c>
      <c r="D1656" t="s">
        <v>60</v>
      </c>
      <c r="E1656">
        <v>1297</v>
      </c>
      <c r="F1656">
        <v>312</v>
      </c>
      <c r="G1656">
        <v>1</v>
      </c>
      <c r="H1656">
        <v>838.54</v>
      </c>
      <c r="I1656">
        <v>937.48</v>
      </c>
      <c r="J1656">
        <v>17</v>
      </c>
      <c r="K1656">
        <v>1</v>
      </c>
      <c r="L1656">
        <v>10.1</v>
      </c>
      <c r="M1656">
        <v>16.6</v>
      </c>
      <c r="N1656" t="s">
        <v>57</v>
      </c>
      <c r="O1656" t="s">
        <v>47</v>
      </c>
      <c r="P1656" t="s">
        <v>58</v>
      </c>
      <c r="R1656">
        <f>SUMIF(A1656:A6655,"C01655",I1656:I6655)</f>
        <v>937.48</v>
      </c>
      <c r="S1656" s="1">
        <v>34981.24</v>
      </c>
      <c r="T1656">
        <f t="shared" si="182"/>
        <v>55.1458823529412</v>
      </c>
      <c r="U1656">
        <f t="shared" si="185"/>
        <v>282.2</v>
      </c>
      <c r="V1656">
        <f t="shared" si="188"/>
        <v>282.2</v>
      </c>
      <c r="W1656">
        <f t="shared" si="180"/>
        <v>592.34</v>
      </c>
      <c r="X1656">
        <f t="shared" si="187"/>
        <v>1.54673599351253</v>
      </c>
      <c r="AH1656" t="str">
        <f t="shared" si="183"/>
        <v>3rd Quality</v>
      </c>
      <c r="AJ1656">
        <f>((T1656-X1656)*2)/10.1</f>
        <v>10.6136923484017</v>
      </c>
      <c r="AK1656">
        <f t="shared" si="181"/>
        <v>71524.2094117647</v>
      </c>
    </row>
    <row r="1657" spans="1:37">
      <c r="A1657" t="s">
        <v>1720</v>
      </c>
      <c r="B1657">
        <v>18</v>
      </c>
      <c r="C1657" t="s">
        <v>50</v>
      </c>
      <c r="D1657" t="s">
        <v>60</v>
      </c>
      <c r="E1657">
        <v>1326</v>
      </c>
      <c r="F1657">
        <v>8</v>
      </c>
      <c r="G1657">
        <v>9</v>
      </c>
      <c r="H1657">
        <v>1069.43</v>
      </c>
      <c r="I1657">
        <v>8936.29</v>
      </c>
      <c r="J1657">
        <v>81</v>
      </c>
      <c r="K1657">
        <v>1</v>
      </c>
      <c r="L1657">
        <v>29.6</v>
      </c>
      <c r="M1657">
        <v>16.9</v>
      </c>
      <c r="N1657" t="s">
        <v>63</v>
      </c>
      <c r="O1657" t="s">
        <v>75</v>
      </c>
      <c r="P1657" t="s">
        <v>58</v>
      </c>
      <c r="R1657">
        <f>SUMIF(A1657:A6656,"C01656",I1657:I6656)</f>
        <v>8936.29</v>
      </c>
      <c r="S1657" s="1">
        <v>2754.45</v>
      </c>
      <c r="T1657">
        <f t="shared" si="182"/>
        <v>110.324567901235</v>
      </c>
      <c r="U1657">
        <f t="shared" si="185"/>
        <v>1368.9</v>
      </c>
      <c r="V1657">
        <f t="shared" si="188"/>
        <v>1368.9</v>
      </c>
      <c r="W1657">
        <f t="shared" si="180"/>
        <v>3335.57333333333</v>
      </c>
      <c r="X1657">
        <f t="shared" si="187"/>
        <v>1.23991285077097</v>
      </c>
      <c r="AH1657" t="str">
        <f t="shared" si="183"/>
        <v>3rd Quality</v>
      </c>
      <c r="AJ1657">
        <f>((T1657-X1657)*2)/29.6</f>
        <v>7.37058480070703</v>
      </c>
      <c r="AK1657">
        <f t="shared" si="181"/>
        <v>146290.377037037</v>
      </c>
    </row>
    <row r="1658" spans="1:37">
      <c r="A1658" t="s">
        <v>1721</v>
      </c>
      <c r="B1658">
        <v>18</v>
      </c>
      <c r="C1658" t="s">
        <v>50</v>
      </c>
      <c r="D1658" t="s">
        <v>60</v>
      </c>
      <c r="E1658">
        <v>1386</v>
      </c>
      <c r="F1658">
        <v>23</v>
      </c>
      <c r="G1658">
        <v>10</v>
      </c>
      <c r="H1658">
        <v>3256.06</v>
      </c>
      <c r="I1658">
        <v>34981.24</v>
      </c>
      <c r="J1658">
        <v>28</v>
      </c>
      <c r="K1658">
        <v>3</v>
      </c>
      <c r="L1658">
        <v>23.6</v>
      </c>
      <c r="M1658">
        <v>52.1</v>
      </c>
      <c r="N1658" t="s">
        <v>57</v>
      </c>
      <c r="O1658" t="s">
        <v>47</v>
      </c>
      <c r="P1658" t="s">
        <v>58</v>
      </c>
      <c r="R1658">
        <f>SUMIF(A1658:A6657,"C01657",I1658:I6657)</f>
        <v>34981.24</v>
      </c>
      <c r="S1658" s="1">
        <v>16709.31</v>
      </c>
      <c r="T1658">
        <f t="shared" si="182"/>
        <v>1249.33</v>
      </c>
      <c r="U1658">
        <f t="shared" si="185"/>
        <v>1458.8</v>
      </c>
      <c r="V1658">
        <f t="shared" si="188"/>
        <v>1458.8</v>
      </c>
      <c r="W1658">
        <f t="shared" si="180"/>
        <v>12746.1</v>
      </c>
      <c r="X1658">
        <f t="shared" si="187"/>
        <v>0.425667831673864</v>
      </c>
      <c r="AH1658" t="str">
        <f t="shared" si="183"/>
        <v>1st Quality</v>
      </c>
      <c r="AJ1658">
        <f>((T1658-X1658)*2)/23.6</f>
        <v>105.839350183756</v>
      </c>
      <c r="AK1658">
        <f t="shared" si="181"/>
        <v>1731571.38</v>
      </c>
    </row>
    <row r="1659" spans="1:37">
      <c r="A1659" t="s">
        <v>1722</v>
      </c>
      <c r="B1659">
        <v>32</v>
      </c>
      <c r="C1659" t="s">
        <v>44</v>
      </c>
      <c r="D1659" t="s">
        <v>45</v>
      </c>
      <c r="E1659">
        <v>773</v>
      </c>
      <c r="F1659">
        <v>35</v>
      </c>
      <c r="G1659">
        <v>3</v>
      </c>
      <c r="H1659">
        <v>937.42</v>
      </c>
      <c r="I1659">
        <v>2754.45</v>
      </c>
      <c r="J1659">
        <v>20</v>
      </c>
      <c r="K1659">
        <v>1</v>
      </c>
      <c r="L1659">
        <v>39</v>
      </c>
      <c r="M1659">
        <v>22.6</v>
      </c>
      <c r="N1659" t="s">
        <v>46</v>
      </c>
      <c r="O1659" t="s">
        <v>53</v>
      </c>
      <c r="P1659" t="s">
        <v>58</v>
      </c>
      <c r="R1659">
        <f>SUMIF(A1659:A6658,"C01658",I1659:I6658)</f>
        <v>2754.45</v>
      </c>
      <c r="S1659" s="1">
        <v>59630.67</v>
      </c>
      <c r="T1659">
        <f t="shared" si="182"/>
        <v>137.7225</v>
      </c>
      <c r="U1659">
        <f t="shared" si="185"/>
        <v>452</v>
      </c>
      <c r="V1659">
        <f t="shared" si="188"/>
        <v>452</v>
      </c>
      <c r="W1659">
        <f t="shared" si="180"/>
        <v>1230.95666666667</v>
      </c>
      <c r="X1659">
        <f t="shared" si="187"/>
        <v>0.824603699515692</v>
      </c>
      <c r="AH1659" t="str">
        <f t="shared" si="183"/>
        <v>3rd Quality</v>
      </c>
      <c r="AJ1659">
        <f>((T1659-X1659)*2)/39</f>
        <v>7.02040493848637</v>
      </c>
      <c r="AK1659">
        <f t="shared" si="181"/>
        <v>106459.4925</v>
      </c>
    </row>
    <row r="1660" spans="1:37">
      <c r="A1660" t="s">
        <v>1723</v>
      </c>
      <c r="B1660">
        <v>22</v>
      </c>
      <c r="C1660" t="s">
        <v>50</v>
      </c>
      <c r="D1660" t="s">
        <v>60</v>
      </c>
      <c r="E1660">
        <v>736</v>
      </c>
      <c r="F1660">
        <v>13</v>
      </c>
      <c r="G1660">
        <v>8</v>
      </c>
      <c r="H1660">
        <v>2015.3</v>
      </c>
      <c r="I1660">
        <v>16709.31</v>
      </c>
      <c r="J1660">
        <v>77</v>
      </c>
      <c r="K1660">
        <v>1</v>
      </c>
      <c r="L1660">
        <v>12.9</v>
      </c>
      <c r="M1660">
        <v>29.4</v>
      </c>
      <c r="N1660" t="s">
        <v>46</v>
      </c>
      <c r="O1660" t="s">
        <v>75</v>
      </c>
      <c r="P1660" t="s">
        <v>68</v>
      </c>
      <c r="R1660">
        <f>SUMIF(A1660:A6659,"C01659",I1660:I6659)</f>
        <v>16709.31</v>
      </c>
      <c r="S1660" s="1">
        <v>86714.73</v>
      </c>
      <c r="T1660">
        <f t="shared" si="182"/>
        <v>217.004025974026</v>
      </c>
      <c r="U1660">
        <f t="shared" si="185"/>
        <v>2263.8</v>
      </c>
      <c r="V1660">
        <f t="shared" si="188"/>
        <v>2263.8</v>
      </c>
      <c r="W1660">
        <f t="shared" si="180"/>
        <v>6241.87</v>
      </c>
      <c r="X1660">
        <f t="shared" si="187"/>
        <v>0.365206172778246</v>
      </c>
      <c r="AH1660" t="str">
        <f t="shared" si="183"/>
        <v>3rd Quality</v>
      </c>
      <c r="AJ1660">
        <f>((T1660-X1660)*2)/12.9</f>
        <v>33.5874139226741</v>
      </c>
      <c r="AK1660">
        <f t="shared" si="181"/>
        <v>159714.963116883</v>
      </c>
    </row>
    <row r="1661" spans="1:37">
      <c r="A1661" t="s">
        <v>1724</v>
      </c>
      <c r="B1661">
        <v>36</v>
      </c>
      <c r="C1661" t="s">
        <v>50</v>
      </c>
      <c r="D1661" t="s">
        <v>51</v>
      </c>
      <c r="E1661">
        <v>671</v>
      </c>
      <c r="F1661">
        <v>14</v>
      </c>
      <c r="G1661">
        <v>29</v>
      </c>
      <c r="H1661">
        <v>1866.79</v>
      </c>
      <c r="I1661">
        <v>59630.67</v>
      </c>
      <c r="J1661">
        <v>123</v>
      </c>
      <c r="K1661">
        <v>1</v>
      </c>
      <c r="L1661">
        <v>0</v>
      </c>
      <c r="M1661">
        <v>83</v>
      </c>
      <c r="N1661" t="s">
        <v>63</v>
      </c>
      <c r="O1661" t="s">
        <v>47</v>
      </c>
      <c r="P1661" t="s">
        <v>58</v>
      </c>
      <c r="R1661">
        <f>SUMIF(A1661:A6660,"C01660",I1661:I6660)</f>
        <v>59630.67</v>
      </c>
      <c r="S1661" s="1">
        <v>65650.38</v>
      </c>
      <c r="T1661">
        <f t="shared" si="182"/>
        <v>484.802195121951</v>
      </c>
      <c r="U1661">
        <f t="shared" si="185"/>
        <v>10209</v>
      </c>
      <c r="V1661">
        <f t="shared" si="188"/>
        <v>10209</v>
      </c>
      <c r="W1661">
        <f t="shared" si="180"/>
        <v>20499.4866666667</v>
      </c>
      <c r="X1661">
        <f t="shared" si="187"/>
        <v>0.359440536964522</v>
      </c>
      <c r="AH1661" t="str">
        <f t="shared" si="183"/>
        <v>2nd Quality</v>
      </c>
      <c r="AJ1661">
        <f>((T1661-X1661)*2)</f>
        <v>968.885509169973</v>
      </c>
      <c r="AK1661">
        <f t="shared" si="181"/>
        <v>325302.272926829</v>
      </c>
    </row>
    <row r="1662" spans="1:37">
      <c r="A1662" t="s">
        <v>1725</v>
      </c>
      <c r="B1662">
        <v>36</v>
      </c>
      <c r="C1662" t="s">
        <v>44</v>
      </c>
      <c r="D1662" t="s">
        <v>60</v>
      </c>
      <c r="E1662">
        <v>822</v>
      </c>
      <c r="F1662">
        <v>14</v>
      </c>
      <c r="G1662">
        <v>30</v>
      </c>
      <c r="H1662">
        <v>2827.99</v>
      </c>
      <c r="I1662">
        <v>86714.73</v>
      </c>
      <c r="J1662">
        <v>211</v>
      </c>
      <c r="K1662">
        <v>5</v>
      </c>
      <c r="L1662">
        <v>0</v>
      </c>
      <c r="M1662">
        <v>33.3</v>
      </c>
      <c r="N1662" t="s">
        <v>57</v>
      </c>
      <c r="O1662" t="s">
        <v>75</v>
      </c>
      <c r="P1662" t="s">
        <v>58</v>
      </c>
      <c r="R1662">
        <f>SUMIF(A1662:A6661,"C01661",I1662:I6661)</f>
        <v>86714.73</v>
      </c>
      <c r="S1662" s="1">
        <v>498.96</v>
      </c>
      <c r="T1662">
        <f t="shared" si="182"/>
        <v>410.97028436019</v>
      </c>
      <c r="U1662">
        <f t="shared" si="185"/>
        <v>7026.3</v>
      </c>
      <c r="V1662">
        <f t="shared" si="188"/>
        <v>7026.3</v>
      </c>
      <c r="W1662">
        <f t="shared" si="180"/>
        <v>29847.9066666667</v>
      </c>
      <c r="X1662">
        <f t="shared" si="187"/>
        <v>0.290665808577824</v>
      </c>
      <c r="AH1662" t="str">
        <f t="shared" si="183"/>
        <v>2nd Quality</v>
      </c>
      <c r="AJ1662">
        <f>((T1662-X1662)*2)</f>
        <v>821.359237103224</v>
      </c>
      <c r="AK1662">
        <f t="shared" si="181"/>
        <v>337817.573744076</v>
      </c>
    </row>
    <row r="1663" spans="1:37">
      <c r="A1663" t="s">
        <v>1726</v>
      </c>
      <c r="B1663">
        <v>39</v>
      </c>
      <c r="C1663" t="s">
        <v>50</v>
      </c>
      <c r="D1663" t="s">
        <v>60</v>
      </c>
      <c r="E1663">
        <v>1097</v>
      </c>
      <c r="F1663">
        <v>29</v>
      </c>
      <c r="G1663">
        <v>5</v>
      </c>
      <c r="H1663">
        <v>12771.96</v>
      </c>
      <c r="I1663">
        <v>65650.38</v>
      </c>
      <c r="J1663">
        <v>32</v>
      </c>
      <c r="K1663">
        <v>3</v>
      </c>
      <c r="L1663">
        <v>10.9</v>
      </c>
      <c r="M1663">
        <v>13.9</v>
      </c>
      <c r="N1663" t="s">
        <v>61</v>
      </c>
      <c r="O1663" t="s">
        <v>47</v>
      </c>
      <c r="P1663" t="s">
        <v>48</v>
      </c>
      <c r="R1663">
        <f>SUMIF(A1663:A6662,"C01662",I1663:I6662)</f>
        <v>65650.38</v>
      </c>
      <c r="S1663" s="1">
        <v>73968.29</v>
      </c>
      <c r="T1663">
        <f t="shared" si="182"/>
        <v>2051.574375</v>
      </c>
      <c r="U1663">
        <f t="shared" si="185"/>
        <v>444.8</v>
      </c>
      <c r="V1663">
        <f t="shared" si="188"/>
        <v>444.8</v>
      </c>
      <c r="W1663">
        <f t="shared" si="180"/>
        <v>26141.1133333333</v>
      </c>
      <c r="X1663">
        <f t="shared" si="187"/>
        <v>0.0858912805865349</v>
      </c>
      <c r="AH1663" t="str">
        <f t="shared" si="183"/>
        <v>2nd Quality</v>
      </c>
      <c r="AJ1663">
        <f>((T1663-X1663)*2)/10.9</f>
        <v>376.419905269617</v>
      </c>
      <c r="AK1663">
        <f t="shared" si="181"/>
        <v>2250577.089375</v>
      </c>
    </row>
    <row r="1664" spans="1:37">
      <c r="A1664" t="s">
        <v>1727</v>
      </c>
      <c r="B1664">
        <v>43</v>
      </c>
      <c r="C1664" t="s">
        <v>50</v>
      </c>
      <c r="D1664" t="s">
        <v>45</v>
      </c>
      <c r="E1664">
        <v>1111</v>
      </c>
      <c r="F1664">
        <v>29</v>
      </c>
      <c r="G1664">
        <v>1</v>
      </c>
      <c r="H1664">
        <v>561.49</v>
      </c>
      <c r="I1664">
        <v>498.96</v>
      </c>
      <c r="J1664">
        <v>16</v>
      </c>
      <c r="K1664">
        <v>0</v>
      </c>
      <c r="L1664">
        <v>37.4</v>
      </c>
      <c r="M1664">
        <v>17.2</v>
      </c>
      <c r="N1664" t="s">
        <v>61</v>
      </c>
      <c r="O1664" t="s">
        <v>75</v>
      </c>
      <c r="P1664" t="s">
        <v>58</v>
      </c>
      <c r="R1664">
        <f>SUMIF(A1664:A6663,"C01663",I1664:I6663)</f>
        <v>498.96</v>
      </c>
      <c r="S1664" s="1">
        <v>2457.49</v>
      </c>
      <c r="T1664">
        <f t="shared" si="182"/>
        <v>31.185</v>
      </c>
      <c r="U1664">
        <f t="shared" si="185"/>
        <v>275.2</v>
      </c>
      <c r="V1664">
        <f t="shared" si="184"/>
        <v>22.9333333333333</v>
      </c>
      <c r="W1664">
        <f t="shared" si="180"/>
        <v>353.816666666667</v>
      </c>
      <c r="X1664">
        <f t="shared" si="187"/>
        <v>1.97866391209104</v>
      </c>
      <c r="AH1664" t="str">
        <f t="shared" si="183"/>
        <v>3rd Quality</v>
      </c>
      <c r="AJ1664">
        <f>((T1664-X1664)*2)/37.4</f>
        <v>1.56183615443363</v>
      </c>
      <c r="AK1664">
        <f t="shared" si="181"/>
        <v>34646.535</v>
      </c>
    </row>
    <row r="1665" spans="1:37">
      <c r="A1665" t="s">
        <v>1728</v>
      </c>
      <c r="B1665">
        <v>28</v>
      </c>
      <c r="C1665" t="s">
        <v>50</v>
      </c>
      <c r="D1665" t="s">
        <v>45</v>
      </c>
      <c r="E1665">
        <v>1029</v>
      </c>
      <c r="F1665">
        <v>3</v>
      </c>
      <c r="G1665">
        <v>26</v>
      </c>
      <c r="H1665">
        <v>3123.15</v>
      </c>
      <c r="I1665">
        <v>73968.29</v>
      </c>
      <c r="J1665">
        <v>139</v>
      </c>
      <c r="K1665">
        <v>2</v>
      </c>
      <c r="L1665">
        <v>16.5</v>
      </c>
      <c r="M1665">
        <v>34.2</v>
      </c>
      <c r="N1665" t="s">
        <v>78</v>
      </c>
      <c r="O1665" t="s">
        <v>47</v>
      </c>
      <c r="P1665" t="s">
        <v>58</v>
      </c>
      <c r="R1665">
        <f>SUMIF(A1665:A6664,"C01664",I1665:I6664)</f>
        <v>73968.29</v>
      </c>
      <c r="S1665" s="1">
        <v>1127.49</v>
      </c>
      <c r="T1665">
        <f t="shared" si="182"/>
        <v>532.145971223022</v>
      </c>
      <c r="U1665">
        <f t="shared" si="185"/>
        <v>4753.8</v>
      </c>
      <c r="V1665">
        <f>U1665</f>
        <v>4753.8</v>
      </c>
      <c r="W1665">
        <f t="shared" si="180"/>
        <v>25697.48</v>
      </c>
      <c r="X1665">
        <f t="shared" si="187"/>
        <v>0.329475049229144</v>
      </c>
      <c r="AH1665" t="str">
        <f t="shared" si="183"/>
        <v>1st Quality</v>
      </c>
      <c r="AJ1665">
        <f>((T1665-X1665)*2)/16.5</f>
        <v>64.4626055968234</v>
      </c>
      <c r="AK1665">
        <f t="shared" si="181"/>
        <v>547578.204388489</v>
      </c>
    </row>
    <row r="1666" spans="1:37">
      <c r="A1666" t="s">
        <v>1729</v>
      </c>
      <c r="B1666">
        <v>45</v>
      </c>
      <c r="C1666" t="s">
        <v>44</v>
      </c>
      <c r="D1666" t="s">
        <v>45</v>
      </c>
      <c r="E1666">
        <v>875</v>
      </c>
      <c r="F1666">
        <v>278</v>
      </c>
      <c r="G1666">
        <v>2</v>
      </c>
      <c r="H1666">
        <v>1216.91</v>
      </c>
      <c r="I1666">
        <v>2457.49</v>
      </c>
      <c r="J1666">
        <v>20</v>
      </c>
      <c r="K1666">
        <v>0</v>
      </c>
      <c r="L1666">
        <v>20.9</v>
      </c>
      <c r="M1666">
        <v>33</v>
      </c>
      <c r="N1666" t="s">
        <v>46</v>
      </c>
      <c r="O1666" t="s">
        <v>75</v>
      </c>
      <c r="P1666" t="s">
        <v>66</v>
      </c>
      <c r="R1666">
        <f>SUMIF(A1666:A6665,"C01665",I1666:I6665)</f>
        <v>2457.49</v>
      </c>
      <c r="S1666" s="1">
        <v>2029.77</v>
      </c>
      <c r="T1666">
        <f t="shared" si="182"/>
        <v>122.8745</v>
      </c>
      <c r="U1666">
        <f t="shared" si="185"/>
        <v>660</v>
      </c>
      <c r="V1666">
        <f t="shared" si="184"/>
        <v>55</v>
      </c>
      <c r="W1666">
        <f t="shared" si="180"/>
        <v>1225.13333333333</v>
      </c>
      <c r="X1666">
        <f t="shared" si="187"/>
        <v>0.719034275336713</v>
      </c>
      <c r="AH1666" t="str">
        <f t="shared" si="183"/>
        <v>3rd Quality</v>
      </c>
      <c r="AJ1666">
        <f>((T1666-X1666)*2)/20.9</f>
        <v>11.689518251164</v>
      </c>
      <c r="AK1666">
        <f t="shared" si="181"/>
        <v>107515.1875</v>
      </c>
    </row>
    <row r="1667" spans="1:37">
      <c r="A1667" t="s">
        <v>1730</v>
      </c>
      <c r="B1667">
        <v>18</v>
      </c>
      <c r="C1667" t="s">
        <v>44</v>
      </c>
      <c r="D1667" t="s">
        <v>45</v>
      </c>
      <c r="E1667">
        <v>1138</v>
      </c>
      <c r="F1667">
        <v>23</v>
      </c>
      <c r="G1667">
        <v>1</v>
      </c>
      <c r="H1667">
        <v>1163.61</v>
      </c>
      <c r="I1667">
        <v>1127.49</v>
      </c>
      <c r="J1667">
        <v>8</v>
      </c>
      <c r="K1667">
        <v>0</v>
      </c>
      <c r="L1667">
        <v>37.8</v>
      </c>
      <c r="M1667">
        <v>32.7</v>
      </c>
      <c r="N1667" t="s">
        <v>46</v>
      </c>
      <c r="O1667" t="s">
        <v>53</v>
      </c>
      <c r="P1667" t="s">
        <v>66</v>
      </c>
      <c r="R1667">
        <f>SUMIF(A1667:A6666,"C01666",I1667:I6666)</f>
        <v>1127.49</v>
      </c>
      <c r="S1667" s="1">
        <v>18718.53</v>
      </c>
      <c r="T1667">
        <f t="shared" si="182"/>
        <v>140.93625</v>
      </c>
      <c r="U1667">
        <f t="shared" si="185"/>
        <v>261.6</v>
      </c>
      <c r="V1667">
        <f t="shared" si="184"/>
        <v>21.8</v>
      </c>
      <c r="W1667">
        <f t="shared" ref="W1667:W1730" si="189">(H1667+I1667+1)/3</f>
        <v>764.033333333333</v>
      </c>
      <c r="X1667">
        <f t="shared" si="187"/>
        <v>0.977990907606501</v>
      </c>
      <c r="AH1667" t="str">
        <f t="shared" si="183"/>
        <v>3rd Quality</v>
      </c>
      <c r="AJ1667">
        <f>((T1667-X1667)*2)/37.8</f>
        <v>7.40519889377743</v>
      </c>
      <c r="AK1667">
        <f t="shared" ref="AK1667:AK1730" si="190">I1667/J1667*E1667</f>
        <v>160385.4525</v>
      </c>
    </row>
    <row r="1668" spans="1:37">
      <c r="A1668" t="s">
        <v>1731</v>
      </c>
      <c r="B1668">
        <v>41</v>
      </c>
      <c r="C1668" t="s">
        <v>50</v>
      </c>
      <c r="D1668" t="s">
        <v>60</v>
      </c>
      <c r="E1668">
        <v>743</v>
      </c>
      <c r="F1668">
        <v>14</v>
      </c>
      <c r="G1668">
        <v>2</v>
      </c>
      <c r="H1668">
        <v>988.98</v>
      </c>
      <c r="I1668">
        <v>2029.77</v>
      </c>
      <c r="J1668">
        <v>22</v>
      </c>
      <c r="K1668">
        <v>0</v>
      </c>
      <c r="L1668">
        <v>24.7</v>
      </c>
      <c r="M1668">
        <v>22.4</v>
      </c>
      <c r="N1668" t="s">
        <v>46</v>
      </c>
      <c r="O1668" t="s">
        <v>75</v>
      </c>
      <c r="P1668" t="s">
        <v>68</v>
      </c>
      <c r="R1668">
        <f>SUMIF(A1668:A6667,"C01667",I1668:I6667)</f>
        <v>2029.77</v>
      </c>
      <c r="S1668" s="1">
        <v>86268.27</v>
      </c>
      <c r="T1668">
        <f t="shared" si="182"/>
        <v>92.2622727272727</v>
      </c>
      <c r="U1668">
        <f t="shared" si="185"/>
        <v>492.8</v>
      </c>
      <c r="V1668">
        <f t="shared" si="184"/>
        <v>41.0666666666667</v>
      </c>
      <c r="W1668">
        <f t="shared" si="189"/>
        <v>1006.58333333333</v>
      </c>
      <c r="X1668">
        <f t="shared" si="187"/>
        <v>0.751279095633885</v>
      </c>
      <c r="AH1668" t="str">
        <f t="shared" si="183"/>
        <v>3rd Quality</v>
      </c>
      <c r="AJ1668">
        <f>((T1668-X1668)*2)/24.7</f>
        <v>7.40979705519343</v>
      </c>
      <c r="AK1668">
        <f t="shared" si="190"/>
        <v>68550.8686363636</v>
      </c>
    </row>
    <row r="1669" spans="1:37">
      <c r="A1669" t="s">
        <v>1732</v>
      </c>
      <c r="B1669">
        <v>30</v>
      </c>
      <c r="C1669" t="s">
        <v>50</v>
      </c>
      <c r="D1669" t="s">
        <v>60</v>
      </c>
      <c r="E1669">
        <v>469</v>
      </c>
      <c r="F1669">
        <v>24</v>
      </c>
      <c r="G1669">
        <v>11</v>
      </c>
      <c r="H1669">
        <v>1750.31</v>
      </c>
      <c r="I1669">
        <v>18718.53</v>
      </c>
      <c r="J1669">
        <v>73</v>
      </c>
      <c r="K1669">
        <v>0</v>
      </c>
      <c r="L1669">
        <v>8.1</v>
      </c>
      <c r="M1669">
        <v>21.3</v>
      </c>
      <c r="N1669" t="s">
        <v>63</v>
      </c>
      <c r="O1669" t="s">
        <v>53</v>
      </c>
      <c r="P1669" t="s">
        <v>58</v>
      </c>
      <c r="R1669">
        <f>SUMIF(A1669:A6668,"C01668",I1669:I6668)</f>
        <v>18718.53</v>
      </c>
      <c r="S1669" s="1">
        <v>3340.28</v>
      </c>
      <c r="T1669">
        <f t="shared" si="182"/>
        <v>256.418219178082</v>
      </c>
      <c r="U1669">
        <f t="shared" si="185"/>
        <v>1554.9</v>
      </c>
      <c r="V1669">
        <f t="shared" si="184"/>
        <v>129.575</v>
      </c>
      <c r="W1669">
        <f t="shared" si="189"/>
        <v>6823.28</v>
      </c>
      <c r="X1669">
        <f t="shared" si="187"/>
        <v>0.267952534122527</v>
      </c>
      <c r="AH1669" t="str">
        <f t="shared" si="183"/>
        <v>2nd Quality</v>
      </c>
      <c r="AJ1669">
        <f>((T1669-X1669)*2)/8.1</f>
        <v>63.2469794182616</v>
      </c>
      <c r="AK1669">
        <f t="shared" si="190"/>
        <v>120260.144794521</v>
      </c>
    </row>
    <row r="1670" spans="1:37">
      <c r="A1670" t="s">
        <v>1733</v>
      </c>
      <c r="B1670">
        <v>48</v>
      </c>
      <c r="C1670" t="s">
        <v>50</v>
      </c>
      <c r="D1670" t="s">
        <v>60</v>
      </c>
      <c r="E1670">
        <v>1419</v>
      </c>
      <c r="F1670">
        <v>10</v>
      </c>
      <c r="G1670">
        <v>21</v>
      </c>
      <c r="H1670">
        <v>4455.59</v>
      </c>
      <c r="I1670">
        <v>86268.27</v>
      </c>
      <c r="J1670">
        <v>47</v>
      </c>
      <c r="K1670">
        <v>1</v>
      </c>
      <c r="L1670">
        <v>0</v>
      </c>
      <c r="M1670">
        <v>18.8</v>
      </c>
      <c r="N1670" t="s">
        <v>52</v>
      </c>
      <c r="O1670" t="s">
        <v>47</v>
      </c>
      <c r="P1670" t="s">
        <v>58</v>
      </c>
      <c r="R1670">
        <f>SUMIF(A1670:A6669,"C01669",I1670:I6669)</f>
        <v>86268.27</v>
      </c>
      <c r="S1670" s="1">
        <v>14981.63</v>
      </c>
      <c r="T1670">
        <f t="shared" si="182"/>
        <v>1835.49510638298</v>
      </c>
      <c r="U1670">
        <f t="shared" si="185"/>
        <v>883.6</v>
      </c>
      <c r="V1670">
        <f>U1670</f>
        <v>883.6</v>
      </c>
      <c r="W1670">
        <f t="shared" si="189"/>
        <v>30241.62</v>
      </c>
      <c r="X1670">
        <f t="shared" si="187"/>
        <v>0.318476340955968</v>
      </c>
      <c r="AH1670" t="str">
        <f t="shared" si="183"/>
        <v>3rd Quality</v>
      </c>
      <c r="AJ1670">
        <f>((T1670-X1670)*2)</f>
        <v>3670.35326008405</v>
      </c>
      <c r="AK1670">
        <f t="shared" si="190"/>
        <v>2604567.55595745</v>
      </c>
    </row>
    <row r="1671" spans="1:37">
      <c r="A1671" t="s">
        <v>1734</v>
      </c>
      <c r="B1671">
        <v>52</v>
      </c>
      <c r="C1671" t="s">
        <v>50</v>
      </c>
      <c r="D1671" t="s">
        <v>45</v>
      </c>
      <c r="E1671">
        <v>460</v>
      </c>
      <c r="F1671">
        <v>38</v>
      </c>
      <c r="G1671">
        <v>2</v>
      </c>
      <c r="H1671">
        <v>1559.1</v>
      </c>
      <c r="I1671">
        <v>3340.28</v>
      </c>
      <c r="J1671">
        <v>15</v>
      </c>
      <c r="K1671">
        <v>0</v>
      </c>
      <c r="L1671">
        <v>6.8</v>
      </c>
      <c r="M1671">
        <v>11.2</v>
      </c>
      <c r="N1671" t="s">
        <v>57</v>
      </c>
      <c r="O1671" t="s">
        <v>47</v>
      </c>
      <c r="P1671" t="s">
        <v>68</v>
      </c>
      <c r="R1671">
        <f>SUMIF(A1671:A6670,"C01670",I1671:I6670)</f>
        <v>3340.28</v>
      </c>
      <c r="S1671" s="1">
        <v>33780.99</v>
      </c>
      <c r="T1671">
        <f t="shared" si="182"/>
        <v>222.685333333333</v>
      </c>
      <c r="U1671">
        <f t="shared" si="185"/>
        <v>168</v>
      </c>
      <c r="V1671">
        <f t="shared" si="184"/>
        <v>14</v>
      </c>
      <c r="W1671">
        <f t="shared" si="189"/>
        <v>1633.46</v>
      </c>
      <c r="X1671">
        <f t="shared" si="187"/>
        <v>0.295042011416843</v>
      </c>
      <c r="AH1671" t="str">
        <f t="shared" si="183"/>
        <v>3rd Quality</v>
      </c>
      <c r="AJ1671">
        <f>((T1671-X1671)*2)/6.8</f>
        <v>65.4089092123283</v>
      </c>
      <c r="AK1671">
        <f t="shared" si="190"/>
        <v>102435.253333333</v>
      </c>
    </row>
    <row r="1672" spans="1:37">
      <c r="A1672" t="s">
        <v>1735</v>
      </c>
      <c r="B1672">
        <v>46</v>
      </c>
      <c r="C1672" t="s">
        <v>50</v>
      </c>
      <c r="D1672" t="s">
        <v>60</v>
      </c>
      <c r="E1672">
        <v>1297</v>
      </c>
      <c r="F1672">
        <v>49</v>
      </c>
      <c r="G1672">
        <v>7</v>
      </c>
      <c r="H1672">
        <v>1976.51</v>
      </c>
      <c r="I1672">
        <v>14981.63</v>
      </c>
      <c r="J1672">
        <v>56</v>
      </c>
      <c r="K1672">
        <v>1</v>
      </c>
      <c r="L1672">
        <v>8.5</v>
      </c>
      <c r="M1672">
        <v>36.6</v>
      </c>
      <c r="N1672" t="s">
        <v>63</v>
      </c>
      <c r="O1672" t="s">
        <v>75</v>
      </c>
      <c r="P1672" t="s">
        <v>58</v>
      </c>
      <c r="R1672">
        <f>SUMIF(A1672:A6671,"C01671",I1672:I6671)</f>
        <v>14981.63</v>
      </c>
      <c r="S1672" s="1">
        <v>2001.44</v>
      </c>
      <c r="T1672">
        <f t="shared" si="182"/>
        <v>267.529107142857</v>
      </c>
      <c r="U1672">
        <f t="shared" si="185"/>
        <v>2049.6</v>
      </c>
      <c r="V1672">
        <f>U1672</f>
        <v>2049.6</v>
      </c>
      <c r="W1672">
        <f t="shared" si="189"/>
        <v>5653.04666666667</v>
      </c>
      <c r="X1672">
        <f t="shared" si="187"/>
        <v>0.656207153012127</v>
      </c>
      <c r="AH1672" t="str">
        <f t="shared" si="183"/>
        <v>3rd Quality</v>
      </c>
      <c r="AJ1672">
        <f>((T1672-X1672)*2)/8.5</f>
        <v>62.7936235270223</v>
      </c>
      <c r="AK1672">
        <f t="shared" si="190"/>
        <v>346985.251964286</v>
      </c>
    </row>
    <row r="1673" spans="1:37">
      <c r="A1673" t="s">
        <v>1736</v>
      </c>
      <c r="B1673">
        <v>46</v>
      </c>
      <c r="C1673" t="s">
        <v>50</v>
      </c>
      <c r="D1673" t="s">
        <v>60</v>
      </c>
      <c r="E1673">
        <v>992</v>
      </c>
      <c r="F1673">
        <v>27</v>
      </c>
      <c r="G1673">
        <v>4</v>
      </c>
      <c r="H1673">
        <v>7592.41</v>
      </c>
      <c r="I1673">
        <v>33780.99</v>
      </c>
      <c r="J1673">
        <v>38</v>
      </c>
      <c r="K1673">
        <v>0</v>
      </c>
      <c r="L1673">
        <v>0</v>
      </c>
      <c r="M1673">
        <v>13.9</v>
      </c>
      <c r="N1673" t="s">
        <v>63</v>
      </c>
      <c r="O1673" t="s">
        <v>53</v>
      </c>
      <c r="P1673" t="s">
        <v>66</v>
      </c>
      <c r="R1673">
        <f>SUMIF(A1673:A6672,"C01672",I1673:I6672)</f>
        <v>33780.99</v>
      </c>
      <c r="S1673" s="1">
        <v>40450.86</v>
      </c>
      <c r="T1673">
        <f t="shared" si="182"/>
        <v>888.973421052632</v>
      </c>
      <c r="U1673">
        <f t="shared" si="185"/>
        <v>528.2</v>
      </c>
      <c r="V1673">
        <f t="shared" si="184"/>
        <v>44.0166666666667</v>
      </c>
      <c r="W1673">
        <f t="shared" si="189"/>
        <v>13791.4666666667</v>
      </c>
      <c r="X1673">
        <f t="shared" si="187"/>
        <v>0.130656800673304</v>
      </c>
      <c r="AH1673" t="str">
        <f t="shared" si="183"/>
        <v>3rd Quality</v>
      </c>
      <c r="AJ1673">
        <f>((T1673-X1673)*2)</f>
        <v>1777.68552850392</v>
      </c>
      <c r="AK1673">
        <f t="shared" si="190"/>
        <v>881861.63368421</v>
      </c>
    </row>
    <row r="1674" spans="1:37">
      <c r="A1674" t="s">
        <v>1737</v>
      </c>
      <c r="B1674">
        <v>34</v>
      </c>
      <c r="C1674" t="s">
        <v>50</v>
      </c>
      <c r="D1674" t="s">
        <v>45</v>
      </c>
      <c r="E1674">
        <v>1442</v>
      </c>
      <c r="F1674">
        <v>33</v>
      </c>
      <c r="G1674">
        <v>2</v>
      </c>
      <c r="H1674">
        <v>1078.16</v>
      </c>
      <c r="I1674">
        <v>2001.44</v>
      </c>
      <c r="J1674">
        <v>20</v>
      </c>
      <c r="K1674">
        <v>0</v>
      </c>
      <c r="L1674">
        <v>22.5</v>
      </c>
      <c r="M1674">
        <v>37</v>
      </c>
      <c r="N1674" t="s">
        <v>57</v>
      </c>
      <c r="O1674" t="s">
        <v>75</v>
      </c>
      <c r="P1674" t="s">
        <v>68</v>
      </c>
      <c r="R1674">
        <f>SUMIF(A1674:A6673,"C01673",I1674:I6673)</f>
        <v>2001.44</v>
      </c>
      <c r="S1674" s="1">
        <v>1212.85</v>
      </c>
      <c r="T1674">
        <f t="shared" si="182"/>
        <v>100.072</v>
      </c>
      <c r="U1674">
        <f t="shared" si="185"/>
        <v>740</v>
      </c>
      <c r="V1674">
        <f t="shared" si="184"/>
        <v>61.6666666666667</v>
      </c>
      <c r="W1674">
        <f t="shared" si="189"/>
        <v>1026.86666666667</v>
      </c>
      <c r="X1674">
        <f t="shared" si="187"/>
        <v>1.33746382726126</v>
      </c>
      <c r="AH1674" t="str">
        <f t="shared" si="183"/>
        <v>3rd Quality</v>
      </c>
      <c r="AJ1674">
        <f>((T1674-X1674)*2)/22.5</f>
        <v>8.77640321535456</v>
      </c>
      <c r="AK1674">
        <f t="shared" si="190"/>
        <v>144303.824</v>
      </c>
    </row>
    <row r="1675" spans="1:37">
      <c r="A1675" t="s">
        <v>1738</v>
      </c>
      <c r="B1675">
        <v>18</v>
      </c>
      <c r="C1675" t="s">
        <v>50</v>
      </c>
      <c r="D1675" t="s">
        <v>60</v>
      </c>
      <c r="E1675">
        <v>968</v>
      </c>
      <c r="F1675">
        <v>10</v>
      </c>
      <c r="G1675">
        <v>28</v>
      </c>
      <c r="H1675">
        <v>1513.14</v>
      </c>
      <c r="I1675">
        <v>40450.86</v>
      </c>
      <c r="J1675">
        <v>148</v>
      </c>
      <c r="K1675">
        <v>0</v>
      </c>
      <c r="L1675">
        <v>13.2</v>
      </c>
      <c r="M1675">
        <v>30.8</v>
      </c>
      <c r="N1675" t="s">
        <v>78</v>
      </c>
      <c r="O1675" t="s">
        <v>47</v>
      </c>
      <c r="P1675" t="s">
        <v>58</v>
      </c>
      <c r="R1675">
        <f>SUMIF(A1675:A6674,"C01674",I1675:I6674)</f>
        <v>40450.86</v>
      </c>
      <c r="S1675" s="1">
        <v>4521.63</v>
      </c>
      <c r="T1675">
        <f t="shared" si="182"/>
        <v>273.316621621622</v>
      </c>
      <c r="U1675">
        <f t="shared" si="185"/>
        <v>4558.4</v>
      </c>
      <c r="V1675">
        <f t="shared" si="184"/>
        <v>379.866666666667</v>
      </c>
      <c r="W1675">
        <f t="shared" si="189"/>
        <v>13988.3333333333</v>
      </c>
      <c r="X1675">
        <f t="shared" si="187"/>
        <v>0.63972930462482</v>
      </c>
      <c r="AH1675" t="str">
        <f t="shared" si="183"/>
        <v>1st Quality</v>
      </c>
      <c r="AJ1675">
        <f>((T1675-X1675)*2)/13.2</f>
        <v>41.3146806540905</v>
      </c>
      <c r="AK1675">
        <f t="shared" si="190"/>
        <v>264570.48972973</v>
      </c>
    </row>
    <row r="1676" spans="1:37">
      <c r="A1676" t="s">
        <v>1739</v>
      </c>
      <c r="B1676">
        <v>47</v>
      </c>
      <c r="C1676" t="s">
        <v>50</v>
      </c>
      <c r="D1676" t="s">
        <v>51</v>
      </c>
      <c r="E1676">
        <v>427</v>
      </c>
      <c r="F1676">
        <v>10</v>
      </c>
      <c r="G1676">
        <v>2</v>
      </c>
      <c r="H1676">
        <v>640.1</v>
      </c>
      <c r="I1676">
        <v>1212.85</v>
      </c>
      <c r="J1676">
        <v>15</v>
      </c>
      <c r="K1676">
        <v>0</v>
      </c>
      <c r="L1676">
        <v>31.1</v>
      </c>
      <c r="M1676">
        <v>36.5</v>
      </c>
      <c r="N1676" t="s">
        <v>78</v>
      </c>
      <c r="O1676" t="s">
        <v>47</v>
      </c>
      <c r="P1676" t="s">
        <v>48</v>
      </c>
      <c r="R1676">
        <f>SUMIF(A1676:A6675,"C01675",I1676:I6675)</f>
        <v>1212.85</v>
      </c>
      <c r="S1676" s="1">
        <v>2194.41</v>
      </c>
      <c r="T1676">
        <f t="shared" si="182"/>
        <v>80.8566666666667</v>
      </c>
      <c r="U1676">
        <f t="shared" si="185"/>
        <v>547.5</v>
      </c>
      <c r="V1676">
        <f t="shared" si="184"/>
        <v>45.625</v>
      </c>
      <c r="W1676">
        <f t="shared" si="189"/>
        <v>617.983333333333</v>
      </c>
      <c r="X1676">
        <f t="shared" si="187"/>
        <v>0.667083268239338</v>
      </c>
      <c r="AH1676" t="str">
        <f t="shared" si="183"/>
        <v>3rd Quality</v>
      </c>
      <c r="AJ1676">
        <f>((T1676-X1676)*2)/31.1</f>
        <v>5.15688639218182</v>
      </c>
      <c r="AK1676">
        <f t="shared" si="190"/>
        <v>34525.7966666667</v>
      </c>
    </row>
    <row r="1677" spans="1:37">
      <c r="A1677" t="s">
        <v>1740</v>
      </c>
      <c r="B1677">
        <v>35</v>
      </c>
      <c r="C1677" t="s">
        <v>44</v>
      </c>
      <c r="D1677" t="s">
        <v>45</v>
      </c>
      <c r="E1677">
        <v>471</v>
      </c>
      <c r="F1677">
        <v>153</v>
      </c>
      <c r="G1677">
        <v>1</v>
      </c>
      <c r="H1677">
        <v>4098.55</v>
      </c>
      <c r="I1677">
        <v>4521.63</v>
      </c>
      <c r="J1677">
        <v>13</v>
      </c>
      <c r="K1677">
        <v>0</v>
      </c>
      <c r="L1677">
        <v>27.6</v>
      </c>
      <c r="M1677">
        <v>6.4</v>
      </c>
      <c r="N1677" t="s">
        <v>61</v>
      </c>
      <c r="O1677" t="s">
        <v>75</v>
      </c>
      <c r="P1677" t="s">
        <v>68</v>
      </c>
      <c r="R1677">
        <f>SUMIF(A1677:A6676,"C01676",I1677:I6676)</f>
        <v>4521.63</v>
      </c>
      <c r="S1677" s="1">
        <v>28135.51</v>
      </c>
      <c r="T1677">
        <f t="shared" si="182"/>
        <v>347.817692307692</v>
      </c>
      <c r="U1677">
        <f t="shared" si="185"/>
        <v>83.2</v>
      </c>
      <c r="V1677">
        <f t="shared" si="184"/>
        <v>6.93333333333333</v>
      </c>
      <c r="W1677">
        <f t="shared" si="189"/>
        <v>2873.72666666667</v>
      </c>
      <c r="X1677">
        <f t="shared" si="187"/>
        <v>0.114918690756487</v>
      </c>
      <c r="AH1677" t="str">
        <f t="shared" si="183"/>
        <v>3rd Quality</v>
      </c>
      <c r="AJ1677">
        <f>((T1677-X1677)*2)/27.6</f>
        <v>25.1958531606475</v>
      </c>
      <c r="AK1677">
        <f t="shared" si="190"/>
        <v>163822.133076923</v>
      </c>
    </row>
    <row r="1678" spans="1:37">
      <c r="A1678" t="s">
        <v>1741</v>
      </c>
      <c r="B1678">
        <v>43</v>
      </c>
      <c r="C1678" t="s">
        <v>50</v>
      </c>
      <c r="D1678" t="s">
        <v>60</v>
      </c>
      <c r="E1678">
        <v>464</v>
      </c>
      <c r="F1678">
        <v>71</v>
      </c>
      <c r="G1678">
        <v>2</v>
      </c>
      <c r="H1678">
        <v>1072.14</v>
      </c>
      <c r="I1678">
        <v>2194.41</v>
      </c>
      <c r="J1678">
        <v>11</v>
      </c>
      <c r="K1678">
        <v>0</v>
      </c>
      <c r="L1678">
        <v>20.3</v>
      </c>
      <c r="M1678">
        <v>29.2</v>
      </c>
      <c r="N1678" t="s">
        <v>81</v>
      </c>
      <c r="O1678" t="s">
        <v>53</v>
      </c>
      <c r="P1678" t="s">
        <v>68</v>
      </c>
      <c r="R1678">
        <f>SUMIF(A1678:A6677,"C01677",I1678:I6677)</f>
        <v>2194.41</v>
      </c>
      <c r="S1678" s="1">
        <v>1359.47</v>
      </c>
      <c r="T1678">
        <f t="shared" ref="T1678:T1741" si="191">I1678/J1678</f>
        <v>199.491818181818</v>
      </c>
      <c r="U1678">
        <f t="shared" si="185"/>
        <v>321.2</v>
      </c>
      <c r="V1678">
        <f t="shared" si="184"/>
        <v>26.7666666666667</v>
      </c>
      <c r="W1678">
        <f t="shared" si="189"/>
        <v>1089.18333333333</v>
      </c>
      <c r="X1678">
        <f t="shared" si="187"/>
        <v>0.432779301210663</v>
      </c>
      <c r="AH1678" t="str">
        <f t="shared" ref="AH1678:AH1741" si="192">IF(AND(W1678&gt;=12550,B1678&lt;=33,E1678&gt;=915),"1st Quality",IF(AND(W1678&gt;=6275,B1678&lt;=43,E1678&gt;=457),"2nd Quality","3rd Quality"))</f>
        <v>3rd Quality</v>
      </c>
      <c r="AJ1678">
        <f>((T1678-X1678)*2)/20.3</f>
        <v>19.6117279685327</v>
      </c>
      <c r="AK1678">
        <f t="shared" si="190"/>
        <v>92564.2036363636</v>
      </c>
    </row>
    <row r="1679" spans="1:37">
      <c r="A1679" t="s">
        <v>1742</v>
      </c>
      <c r="B1679">
        <v>31</v>
      </c>
      <c r="C1679" t="s">
        <v>44</v>
      </c>
      <c r="D1679" t="s">
        <v>60</v>
      </c>
      <c r="E1679">
        <v>839</v>
      </c>
      <c r="F1679">
        <v>36</v>
      </c>
      <c r="G1679">
        <v>15</v>
      </c>
      <c r="H1679">
        <v>1703.04</v>
      </c>
      <c r="I1679">
        <v>28135.51</v>
      </c>
      <c r="J1679">
        <v>95</v>
      </c>
      <c r="K1679">
        <v>4</v>
      </c>
      <c r="L1679">
        <v>24.6</v>
      </c>
      <c r="M1679">
        <v>44.4</v>
      </c>
      <c r="N1679" t="s">
        <v>46</v>
      </c>
      <c r="O1679" t="s">
        <v>75</v>
      </c>
      <c r="P1679" t="s">
        <v>58</v>
      </c>
      <c r="R1679">
        <f>SUMIF(A1679:A6678,"C01678",I1679:I6678)</f>
        <v>28135.51</v>
      </c>
      <c r="S1679" s="1">
        <v>29425.16</v>
      </c>
      <c r="T1679">
        <f t="shared" si="191"/>
        <v>296.163263157895</v>
      </c>
      <c r="U1679">
        <f t="shared" si="185"/>
        <v>4218</v>
      </c>
      <c r="V1679">
        <f>U1679</f>
        <v>4218</v>
      </c>
      <c r="W1679">
        <f t="shared" si="189"/>
        <v>9946.51666666667</v>
      </c>
      <c r="X1679">
        <f t="shared" si="187"/>
        <v>0.492648440435926</v>
      </c>
      <c r="AH1679" t="str">
        <f t="shared" si="192"/>
        <v>2nd Quality</v>
      </c>
      <c r="AJ1679">
        <f>((T1679-X1679)*2)/24.6</f>
        <v>24.038261359143</v>
      </c>
      <c r="AK1679">
        <f t="shared" si="190"/>
        <v>248480.977789474</v>
      </c>
    </row>
    <row r="1680" spans="1:37">
      <c r="A1680" t="s">
        <v>1743</v>
      </c>
      <c r="B1680">
        <v>40</v>
      </c>
      <c r="C1680" t="s">
        <v>44</v>
      </c>
      <c r="D1680" t="s">
        <v>45</v>
      </c>
      <c r="E1680">
        <v>1198</v>
      </c>
      <c r="F1680">
        <v>231</v>
      </c>
      <c r="G1680">
        <v>1</v>
      </c>
      <c r="H1680">
        <v>1243.02</v>
      </c>
      <c r="I1680">
        <v>1359.47</v>
      </c>
      <c r="J1680">
        <v>13</v>
      </c>
      <c r="K1680">
        <v>0</v>
      </c>
      <c r="L1680">
        <v>26.2</v>
      </c>
      <c r="M1680">
        <v>27.7</v>
      </c>
      <c r="N1680" t="s">
        <v>78</v>
      </c>
      <c r="O1680" t="s">
        <v>47</v>
      </c>
      <c r="P1680" t="s">
        <v>58</v>
      </c>
      <c r="R1680">
        <f>SUMIF(A1680:A6679,"C01679",I1680:I6679)</f>
        <v>1359.47</v>
      </c>
      <c r="S1680" s="1">
        <v>3021.77</v>
      </c>
      <c r="T1680">
        <f t="shared" si="191"/>
        <v>104.574615384615</v>
      </c>
      <c r="U1680">
        <f t="shared" si="185"/>
        <v>360.1</v>
      </c>
      <c r="V1680">
        <f t="shared" si="184"/>
        <v>30.0083333333333</v>
      </c>
      <c r="W1680">
        <f t="shared" si="189"/>
        <v>867.83</v>
      </c>
      <c r="X1680">
        <f t="shared" si="187"/>
        <v>0.963781757332947</v>
      </c>
      <c r="AH1680" t="str">
        <f t="shared" si="192"/>
        <v>3rd Quality</v>
      </c>
      <c r="AJ1680">
        <f>((T1680-X1680)*2)/26.2</f>
        <v>7.9092239410139</v>
      </c>
      <c r="AK1680">
        <f t="shared" si="190"/>
        <v>125280.389230769</v>
      </c>
    </row>
    <row r="1681" spans="1:37">
      <c r="A1681" t="s">
        <v>1744</v>
      </c>
      <c r="B1681">
        <v>47</v>
      </c>
      <c r="C1681" t="s">
        <v>44</v>
      </c>
      <c r="D1681" t="s">
        <v>60</v>
      </c>
      <c r="E1681">
        <v>1061</v>
      </c>
      <c r="F1681">
        <v>51</v>
      </c>
      <c r="G1681">
        <v>5</v>
      </c>
      <c r="H1681">
        <v>6268.22</v>
      </c>
      <c r="I1681">
        <v>29425.16</v>
      </c>
      <c r="J1681">
        <v>36</v>
      </c>
      <c r="K1681">
        <v>0</v>
      </c>
      <c r="L1681">
        <v>2.4</v>
      </c>
      <c r="M1681">
        <v>48</v>
      </c>
      <c r="N1681" t="s">
        <v>57</v>
      </c>
      <c r="O1681" t="s">
        <v>47</v>
      </c>
      <c r="P1681" t="s">
        <v>58</v>
      </c>
      <c r="R1681">
        <f>SUMIF(A1681:A6680,"C01680",I1681:I6680)</f>
        <v>29425.16</v>
      </c>
      <c r="S1681" s="1">
        <v>1622.83</v>
      </c>
      <c r="T1681">
        <f t="shared" si="191"/>
        <v>817.365555555556</v>
      </c>
      <c r="U1681">
        <f t="shared" si="185"/>
        <v>1728</v>
      </c>
      <c r="V1681">
        <f t="shared" si="184"/>
        <v>144</v>
      </c>
      <c r="W1681">
        <f t="shared" si="189"/>
        <v>11898.1266666667</v>
      </c>
      <c r="X1681">
        <f t="shared" si="187"/>
        <v>0.169266554141367</v>
      </c>
      <c r="AH1681" t="str">
        <f t="shared" si="192"/>
        <v>3rd Quality</v>
      </c>
      <c r="AJ1681">
        <f>((T1681-X1681)*2)/2.4</f>
        <v>680.996907501179</v>
      </c>
      <c r="AK1681">
        <f t="shared" si="190"/>
        <v>867224.854444445</v>
      </c>
    </row>
    <row r="1682" spans="1:37">
      <c r="A1682" t="s">
        <v>1745</v>
      </c>
      <c r="B1682">
        <v>26</v>
      </c>
      <c r="C1682" t="s">
        <v>44</v>
      </c>
      <c r="D1682" t="s">
        <v>51</v>
      </c>
      <c r="E1682">
        <v>1258</v>
      </c>
      <c r="F1682">
        <v>90</v>
      </c>
      <c r="G1682">
        <v>4</v>
      </c>
      <c r="H1682">
        <v>768.76</v>
      </c>
      <c r="I1682">
        <v>3021.77</v>
      </c>
      <c r="J1682">
        <v>42</v>
      </c>
      <c r="K1682">
        <v>1</v>
      </c>
      <c r="L1682">
        <v>25.9</v>
      </c>
      <c r="M1682">
        <v>32.6</v>
      </c>
      <c r="N1682" t="s">
        <v>52</v>
      </c>
      <c r="O1682" t="s">
        <v>75</v>
      </c>
      <c r="P1682" t="s">
        <v>58</v>
      </c>
      <c r="R1682">
        <f>SUMIF(A1682:A6681,"C01681",I1682:I6681)</f>
        <v>3021.77</v>
      </c>
      <c r="S1682" s="1">
        <v>1753.88</v>
      </c>
      <c r="T1682">
        <f t="shared" si="191"/>
        <v>71.9469047619048</v>
      </c>
      <c r="U1682">
        <f t="shared" si="185"/>
        <v>1369.2</v>
      </c>
      <c r="V1682">
        <f>U1682</f>
        <v>1369.2</v>
      </c>
      <c r="W1682">
        <f t="shared" si="189"/>
        <v>1263.84333333333</v>
      </c>
      <c r="X1682">
        <f t="shared" si="187"/>
        <v>1.63640147770436</v>
      </c>
      <c r="AH1682" t="str">
        <f t="shared" si="192"/>
        <v>3rd Quality</v>
      </c>
      <c r="AJ1682">
        <f>((T1682-X1682)*2)/25.9</f>
        <v>5.42938249298845</v>
      </c>
      <c r="AK1682">
        <f t="shared" si="190"/>
        <v>90509.2061904762</v>
      </c>
    </row>
    <row r="1683" spans="1:37">
      <c r="A1683" t="s">
        <v>1746</v>
      </c>
      <c r="B1683">
        <v>40</v>
      </c>
      <c r="C1683" t="s">
        <v>50</v>
      </c>
      <c r="D1683" t="s">
        <v>60</v>
      </c>
      <c r="E1683">
        <v>961</v>
      </c>
      <c r="F1683">
        <v>22</v>
      </c>
      <c r="G1683">
        <v>2</v>
      </c>
      <c r="H1683">
        <v>828.59</v>
      </c>
      <c r="I1683">
        <v>1622.83</v>
      </c>
      <c r="J1683">
        <v>7</v>
      </c>
      <c r="K1683">
        <v>0</v>
      </c>
      <c r="L1683">
        <v>38.7</v>
      </c>
      <c r="M1683">
        <v>7.5</v>
      </c>
      <c r="N1683" t="s">
        <v>61</v>
      </c>
      <c r="O1683" t="s">
        <v>75</v>
      </c>
      <c r="P1683" t="s">
        <v>48</v>
      </c>
      <c r="R1683">
        <f>SUMIF(A1683:A6682,"C01682",I1683:I6682)</f>
        <v>1622.83</v>
      </c>
      <c r="S1683" s="1">
        <v>24484.28</v>
      </c>
      <c r="T1683">
        <f t="shared" si="191"/>
        <v>231.832857142857</v>
      </c>
      <c r="U1683">
        <f t="shared" si="185"/>
        <v>52.5</v>
      </c>
      <c r="V1683">
        <f t="shared" si="184"/>
        <v>4.375</v>
      </c>
      <c r="W1683">
        <f t="shared" si="189"/>
        <v>817.473333333333</v>
      </c>
      <c r="X1683">
        <f t="shared" si="187"/>
        <v>1.159801590654</v>
      </c>
      <c r="AH1683" t="str">
        <f t="shared" si="192"/>
        <v>3rd Quality</v>
      </c>
      <c r="AJ1683">
        <f>((T1683-X1683)*2)/38.7</f>
        <v>11.9210881422327</v>
      </c>
      <c r="AK1683">
        <f t="shared" si="190"/>
        <v>222791.375714286</v>
      </c>
    </row>
    <row r="1684" spans="1:37">
      <c r="A1684" t="s">
        <v>1747</v>
      </c>
      <c r="B1684">
        <v>34</v>
      </c>
      <c r="C1684" t="s">
        <v>56</v>
      </c>
      <c r="D1684" t="s">
        <v>60</v>
      </c>
      <c r="E1684">
        <v>506</v>
      </c>
      <c r="F1684">
        <v>41</v>
      </c>
      <c r="G1684">
        <v>1</v>
      </c>
      <c r="H1684">
        <v>1759.41</v>
      </c>
      <c r="I1684">
        <v>1753.88</v>
      </c>
      <c r="J1684">
        <v>14</v>
      </c>
      <c r="K1684">
        <v>0</v>
      </c>
      <c r="L1684">
        <v>26.5</v>
      </c>
      <c r="M1684">
        <v>30.2</v>
      </c>
      <c r="N1684" t="s">
        <v>61</v>
      </c>
      <c r="O1684" t="s">
        <v>53</v>
      </c>
      <c r="P1684" t="s">
        <v>58</v>
      </c>
      <c r="R1684">
        <f>SUMIF(A1684:A6683,"C01683",I1684:I6683)</f>
        <v>1753.88</v>
      </c>
      <c r="S1684" s="1">
        <v>86075.07</v>
      </c>
      <c r="T1684">
        <f t="shared" si="191"/>
        <v>125.277142857143</v>
      </c>
      <c r="U1684">
        <f t="shared" si="185"/>
        <v>422.8</v>
      </c>
      <c r="V1684">
        <f t="shared" si="184"/>
        <v>35.2333333333333</v>
      </c>
      <c r="W1684">
        <f t="shared" si="189"/>
        <v>1171.43</v>
      </c>
      <c r="X1684">
        <f t="shared" si="187"/>
        <v>0.287596410160224</v>
      </c>
      <c r="AH1684" t="str">
        <f t="shared" si="192"/>
        <v>3rd Quality</v>
      </c>
      <c r="AJ1684">
        <f>((T1684-X1684)*2)/26.5</f>
        <v>9.43317331675342</v>
      </c>
      <c r="AK1684">
        <f t="shared" si="190"/>
        <v>63390.2342857143</v>
      </c>
    </row>
    <row r="1685" spans="1:37">
      <c r="A1685" t="s">
        <v>1748</v>
      </c>
      <c r="B1685">
        <v>38</v>
      </c>
      <c r="C1685" t="s">
        <v>50</v>
      </c>
      <c r="D1685" t="s">
        <v>60</v>
      </c>
      <c r="E1685">
        <v>573</v>
      </c>
      <c r="F1685">
        <v>177</v>
      </c>
      <c r="G1685">
        <v>11</v>
      </c>
      <c r="H1685">
        <v>1988.34</v>
      </c>
      <c r="I1685">
        <v>24484.28</v>
      </c>
      <c r="J1685">
        <v>85</v>
      </c>
      <c r="K1685">
        <v>0</v>
      </c>
      <c r="L1685">
        <v>32</v>
      </c>
      <c r="M1685">
        <v>62.3</v>
      </c>
      <c r="N1685" t="s">
        <v>57</v>
      </c>
      <c r="O1685" t="s">
        <v>47</v>
      </c>
      <c r="P1685" t="s">
        <v>48</v>
      </c>
      <c r="R1685">
        <f>SUMIF(A1685:A6684,"C01684",I1685:I6684)</f>
        <v>24484.28</v>
      </c>
      <c r="S1685" s="1">
        <v>17695.7</v>
      </c>
      <c r="T1685">
        <f t="shared" si="191"/>
        <v>288.050352941176</v>
      </c>
      <c r="U1685">
        <f t="shared" si="185"/>
        <v>5295.5</v>
      </c>
      <c r="V1685">
        <f t="shared" si="184"/>
        <v>441.291666666667</v>
      </c>
      <c r="W1685">
        <f t="shared" si="189"/>
        <v>8824.54</v>
      </c>
      <c r="X1685">
        <f t="shared" si="187"/>
        <v>0.288180089924258</v>
      </c>
      <c r="AH1685" t="str">
        <f t="shared" si="192"/>
        <v>2nd Quality</v>
      </c>
      <c r="AJ1685">
        <f>((T1685-X1685)*2)/32</f>
        <v>17.9851358032032</v>
      </c>
      <c r="AK1685">
        <f t="shared" si="190"/>
        <v>165052.852235294</v>
      </c>
    </row>
    <row r="1686" spans="1:37">
      <c r="A1686" t="s">
        <v>1749</v>
      </c>
      <c r="B1686">
        <v>37</v>
      </c>
      <c r="C1686" t="s">
        <v>50</v>
      </c>
      <c r="D1686" t="s">
        <v>60</v>
      </c>
      <c r="E1686">
        <v>544</v>
      </c>
      <c r="F1686">
        <v>1</v>
      </c>
      <c r="G1686">
        <v>28</v>
      </c>
      <c r="H1686">
        <v>3335.24</v>
      </c>
      <c r="I1686">
        <v>86075.07</v>
      </c>
      <c r="J1686">
        <v>61</v>
      </c>
      <c r="K1686">
        <v>4</v>
      </c>
      <c r="L1686">
        <v>0</v>
      </c>
      <c r="M1686">
        <v>27.3</v>
      </c>
      <c r="N1686" t="s">
        <v>63</v>
      </c>
      <c r="O1686" t="s">
        <v>53</v>
      </c>
      <c r="P1686" t="s">
        <v>58</v>
      </c>
      <c r="R1686">
        <f>SUMIF(A1686:A6685,"C01685",I1686:I6685)</f>
        <v>86075.07</v>
      </c>
      <c r="S1686" s="1">
        <v>23687.03</v>
      </c>
      <c r="T1686">
        <f t="shared" si="191"/>
        <v>1411.06672131148</v>
      </c>
      <c r="U1686">
        <f t="shared" si="185"/>
        <v>1665.3</v>
      </c>
      <c r="V1686">
        <f>U1686</f>
        <v>1665.3</v>
      </c>
      <c r="W1686">
        <f t="shared" si="189"/>
        <v>29803.77</v>
      </c>
      <c r="X1686">
        <f t="shared" si="187"/>
        <v>0.163106702965904</v>
      </c>
      <c r="AH1686" t="str">
        <f t="shared" si="192"/>
        <v>2nd Quality</v>
      </c>
      <c r="AJ1686">
        <f>((T1686-X1686)*2)</f>
        <v>2821.80722921703</v>
      </c>
      <c r="AK1686">
        <f t="shared" si="190"/>
        <v>767620.296393443</v>
      </c>
    </row>
    <row r="1687" spans="1:37">
      <c r="A1687" t="s">
        <v>1750</v>
      </c>
      <c r="B1687">
        <v>47</v>
      </c>
      <c r="C1687" t="s">
        <v>50</v>
      </c>
      <c r="D1687" t="s">
        <v>45</v>
      </c>
      <c r="E1687">
        <v>1382</v>
      </c>
      <c r="F1687">
        <v>128</v>
      </c>
      <c r="G1687">
        <v>12</v>
      </c>
      <c r="H1687">
        <v>1384.14</v>
      </c>
      <c r="I1687">
        <v>17695.7</v>
      </c>
      <c r="J1687">
        <v>67</v>
      </c>
      <c r="K1687">
        <v>0</v>
      </c>
      <c r="L1687">
        <v>33.3</v>
      </c>
      <c r="M1687">
        <v>26.1</v>
      </c>
      <c r="N1687" t="s">
        <v>46</v>
      </c>
      <c r="O1687" t="s">
        <v>47</v>
      </c>
      <c r="P1687" t="s">
        <v>58</v>
      </c>
      <c r="R1687">
        <f>SUMIF(A1687:A6686,"C01686",I1687:I6686)</f>
        <v>17695.7</v>
      </c>
      <c r="S1687" s="1">
        <v>18258.39</v>
      </c>
      <c r="T1687">
        <f t="shared" si="191"/>
        <v>264.114925373134</v>
      </c>
      <c r="U1687">
        <f t="shared" si="185"/>
        <v>1748.7</v>
      </c>
      <c r="V1687">
        <f t="shared" si="184"/>
        <v>145.725</v>
      </c>
      <c r="W1687">
        <f t="shared" si="189"/>
        <v>6360.28</v>
      </c>
      <c r="X1687">
        <f t="shared" si="187"/>
        <v>0.998453913621454</v>
      </c>
      <c r="AH1687" t="str">
        <f t="shared" si="192"/>
        <v>3rd Quality</v>
      </c>
      <c r="AJ1687">
        <f>((T1687-X1687)*2)/33.3</f>
        <v>15.8027910786494</v>
      </c>
      <c r="AK1687">
        <f t="shared" si="190"/>
        <v>365006.826865672</v>
      </c>
    </row>
    <row r="1688" spans="1:37">
      <c r="A1688" t="s">
        <v>1751</v>
      </c>
      <c r="B1688">
        <v>26</v>
      </c>
      <c r="C1688" t="s">
        <v>50</v>
      </c>
      <c r="D1688" t="s">
        <v>51</v>
      </c>
      <c r="E1688">
        <v>1245</v>
      </c>
      <c r="F1688">
        <v>96</v>
      </c>
      <c r="G1688">
        <v>2</v>
      </c>
      <c r="H1688">
        <v>12671.88</v>
      </c>
      <c r="I1688">
        <v>23687.03</v>
      </c>
      <c r="J1688">
        <v>20</v>
      </c>
      <c r="K1688">
        <v>0</v>
      </c>
      <c r="L1688">
        <v>14.8</v>
      </c>
      <c r="M1688">
        <v>54.1</v>
      </c>
      <c r="N1688" t="s">
        <v>81</v>
      </c>
      <c r="O1688" t="s">
        <v>47</v>
      </c>
      <c r="P1688" t="s">
        <v>66</v>
      </c>
      <c r="R1688">
        <f>SUMIF(A1688:A6687,"C01687",I1688:I6687)</f>
        <v>23687.03</v>
      </c>
      <c r="S1688" s="1">
        <v>12753.03</v>
      </c>
      <c r="T1688">
        <f t="shared" si="191"/>
        <v>1184.3515</v>
      </c>
      <c r="U1688">
        <f t="shared" si="185"/>
        <v>1082</v>
      </c>
      <c r="V1688">
        <f t="shared" si="184"/>
        <v>90.1666666666667</v>
      </c>
      <c r="W1688">
        <f t="shared" si="189"/>
        <v>12119.97</v>
      </c>
      <c r="X1688">
        <f t="shared" si="187"/>
        <v>0.0982490364492088</v>
      </c>
      <c r="AH1688" t="str">
        <f t="shared" si="192"/>
        <v>2nd Quality</v>
      </c>
      <c r="AJ1688">
        <f>((T1688-X1688)*2)/14.8</f>
        <v>160.034223103183</v>
      </c>
      <c r="AK1688">
        <f t="shared" si="190"/>
        <v>1474517.6175</v>
      </c>
    </row>
    <row r="1689" spans="1:37">
      <c r="A1689" t="s">
        <v>1752</v>
      </c>
      <c r="B1689">
        <v>35</v>
      </c>
      <c r="C1689" t="s">
        <v>44</v>
      </c>
      <c r="D1689" t="s">
        <v>60</v>
      </c>
      <c r="E1689">
        <v>407</v>
      </c>
      <c r="F1689">
        <v>7</v>
      </c>
      <c r="G1689">
        <v>3</v>
      </c>
      <c r="H1689">
        <v>5755.46</v>
      </c>
      <c r="I1689">
        <v>18258.39</v>
      </c>
      <c r="J1689">
        <v>17</v>
      </c>
      <c r="K1689">
        <v>0</v>
      </c>
      <c r="L1689">
        <v>0</v>
      </c>
      <c r="M1689">
        <v>68.6</v>
      </c>
      <c r="N1689" t="s">
        <v>78</v>
      </c>
      <c r="O1689" t="s">
        <v>47</v>
      </c>
      <c r="P1689" t="s">
        <v>58</v>
      </c>
      <c r="R1689">
        <f>SUMIF(A1689:A6688,"C01688",I1689:I6688)</f>
        <v>18258.39</v>
      </c>
      <c r="S1689" s="1">
        <v>16220.78</v>
      </c>
      <c r="T1689">
        <f t="shared" si="191"/>
        <v>1074.02294117647</v>
      </c>
      <c r="U1689">
        <f t="shared" si="185"/>
        <v>1166.2</v>
      </c>
      <c r="V1689">
        <f t="shared" si="184"/>
        <v>97.1833333333333</v>
      </c>
      <c r="W1689">
        <f t="shared" si="189"/>
        <v>8004.95</v>
      </c>
      <c r="X1689">
        <f t="shared" si="187"/>
        <v>0.0707154597547372</v>
      </c>
      <c r="AH1689" t="str">
        <f t="shared" si="192"/>
        <v>3rd Quality</v>
      </c>
      <c r="AJ1689">
        <f>((T1689-X1689)*2)</f>
        <v>2147.90445143343</v>
      </c>
      <c r="AK1689">
        <f t="shared" si="190"/>
        <v>437127.337058823</v>
      </c>
    </row>
    <row r="1690" spans="1:37">
      <c r="A1690" t="s">
        <v>1753</v>
      </c>
      <c r="B1690">
        <v>35</v>
      </c>
      <c r="C1690" t="s">
        <v>44</v>
      </c>
      <c r="D1690" t="s">
        <v>60</v>
      </c>
      <c r="E1690">
        <v>607</v>
      </c>
      <c r="F1690">
        <v>58</v>
      </c>
      <c r="G1690">
        <v>3</v>
      </c>
      <c r="H1690">
        <v>4577.62</v>
      </c>
      <c r="I1690">
        <v>12753.03</v>
      </c>
      <c r="J1690">
        <v>31</v>
      </c>
      <c r="K1690">
        <v>0</v>
      </c>
      <c r="L1690">
        <v>3.8</v>
      </c>
      <c r="M1690">
        <v>11.1</v>
      </c>
      <c r="N1690" t="s">
        <v>46</v>
      </c>
      <c r="O1690" t="s">
        <v>53</v>
      </c>
      <c r="P1690" t="s">
        <v>58</v>
      </c>
      <c r="R1690">
        <f>SUMIF(A1690:A6689,"C01689",I1690:I6689)</f>
        <v>12753.03</v>
      </c>
      <c r="S1690" s="1">
        <v>3635.02</v>
      </c>
      <c r="T1690">
        <f t="shared" si="191"/>
        <v>411.388064516129</v>
      </c>
      <c r="U1690">
        <f t="shared" si="185"/>
        <v>344.1</v>
      </c>
      <c r="V1690">
        <f t="shared" si="184"/>
        <v>28.675</v>
      </c>
      <c r="W1690">
        <f t="shared" si="189"/>
        <v>5777.21666666667</v>
      </c>
      <c r="X1690">
        <f t="shared" si="187"/>
        <v>0.132601657629947</v>
      </c>
      <c r="AH1690" t="str">
        <f t="shared" si="192"/>
        <v>3rd Quality</v>
      </c>
      <c r="AJ1690">
        <f>((T1690-X1690)*2)/3.8</f>
        <v>216.450243609736</v>
      </c>
      <c r="AK1690">
        <f t="shared" si="190"/>
        <v>249712.55516129</v>
      </c>
    </row>
    <row r="1691" spans="1:37">
      <c r="A1691" t="s">
        <v>1754</v>
      </c>
      <c r="B1691">
        <v>37</v>
      </c>
      <c r="C1691" t="s">
        <v>44</v>
      </c>
      <c r="D1691" t="s">
        <v>60</v>
      </c>
      <c r="E1691">
        <v>667</v>
      </c>
      <c r="F1691">
        <v>48</v>
      </c>
      <c r="G1691">
        <v>9</v>
      </c>
      <c r="H1691">
        <v>1790.67</v>
      </c>
      <c r="I1691">
        <v>16220.78</v>
      </c>
      <c r="J1691">
        <v>42</v>
      </c>
      <c r="K1691">
        <v>1</v>
      </c>
      <c r="L1691">
        <v>13.3</v>
      </c>
      <c r="M1691">
        <v>33.2</v>
      </c>
      <c r="N1691" t="s">
        <v>52</v>
      </c>
      <c r="O1691" t="s">
        <v>53</v>
      </c>
      <c r="P1691" t="s">
        <v>58</v>
      </c>
      <c r="R1691">
        <f>SUMIF(A1691:A6690,"C01690",I1691:I6690)</f>
        <v>16220.78</v>
      </c>
      <c r="S1691" s="1">
        <v>1015.66</v>
      </c>
      <c r="T1691">
        <f t="shared" si="191"/>
        <v>386.209047619048</v>
      </c>
      <c r="U1691">
        <f t="shared" si="185"/>
        <v>1394.4</v>
      </c>
      <c r="V1691">
        <f>U1691</f>
        <v>1394.4</v>
      </c>
      <c r="W1691">
        <f t="shared" si="189"/>
        <v>6004.15</v>
      </c>
      <c r="X1691">
        <f t="shared" si="187"/>
        <v>0.372486276086604</v>
      </c>
      <c r="AH1691" t="str">
        <f t="shared" si="192"/>
        <v>3rd Quality</v>
      </c>
      <c r="AJ1691">
        <f>((T1691-X1691)*2)/13.3</f>
        <v>58.020535540295</v>
      </c>
      <c r="AK1691">
        <f t="shared" si="190"/>
        <v>257601.434761905</v>
      </c>
    </row>
    <row r="1692" spans="1:37">
      <c r="A1692" t="s">
        <v>1755</v>
      </c>
      <c r="B1692">
        <v>20</v>
      </c>
      <c r="C1692" t="s">
        <v>50</v>
      </c>
      <c r="D1692" t="s">
        <v>60</v>
      </c>
      <c r="E1692">
        <v>1148</v>
      </c>
      <c r="F1692">
        <v>208</v>
      </c>
      <c r="G1692">
        <v>4</v>
      </c>
      <c r="H1692">
        <v>873.58</v>
      </c>
      <c r="I1692">
        <v>3635.02</v>
      </c>
      <c r="J1692">
        <v>34</v>
      </c>
      <c r="K1692">
        <v>0</v>
      </c>
      <c r="L1692">
        <v>25.5</v>
      </c>
      <c r="M1692">
        <v>12.1</v>
      </c>
      <c r="N1692" t="s">
        <v>78</v>
      </c>
      <c r="O1692" t="s">
        <v>47</v>
      </c>
      <c r="P1692" t="s">
        <v>66</v>
      </c>
      <c r="R1692">
        <f>SUMIF(A1692:A6691,"C01691",I1692:I6691)</f>
        <v>3635.02</v>
      </c>
      <c r="S1692" s="1">
        <v>10156.85</v>
      </c>
      <c r="T1692">
        <f t="shared" si="191"/>
        <v>106.912352941176</v>
      </c>
      <c r="U1692">
        <f t="shared" si="185"/>
        <v>411.4</v>
      </c>
      <c r="V1692">
        <f>U1692</f>
        <v>411.4</v>
      </c>
      <c r="W1692">
        <f t="shared" si="189"/>
        <v>1503.2</v>
      </c>
      <c r="X1692">
        <f t="shared" si="187"/>
        <v>1.314132649557</v>
      </c>
      <c r="AH1692" t="str">
        <f t="shared" si="192"/>
        <v>3rd Quality</v>
      </c>
      <c r="AJ1692">
        <f>((T1692-X1692)*2)/25.5</f>
        <v>8.28221335620541</v>
      </c>
      <c r="AK1692">
        <f t="shared" si="190"/>
        <v>122735.381176471</v>
      </c>
    </row>
    <row r="1693" spans="1:37">
      <c r="A1693" t="s">
        <v>1756</v>
      </c>
      <c r="B1693">
        <v>38</v>
      </c>
      <c r="C1693" t="s">
        <v>44</v>
      </c>
      <c r="D1693" t="s">
        <v>60</v>
      </c>
      <c r="E1693">
        <v>443</v>
      </c>
      <c r="F1693">
        <v>95</v>
      </c>
      <c r="G1693">
        <v>1</v>
      </c>
      <c r="H1693">
        <v>1032.54</v>
      </c>
      <c r="I1693">
        <v>1015.66</v>
      </c>
      <c r="J1693">
        <v>10</v>
      </c>
      <c r="K1693">
        <v>0</v>
      </c>
      <c r="L1693">
        <v>6.1</v>
      </c>
      <c r="M1693">
        <v>47.3</v>
      </c>
      <c r="N1693" t="s">
        <v>81</v>
      </c>
      <c r="O1693" t="s">
        <v>75</v>
      </c>
      <c r="P1693" t="s">
        <v>58</v>
      </c>
      <c r="R1693">
        <f>SUMIF(A1693:A6692,"C01692",I1693:I6692)</f>
        <v>1015.66</v>
      </c>
      <c r="S1693" s="1">
        <v>1252.7</v>
      </c>
      <c r="T1693">
        <f t="shared" si="191"/>
        <v>101.566</v>
      </c>
      <c r="U1693">
        <f t="shared" si="185"/>
        <v>473</v>
      </c>
      <c r="V1693">
        <f>U1693/12</f>
        <v>39.4166666666667</v>
      </c>
      <c r="W1693">
        <f t="shared" si="189"/>
        <v>683.066666666667</v>
      </c>
      <c r="X1693">
        <f t="shared" si="187"/>
        <v>0.42903906870436</v>
      </c>
      <c r="AH1693" t="str">
        <f t="shared" si="192"/>
        <v>3rd Quality</v>
      </c>
      <c r="AJ1693">
        <f>((T1693-X1693)*2)/6.1</f>
        <v>33.1596593217363</v>
      </c>
      <c r="AK1693">
        <f t="shared" si="190"/>
        <v>44993.738</v>
      </c>
    </row>
    <row r="1694" spans="1:37">
      <c r="A1694" t="s">
        <v>1757</v>
      </c>
      <c r="B1694">
        <v>47</v>
      </c>
      <c r="C1694" t="s">
        <v>50</v>
      </c>
      <c r="D1694" t="s">
        <v>51</v>
      </c>
      <c r="E1694">
        <v>1439</v>
      </c>
      <c r="F1694">
        <v>48</v>
      </c>
      <c r="G1694">
        <v>15</v>
      </c>
      <c r="H1694">
        <v>608.99</v>
      </c>
      <c r="I1694">
        <v>10156.85</v>
      </c>
      <c r="J1694">
        <v>70</v>
      </c>
      <c r="K1694">
        <v>2</v>
      </c>
      <c r="L1694">
        <v>9.5</v>
      </c>
      <c r="M1694">
        <v>13.5</v>
      </c>
      <c r="N1694" t="s">
        <v>52</v>
      </c>
      <c r="O1694" t="s">
        <v>47</v>
      </c>
      <c r="P1694" t="s">
        <v>58</v>
      </c>
      <c r="R1694">
        <f>SUMIF(A1694:A6693,"C01693",I1694:I6693)</f>
        <v>10156.85</v>
      </c>
      <c r="S1694" s="1">
        <v>639.84</v>
      </c>
      <c r="T1694">
        <f t="shared" si="191"/>
        <v>145.097857142857</v>
      </c>
      <c r="U1694">
        <f t="shared" si="185"/>
        <v>945</v>
      </c>
      <c r="V1694">
        <f>U1694</f>
        <v>945</v>
      </c>
      <c r="W1694">
        <f t="shared" si="189"/>
        <v>3588.94666666667</v>
      </c>
      <c r="X1694">
        <f t="shared" si="187"/>
        <v>2.36292878372387</v>
      </c>
      <c r="AH1694" t="str">
        <f t="shared" si="192"/>
        <v>3rd Quality</v>
      </c>
      <c r="AJ1694">
        <f>((T1694-X1694)*2)/9.5</f>
        <v>30.0494586019228</v>
      </c>
      <c r="AK1694">
        <f t="shared" si="190"/>
        <v>208795.816428571</v>
      </c>
    </row>
    <row r="1695" spans="1:37">
      <c r="A1695" t="s">
        <v>1758</v>
      </c>
      <c r="B1695">
        <v>29</v>
      </c>
      <c r="C1695" t="s">
        <v>50</v>
      </c>
      <c r="D1695" t="s">
        <v>60</v>
      </c>
      <c r="E1695">
        <v>679</v>
      </c>
      <c r="F1695">
        <v>52</v>
      </c>
      <c r="G1695">
        <v>1</v>
      </c>
      <c r="H1695">
        <v>1193.81</v>
      </c>
      <c r="I1695">
        <v>1252.7</v>
      </c>
      <c r="J1695">
        <v>18</v>
      </c>
      <c r="K1695">
        <v>0</v>
      </c>
      <c r="L1695">
        <v>20.2</v>
      </c>
      <c r="M1695">
        <v>19.6</v>
      </c>
      <c r="N1695" t="s">
        <v>57</v>
      </c>
      <c r="O1695" t="s">
        <v>53</v>
      </c>
      <c r="P1695" t="s">
        <v>68</v>
      </c>
      <c r="R1695">
        <f>SUMIF(A1695:A6694,"C01694",I1695:I6694)</f>
        <v>1252.7</v>
      </c>
      <c r="S1695" s="1">
        <v>21442.43</v>
      </c>
      <c r="T1695">
        <f t="shared" si="191"/>
        <v>69.5944444444444</v>
      </c>
      <c r="U1695">
        <f t="shared" si="185"/>
        <v>352.8</v>
      </c>
      <c r="V1695">
        <f t="shared" ref="V1692:V1755" si="193">U1695/12</f>
        <v>29.4</v>
      </c>
      <c r="W1695">
        <f t="shared" si="189"/>
        <v>815.836666666667</v>
      </c>
      <c r="X1695">
        <f t="shared" si="187"/>
        <v>0.568767224265168</v>
      </c>
      <c r="AH1695" t="str">
        <f t="shared" si="192"/>
        <v>3rd Quality</v>
      </c>
      <c r="AJ1695">
        <f>((T1695-X1695)*2)/20.2</f>
        <v>6.83422546734448</v>
      </c>
      <c r="AK1695">
        <f t="shared" si="190"/>
        <v>47254.6277777778</v>
      </c>
    </row>
    <row r="1696" spans="1:37">
      <c r="A1696" t="s">
        <v>1759</v>
      </c>
      <c r="B1696">
        <v>18</v>
      </c>
      <c r="C1696" t="s">
        <v>44</v>
      </c>
      <c r="D1696" t="s">
        <v>60</v>
      </c>
      <c r="E1696">
        <v>1300</v>
      </c>
      <c r="F1696">
        <v>33</v>
      </c>
      <c r="G1696">
        <v>1</v>
      </c>
      <c r="H1696">
        <v>697.18</v>
      </c>
      <c r="I1696">
        <v>639.84</v>
      </c>
      <c r="J1696">
        <v>14</v>
      </c>
      <c r="K1696">
        <v>0</v>
      </c>
      <c r="L1696">
        <v>36.3</v>
      </c>
      <c r="M1696">
        <v>39.3</v>
      </c>
      <c r="N1696" t="s">
        <v>61</v>
      </c>
      <c r="O1696" t="s">
        <v>75</v>
      </c>
      <c r="P1696" t="s">
        <v>68</v>
      </c>
      <c r="R1696">
        <f>SUMIF(A1696:A6695,"C01695",I1696:I6695)</f>
        <v>639.84</v>
      </c>
      <c r="S1696" s="1">
        <v>52546.11</v>
      </c>
      <c r="T1696">
        <f t="shared" si="191"/>
        <v>45.7028571428571</v>
      </c>
      <c r="U1696">
        <f t="shared" si="185"/>
        <v>550.2</v>
      </c>
      <c r="V1696">
        <f t="shared" si="193"/>
        <v>45.85</v>
      </c>
      <c r="W1696">
        <f t="shared" si="189"/>
        <v>446.006666666667</v>
      </c>
      <c r="X1696">
        <f t="shared" si="187"/>
        <v>1.86465475200092</v>
      </c>
      <c r="AH1696" t="str">
        <f t="shared" si="192"/>
        <v>3rd Quality</v>
      </c>
      <c r="AJ1696">
        <f>((T1696-X1696)*2)/36.3</f>
        <v>2.41532795541907</v>
      </c>
      <c r="AK1696">
        <f t="shared" si="190"/>
        <v>59413.7142857143</v>
      </c>
    </row>
    <row r="1697" spans="1:37">
      <c r="A1697" t="s">
        <v>1760</v>
      </c>
      <c r="B1697">
        <v>41</v>
      </c>
      <c r="C1697" t="s">
        <v>44</v>
      </c>
      <c r="D1697" t="s">
        <v>45</v>
      </c>
      <c r="E1697">
        <v>1117</v>
      </c>
      <c r="F1697">
        <v>31</v>
      </c>
      <c r="G1697">
        <v>2</v>
      </c>
      <c r="H1697">
        <v>11060.62</v>
      </c>
      <c r="I1697">
        <v>21442.43</v>
      </c>
      <c r="J1697">
        <v>17</v>
      </c>
      <c r="K1697">
        <v>0</v>
      </c>
      <c r="L1697">
        <v>0</v>
      </c>
      <c r="M1697">
        <v>26.7</v>
      </c>
      <c r="N1697" t="s">
        <v>52</v>
      </c>
      <c r="O1697" t="s">
        <v>47</v>
      </c>
      <c r="P1697" t="s">
        <v>58</v>
      </c>
      <c r="R1697">
        <f>SUMIF(A1697:A6696,"C01696",I1697:I6696)</f>
        <v>21442.43</v>
      </c>
      <c r="S1697" s="1">
        <v>1595.66</v>
      </c>
      <c r="T1697">
        <f t="shared" si="191"/>
        <v>1261.31941176471</v>
      </c>
      <c r="U1697">
        <f t="shared" si="185"/>
        <v>453.9</v>
      </c>
      <c r="V1697">
        <f t="shared" si="193"/>
        <v>37.825</v>
      </c>
      <c r="W1697">
        <f t="shared" si="189"/>
        <v>10834.6833333333</v>
      </c>
      <c r="X1697">
        <f t="shared" si="187"/>
        <v>0.100988913822191</v>
      </c>
      <c r="AH1697" t="str">
        <f t="shared" si="192"/>
        <v>2nd Quality</v>
      </c>
      <c r="AJ1697">
        <f>((T1697-X1697)*2)</f>
        <v>2522.43684570178</v>
      </c>
      <c r="AK1697">
        <f t="shared" si="190"/>
        <v>1408893.78294118</v>
      </c>
    </row>
    <row r="1698" spans="1:37">
      <c r="A1698" t="s">
        <v>1761</v>
      </c>
      <c r="B1698">
        <v>26</v>
      </c>
      <c r="C1698" t="s">
        <v>50</v>
      </c>
      <c r="D1698" t="s">
        <v>60</v>
      </c>
      <c r="E1698">
        <v>785</v>
      </c>
      <c r="F1698">
        <v>17</v>
      </c>
      <c r="G1698">
        <v>19</v>
      </c>
      <c r="H1698">
        <v>2894.82</v>
      </c>
      <c r="I1698">
        <v>52546.11</v>
      </c>
      <c r="J1698">
        <v>65</v>
      </c>
      <c r="K1698">
        <v>2</v>
      </c>
      <c r="L1698">
        <v>18.6</v>
      </c>
      <c r="M1698">
        <v>40.1</v>
      </c>
      <c r="N1698" t="s">
        <v>78</v>
      </c>
      <c r="O1698" t="s">
        <v>47</v>
      </c>
      <c r="P1698" t="s">
        <v>58</v>
      </c>
      <c r="R1698">
        <f>SUMIF(A1698:A6697,"C01697",I1698:I6697)</f>
        <v>52546.11</v>
      </c>
      <c r="S1698" s="1">
        <v>1263.5</v>
      </c>
      <c r="T1698">
        <f t="shared" si="191"/>
        <v>808.401692307692</v>
      </c>
      <c r="U1698">
        <f t="shared" ref="U1698:U1761" si="194">J1698*M1698</f>
        <v>2606.5</v>
      </c>
      <c r="V1698">
        <f>U1698</f>
        <v>2606.5</v>
      </c>
      <c r="W1698">
        <f t="shared" si="189"/>
        <v>18480.6433333333</v>
      </c>
      <c r="X1698">
        <f t="shared" si="187"/>
        <v>0.271174028091557</v>
      </c>
      <c r="AH1698" t="str">
        <f t="shared" si="192"/>
        <v>2nd Quality</v>
      </c>
      <c r="AJ1698">
        <f>((T1698-X1698)*2)/18.6</f>
        <v>86.8957546537205</v>
      </c>
      <c r="AK1698">
        <f t="shared" si="190"/>
        <v>634595.328461538</v>
      </c>
    </row>
    <row r="1699" spans="1:37">
      <c r="A1699" t="s">
        <v>1762</v>
      </c>
      <c r="B1699">
        <v>18</v>
      </c>
      <c r="C1699" t="s">
        <v>44</v>
      </c>
      <c r="D1699" t="s">
        <v>45</v>
      </c>
      <c r="E1699">
        <v>395</v>
      </c>
      <c r="F1699">
        <v>148</v>
      </c>
      <c r="G1699">
        <v>2</v>
      </c>
      <c r="H1699">
        <v>839.01</v>
      </c>
      <c r="I1699">
        <v>1595.66</v>
      </c>
      <c r="J1699">
        <v>12</v>
      </c>
      <c r="K1699">
        <v>0</v>
      </c>
      <c r="L1699">
        <v>35.4</v>
      </c>
      <c r="M1699">
        <v>46.6</v>
      </c>
      <c r="N1699" t="s">
        <v>57</v>
      </c>
      <c r="O1699" t="s">
        <v>75</v>
      </c>
      <c r="P1699" t="s">
        <v>48</v>
      </c>
      <c r="R1699">
        <f>SUMIF(A1699:A6698,"C01698",I1699:I6698)</f>
        <v>1595.66</v>
      </c>
      <c r="S1699" s="1">
        <v>1526.73</v>
      </c>
      <c r="T1699">
        <f t="shared" si="191"/>
        <v>132.971666666667</v>
      </c>
      <c r="U1699">
        <f t="shared" si="194"/>
        <v>559.2</v>
      </c>
      <c r="V1699">
        <f t="shared" si="193"/>
        <v>46.6</v>
      </c>
      <c r="W1699">
        <f t="shared" si="189"/>
        <v>811.89</v>
      </c>
      <c r="X1699">
        <f t="shared" si="187"/>
        <v>0.4707929583676</v>
      </c>
      <c r="AH1699" t="str">
        <f t="shared" si="192"/>
        <v>3rd Quality</v>
      </c>
      <c r="AJ1699">
        <f>((T1699-X1699)*2)/35.4</f>
        <v>7.4859250682655</v>
      </c>
      <c r="AK1699">
        <f t="shared" si="190"/>
        <v>52523.8083333333</v>
      </c>
    </row>
    <row r="1700" spans="1:37">
      <c r="A1700" t="s">
        <v>1763</v>
      </c>
      <c r="B1700">
        <v>34</v>
      </c>
      <c r="C1700" t="s">
        <v>44</v>
      </c>
      <c r="D1700" t="s">
        <v>60</v>
      </c>
      <c r="E1700">
        <v>970</v>
      </c>
      <c r="F1700">
        <v>365</v>
      </c>
      <c r="G1700">
        <v>1</v>
      </c>
      <c r="H1700">
        <v>1357.4</v>
      </c>
      <c r="I1700">
        <v>1263.5</v>
      </c>
      <c r="J1700">
        <v>13</v>
      </c>
      <c r="K1700">
        <v>0</v>
      </c>
      <c r="L1700">
        <v>26.2</v>
      </c>
      <c r="M1700">
        <v>22.3</v>
      </c>
      <c r="N1700" t="s">
        <v>46</v>
      </c>
      <c r="O1700" t="s">
        <v>47</v>
      </c>
      <c r="P1700" t="s">
        <v>68</v>
      </c>
      <c r="R1700">
        <f>SUMIF(A1700:A6699,"C01699",I1700:I6699)</f>
        <v>1263.5</v>
      </c>
      <c r="S1700" s="1">
        <v>2304.88</v>
      </c>
      <c r="T1700">
        <f t="shared" si="191"/>
        <v>97.1923076923077</v>
      </c>
      <c r="U1700">
        <f t="shared" si="194"/>
        <v>289.9</v>
      </c>
      <c r="V1700">
        <f t="shared" si="193"/>
        <v>24.1583333333333</v>
      </c>
      <c r="W1700">
        <f t="shared" si="189"/>
        <v>873.966666666667</v>
      </c>
      <c r="X1700">
        <f t="shared" si="187"/>
        <v>0.714601443936938</v>
      </c>
      <c r="AH1700" t="str">
        <f t="shared" si="192"/>
        <v>3rd Quality</v>
      </c>
      <c r="AJ1700">
        <f>((T1700-X1700)*2)/26.2</f>
        <v>7.36471040063899</v>
      </c>
      <c r="AK1700">
        <f t="shared" si="190"/>
        <v>94276.5384615385</v>
      </c>
    </row>
    <row r="1701" spans="1:37">
      <c r="A1701" t="s">
        <v>1764</v>
      </c>
      <c r="B1701">
        <v>19</v>
      </c>
      <c r="C1701" t="s">
        <v>44</v>
      </c>
      <c r="D1701" t="s">
        <v>60</v>
      </c>
      <c r="E1701">
        <v>412</v>
      </c>
      <c r="F1701">
        <v>46</v>
      </c>
      <c r="G1701">
        <v>2</v>
      </c>
      <c r="H1701">
        <v>825.64</v>
      </c>
      <c r="I1701">
        <v>1526.73</v>
      </c>
      <c r="J1701">
        <v>21</v>
      </c>
      <c r="K1701">
        <v>0</v>
      </c>
      <c r="L1701">
        <v>31.4</v>
      </c>
      <c r="M1701">
        <v>13.3</v>
      </c>
      <c r="N1701" t="s">
        <v>46</v>
      </c>
      <c r="O1701" t="s">
        <v>47</v>
      </c>
      <c r="P1701" t="s">
        <v>68</v>
      </c>
      <c r="R1701">
        <f>SUMIF(A1701:A6700,"C01700",I1701:I6700)</f>
        <v>1526.73</v>
      </c>
      <c r="S1701" s="1">
        <v>1710.68</v>
      </c>
      <c r="T1701">
        <f t="shared" si="191"/>
        <v>72.7014285714286</v>
      </c>
      <c r="U1701">
        <f t="shared" si="194"/>
        <v>279.3</v>
      </c>
      <c r="V1701">
        <f t="shared" si="193"/>
        <v>23.275</v>
      </c>
      <c r="W1701">
        <f t="shared" si="189"/>
        <v>784.456666666667</v>
      </c>
      <c r="X1701">
        <f t="shared" si="187"/>
        <v>0.499006831064386</v>
      </c>
      <c r="AH1701" t="str">
        <f t="shared" si="192"/>
        <v>3rd Quality</v>
      </c>
      <c r="AJ1701">
        <f>((T1701-X1701)*2)/31.4</f>
        <v>4.59888036562829</v>
      </c>
      <c r="AK1701">
        <f t="shared" si="190"/>
        <v>29952.9885714286</v>
      </c>
    </row>
    <row r="1702" spans="1:37">
      <c r="A1702" t="s">
        <v>1765</v>
      </c>
      <c r="B1702">
        <v>18</v>
      </c>
      <c r="C1702" t="s">
        <v>44</v>
      </c>
      <c r="D1702" t="s">
        <v>60</v>
      </c>
      <c r="E1702">
        <v>1153</v>
      </c>
      <c r="F1702">
        <v>365</v>
      </c>
      <c r="G1702">
        <v>1</v>
      </c>
      <c r="H1702">
        <v>2116.82</v>
      </c>
      <c r="I1702">
        <v>2304.88</v>
      </c>
      <c r="J1702">
        <v>13</v>
      </c>
      <c r="K1702">
        <v>0</v>
      </c>
      <c r="L1702">
        <v>28.5</v>
      </c>
      <c r="M1702">
        <v>43.2</v>
      </c>
      <c r="N1702" t="s">
        <v>63</v>
      </c>
      <c r="O1702" t="s">
        <v>47</v>
      </c>
      <c r="P1702" t="s">
        <v>66</v>
      </c>
      <c r="R1702">
        <f>SUMIF(A1702:A6701,"C01701",I1702:I6701)</f>
        <v>2304.88</v>
      </c>
      <c r="S1702" s="1">
        <v>6555.33</v>
      </c>
      <c r="T1702">
        <f t="shared" si="191"/>
        <v>177.298461538462</v>
      </c>
      <c r="U1702">
        <f t="shared" si="194"/>
        <v>561.6</v>
      </c>
      <c r="V1702">
        <f t="shared" si="193"/>
        <v>46.8</v>
      </c>
      <c r="W1702">
        <f t="shared" si="189"/>
        <v>1474.23333333333</v>
      </c>
      <c r="X1702">
        <f t="shared" si="187"/>
        <v>0.544684951956236</v>
      </c>
      <c r="AH1702" t="str">
        <f t="shared" si="192"/>
        <v>3rd Quality</v>
      </c>
      <c r="AJ1702">
        <f>((T1702-X1702)*2)/28.5</f>
        <v>12.4037737955443</v>
      </c>
      <c r="AK1702">
        <f t="shared" si="190"/>
        <v>204425.126153846</v>
      </c>
    </row>
    <row r="1703" spans="1:37">
      <c r="A1703" t="s">
        <v>1766</v>
      </c>
      <c r="B1703">
        <v>43</v>
      </c>
      <c r="C1703" t="s">
        <v>44</v>
      </c>
      <c r="D1703" t="s">
        <v>51</v>
      </c>
      <c r="E1703">
        <v>594</v>
      </c>
      <c r="F1703">
        <v>217</v>
      </c>
      <c r="G1703">
        <v>1</v>
      </c>
      <c r="H1703">
        <v>1530.89</v>
      </c>
      <c r="I1703">
        <v>1710.68</v>
      </c>
      <c r="J1703">
        <v>15</v>
      </c>
      <c r="K1703">
        <v>0</v>
      </c>
      <c r="L1703">
        <v>7</v>
      </c>
      <c r="M1703">
        <v>84.5</v>
      </c>
      <c r="N1703" t="s">
        <v>46</v>
      </c>
      <c r="O1703" t="s">
        <v>53</v>
      </c>
      <c r="P1703" t="s">
        <v>66</v>
      </c>
      <c r="R1703">
        <f>SUMIF(A1703:A6702,"C01702",I1703:I6702)</f>
        <v>1710.68</v>
      </c>
      <c r="S1703" s="1">
        <v>38410.67</v>
      </c>
      <c r="T1703">
        <f t="shared" si="191"/>
        <v>114.045333333333</v>
      </c>
      <c r="U1703">
        <f t="shared" si="194"/>
        <v>1267.5</v>
      </c>
      <c r="V1703">
        <f t="shared" si="193"/>
        <v>105.625</v>
      </c>
      <c r="W1703">
        <f t="shared" si="189"/>
        <v>1080.85666666667</v>
      </c>
      <c r="X1703">
        <f t="shared" si="187"/>
        <v>0.388009589193214</v>
      </c>
      <c r="AH1703" t="str">
        <f t="shared" si="192"/>
        <v>3rd Quality</v>
      </c>
      <c r="AJ1703" s="3" t="s">
        <v>1767</v>
      </c>
      <c r="AK1703">
        <f t="shared" si="190"/>
        <v>67742.928</v>
      </c>
    </row>
    <row r="1704" spans="1:37">
      <c r="A1704" t="s">
        <v>1768</v>
      </c>
      <c r="B1704">
        <v>34</v>
      </c>
      <c r="C1704" t="s">
        <v>101</v>
      </c>
      <c r="D1704" t="s">
        <v>45</v>
      </c>
      <c r="E1704">
        <v>1406</v>
      </c>
      <c r="F1704">
        <v>12</v>
      </c>
      <c r="G1704">
        <v>6</v>
      </c>
      <c r="H1704">
        <v>1189.62</v>
      </c>
      <c r="I1704">
        <v>6555.33</v>
      </c>
      <c r="J1704">
        <v>36</v>
      </c>
      <c r="K1704">
        <v>0</v>
      </c>
      <c r="L1704">
        <v>31.6</v>
      </c>
      <c r="M1704">
        <v>42.8</v>
      </c>
      <c r="N1704" t="s">
        <v>57</v>
      </c>
      <c r="O1704" t="s">
        <v>53</v>
      </c>
      <c r="P1704" t="s">
        <v>66</v>
      </c>
      <c r="R1704">
        <f>SUMIF(A1704:A6703,"C01703",I1704:I6703)</f>
        <v>6555.33</v>
      </c>
      <c r="S1704" s="1">
        <v>16301.4</v>
      </c>
      <c r="T1704">
        <f t="shared" si="191"/>
        <v>182.0925</v>
      </c>
      <c r="U1704">
        <f t="shared" si="194"/>
        <v>1540.8</v>
      </c>
      <c r="V1704">
        <f t="shared" si="193"/>
        <v>128.4</v>
      </c>
      <c r="W1704">
        <f t="shared" si="189"/>
        <v>2581.98333333333</v>
      </c>
      <c r="X1704">
        <f t="shared" si="187"/>
        <v>1.181890015299</v>
      </c>
      <c r="AH1704" t="str">
        <f t="shared" si="192"/>
        <v>3rd Quality</v>
      </c>
      <c r="AJ1704">
        <f t="shared" ref="AJ1704:AJ1725" si="195">((T1704-X1704)*2)/28.4</f>
        <v>12.7401838017395</v>
      </c>
      <c r="AK1704">
        <f t="shared" si="190"/>
        <v>256022.055</v>
      </c>
    </row>
    <row r="1705" spans="1:37">
      <c r="A1705" t="s">
        <v>1769</v>
      </c>
      <c r="B1705">
        <v>19</v>
      </c>
      <c r="C1705" t="s">
        <v>50</v>
      </c>
      <c r="D1705" t="s">
        <v>45</v>
      </c>
      <c r="E1705">
        <v>400</v>
      </c>
      <c r="F1705">
        <v>58</v>
      </c>
      <c r="G1705">
        <v>3</v>
      </c>
      <c r="H1705">
        <v>11967.04</v>
      </c>
      <c r="I1705">
        <v>38410.67</v>
      </c>
      <c r="J1705">
        <v>23</v>
      </c>
      <c r="K1705">
        <v>0</v>
      </c>
      <c r="L1705">
        <v>27.3</v>
      </c>
      <c r="M1705">
        <v>38.7</v>
      </c>
      <c r="N1705" t="s">
        <v>81</v>
      </c>
      <c r="O1705" t="s">
        <v>47</v>
      </c>
      <c r="P1705" t="s">
        <v>58</v>
      </c>
      <c r="R1705">
        <f>SUMIF(A1705:A6704,"C01704",I1705:I6704)</f>
        <v>38410.67</v>
      </c>
      <c r="S1705" s="1">
        <v>1109.12</v>
      </c>
      <c r="T1705">
        <f t="shared" si="191"/>
        <v>1670.02913043478</v>
      </c>
      <c r="U1705">
        <f t="shared" si="194"/>
        <v>890.1</v>
      </c>
      <c r="V1705">
        <f t="shared" si="193"/>
        <v>74.175</v>
      </c>
      <c r="W1705">
        <f t="shared" si="189"/>
        <v>16792.9033333333</v>
      </c>
      <c r="X1705">
        <f t="shared" si="187"/>
        <v>0.0334251410540952</v>
      </c>
      <c r="AH1705" t="str">
        <f t="shared" si="192"/>
        <v>3rd Quality</v>
      </c>
      <c r="AJ1705">
        <f t="shared" si="195"/>
        <v>117.605331358713</v>
      </c>
      <c r="AK1705">
        <f t="shared" si="190"/>
        <v>668011.652173913</v>
      </c>
    </row>
    <row r="1706" spans="1:37">
      <c r="A1706" t="s">
        <v>1770</v>
      </c>
      <c r="B1706">
        <v>28</v>
      </c>
      <c r="C1706" t="s">
        <v>44</v>
      </c>
      <c r="D1706" t="s">
        <v>45</v>
      </c>
      <c r="E1706">
        <v>750</v>
      </c>
      <c r="F1706">
        <v>33</v>
      </c>
      <c r="G1706">
        <v>10</v>
      </c>
      <c r="H1706">
        <v>1744.19</v>
      </c>
      <c r="I1706">
        <v>16301.4</v>
      </c>
      <c r="J1706">
        <v>26</v>
      </c>
      <c r="K1706">
        <v>1</v>
      </c>
      <c r="L1706">
        <v>20.2</v>
      </c>
      <c r="M1706">
        <v>23.6</v>
      </c>
      <c r="N1706" t="s">
        <v>52</v>
      </c>
      <c r="O1706" t="s">
        <v>75</v>
      </c>
      <c r="P1706" t="s">
        <v>58</v>
      </c>
      <c r="R1706">
        <f>SUMIF(A1706:A6705,"C01705",I1706:I6705)</f>
        <v>16301.4</v>
      </c>
      <c r="S1706" s="1">
        <v>73374.55</v>
      </c>
      <c r="T1706">
        <f t="shared" si="191"/>
        <v>626.976923076923</v>
      </c>
      <c r="U1706">
        <f t="shared" si="194"/>
        <v>613.6</v>
      </c>
      <c r="V1706">
        <f>U1706</f>
        <v>613.6</v>
      </c>
      <c r="W1706">
        <f t="shared" si="189"/>
        <v>6015.53</v>
      </c>
      <c r="X1706">
        <f t="shared" si="187"/>
        <v>0.429999025335543</v>
      </c>
      <c r="AH1706" t="str">
        <f t="shared" si="192"/>
        <v>3rd Quality</v>
      </c>
      <c r="AJ1706">
        <f t="shared" si="195"/>
        <v>44.1230228205343</v>
      </c>
      <c r="AK1706">
        <f t="shared" si="190"/>
        <v>470232.692307692</v>
      </c>
    </row>
    <row r="1707" spans="1:37">
      <c r="A1707" t="s">
        <v>1771</v>
      </c>
      <c r="B1707">
        <v>61</v>
      </c>
      <c r="C1707" t="s">
        <v>50</v>
      </c>
      <c r="D1707" t="s">
        <v>60</v>
      </c>
      <c r="E1707">
        <v>795</v>
      </c>
      <c r="F1707">
        <v>129</v>
      </c>
      <c r="G1707">
        <v>1</v>
      </c>
      <c r="H1707">
        <v>1103.38</v>
      </c>
      <c r="I1707">
        <v>1109.12</v>
      </c>
      <c r="J1707">
        <v>19</v>
      </c>
      <c r="K1707">
        <v>0</v>
      </c>
      <c r="L1707">
        <v>16.6</v>
      </c>
      <c r="M1707">
        <v>23.1</v>
      </c>
      <c r="N1707" t="s">
        <v>57</v>
      </c>
      <c r="O1707" t="s">
        <v>53</v>
      </c>
      <c r="P1707" t="s">
        <v>58</v>
      </c>
      <c r="R1707">
        <f>SUMIF(A1707:A6706,"C01706",I1707:I6706)</f>
        <v>1109.12</v>
      </c>
      <c r="S1707" s="1">
        <v>14638.17</v>
      </c>
      <c r="T1707">
        <f t="shared" si="191"/>
        <v>58.3747368421053</v>
      </c>
      <c r="U1707">
        <f t="shared" si="194"/>
        <v>438.9</v>
      </c>
      <c r="V1707">
        <f t="shared" si="193"/>
        <v>36.575</v>
      </c>
      <c r="W1707">
        <f t="shared" si="189"/>
        <v>737.833333333333</v>
      </c>
      <c r="X1707">
        <f t="shared" si="187"/>
        <v>0.720513331762403</v>
      </c>
      <c r="AH1707" t="str">
        <f t="shared" si="192"/>
        <v>3rd Quality</v>
      </c>
      <c r="AJ1707">
        <f t="shared" si="195"/>
        <v>4.06015658523542</v>
      </c>
      <c r="AK1707">
        <f t="shared" si="190"/>
        <v>46407.9157894737</v>
      </c>
    </row>
    <row r="1708" spans="1:37">
      <c r="A1708" t="s">
        <v>1772</v>
      </c>
      <c r="B1708">
        <v>32</v>
      </c>
      <c r="C1708" t="s">
        <v>44</v>
      </c>
      <c r="D1708" t="s">
        <v>45</v>
      </c>
      <c r="E1708">
        <v>1208</v>
      </c>
      <c r="F1708">
        <v>9</v>
      </c>
      <c r="G1708">
        <v>25</v>
      </c>
      <c r="H1708">
        <v>3165.04</v>
      </c>
      <c r="I1708">
        <v>73374.55</v>
      </c>
      <c r="J1708">
        <v>185</v>
      </c>
      <c r="K1708">
        <v>5</v>
      </c>
      <c r="L1708">
        <v>2.6</v>
      </c>
      <c r="M1708">
        <v>26.2</v>
      </c>
      <c r="N1708" t="s">
        <v>78</v>
      </c>
      <c r="O1708" t="s">
        <v>53</v>
      </c>
      <c r="P1708" t="s">
        <v>58</v>
      </c>
      <c r="R1708">
        <f>SUMIF(A1708:A6707,"C01707",I1708:I6707)</f>
        <v>73374.55</v>
      </c>
      <c r="S1708" s="1">
        <v>1672.25</v>
      </c>
      <c r="T1708">
        <f t="shared" si="191"/>
        <v>396.619189189189</v>
      </c>
      <c r="U1708">
        <f t="shared" si="194"/>
        <v>4847</v>
      </c>
      <c r="V1708">
        <f>U1708</f>
        <v>4847</v>
      </c>
      <c r="W1708">
        <f t="shared" si="189"/>
        <v>25513.53</v>
      </c>
      <c r="X1708">
        <f t="shared" si="187"/>
        <v>0.381669741930592</v>
      </c>
      <c r="AH1708" t="str">
        <f t="shared" si="192"/>
        <v>1st Quality</v>
      </c>
      <c r="AJ1708">
        <f t="shared" si="195"/>
        <v>27.9040506652999</v>
      </c>
      <c r="AK1708">
        <f t="shared" si="190"/>
        <v>479115.980540541</v>
      </c>
    </row>
    <row r="1709" spans="1:37">
      <c r="A1709" t="s">
        <v>1773</v>
      </c>
      <c r="B1709">
        <v>32</v>
      </c>
      <c r="C1709" t="s">
        <v>44</v>
      </c>
      <c r="D1709" t="s">
        <v>60</v>
      </c>
      <c r="E1709">
        <v>621</v>
      </c>
      <c r="F1709">
        <v>5</v>
      </c>
      <c r="G1709">
        <v>14</v>
      </c>
      <c r="H1709">
        <v>1106.36</v>
      </c>
      <c r="I1709">
        <v>14638.17</v>
      </c>
      <c r="J1709">
        <v>101</v>
      </c>
      <c r="K1709">
        <v>1</v>
      </c>
      <c r="L1709">
        <v>22.5</v>
      </c>
      <c r="M1709">
        <v>35.6</v>
      </c>
      <c r="N1709" t="s">
        <v>78</v>
      </c>
      <c r="O1709" t="s">
        <v>75</v>
      </c>
      <c r="P1709" t="s">
        <v>58</v>
      </c>
      <c r="R1709">
        <f>SUMIF(A1709:A6708,"C01708",I1709:I6708)</f>
        <v>14638.17</v>
      </c>
      <c r="S1709" s="1">
        <v>34196.02</v>
      </c>
      <c r="T1709">
        <f t="shared" si="191"/>
        <v>144.932376237624</v>
      </c>
      <c r="U1709">
        <f t="shared" si="194"/>
        <v>3595.6</v>
      </c>
      <c r="V1709">
        <f>U1709</f>
        <v>3595.6</v>
      </c>
      <c r="W1709">
        <f t="shared" si="189"/>
        <v>5248.51</v>
      </c>
      <c r="X1709">
        <f t="shared" si="187"/>
        <v>0.56130011931017</v>
      </c>
      <c r="AH1709" t="str">
        <f t="shared" si="192"/>
        <v>3rd Quality</v>
      </c>
      <c r="AJ1709">
        <f t="shared" si="195"/>
        <v>10.1669771914306</v>
      </c>
      <c r="AK1709">
        <f t="shared" si="190"/>
        <v>90003.0056435644</v>
      </c>
    </row>
    <row r="1710" spans="1:37">
      <c r="A1710" t="s">
        <v>1774</v>
      </c>
      <c r="B1710">
        <v>21</v>
      </c>
      <c r="C1710" t="s">
        <v>44</v>
      </c>
      <c r="D1710" t="s">
        <v>60</v>
      </c>
      <c r="E1710">
        <v>1220</v>
      </c>
      <c r="F1710">
        <v>365</v>
      </c>
      <c r="G1710">
        <v>1</v>
      </c>
      <c r="H1710">
        <v>1708.88</v>
      </c>
      <c r="I1710">
        <v>1672.25</v>
      </c>
      <c r="J1710">
        <v>7</v>
      </c>
      <c r="K1710">
        <v>0</v>
      </c>
      <c r="L1710">
        <v>18.3</v>
      </c>
      <c r="M1710">
        <v>48.5</v>
      </c>
      <c r="N1710" t="s">
        <v>61</v>
      </c>
      <c r="O1710" t="s">
        <v>75</v>
      </c>
      <c r="P1710" t="s">
        <v>68</v>
      </c>
      <c r="R1710">
        <f>SUMIF(A1710:A6709,"C01709",I1710:I6709)</f>
        <v>1672.25</v>
      </c>
      <c r="S1710" s="1">
        <v>3872.63</v>
      </c>
      <c r="T1710">
        <f t="shared" si="191"/>
        <v>238.892857142857</v>
      </c>
      <c r="U1710">
        <f t="shared" si="194"/>
        <v>339.5</v>
      </c>
      <c r="V1710">
        <f t="shared" si="193"/>
        <v>28.2916666666667</v>
      </c>
      <c r="W1710">
        <f t="shared" si="189"/>
        <v>1127.37666666667</v>
      </c>
      <c r="X1710">
        <f t="shared" si="187"/>
        <v>0.713917887739338</v>
      </c>
      <c r="AH1710" t="str">
        <f t="shared" si="192"/>
        <v>3rd Quality</v>
      </c>
      <c r="AJ1710">
        <f t="shared" si="195"/>
        <v>16.7731647362759</v>
      </c>
      <c r="AK1710">
        <f t="shared" si="190"/>
        <v>291449.285714286</v>
      </c>
    </row>
    <row r="1711" spans="1:37">
      <c r="A1711" t="s">
        <v>1775</v>
      </c>
      <c r="B1711">
        <v>34</v>
      </c>
      <c r="C1711" t="s">
        <v>50</v>
      </c>
      <c r="D1711" t="s">
        <v>60</v>
      </c>
      <c r="E1711">
        <v>721</v>
      </c>
      <c r="F1711">
        <v>53</v>
      </c>
      <c r="G1711">
        <v>14</v>
      </c>
      <c r="H1711">
        <v>2328.01</v>
      </c>
      <c r="I1711">
        <v>34196.02</v>
      </c>
      <c r="J1711">
        <v>74</v>
      </c>
      <c r="K1711">
        <v>0</v>
      </c>
      <c r="L1711">
        <v>5.5</v>
      </c>
      <c r="M1711">
        <v>22.9</v>
      </c>
      <c r="N1711" t="s">
        <v>52</v>
      </c>
      <c r="O1711" t="s">
        <v>75</v>
      </c>
      <c r="P1711" t="s">
        <v>58</v>
      </c>
      <c r="R1711">
        <f>SUMIF(A1711:A6710,"C01710",I1711:I6710)</f>
        <v>34196.02</v>
      </c>
      <c r="S1711" s="1">
        <v>33012.2</v>
      </c>
      <c r="T1711">
        <f t="shared" si="191"/>
        <v>462.108378378378</v>
      </c>
      <c r="U1711">
        <f t="shared" si="194"/>
        <v>1694.6</v>
      </c>
      <c r="V1711">
        <f t="shared" si="193"/>
        <v>141.216666666667</v>
      </c>
      <c r="W1711">
        <f t="shared" si="189"/>
        <v>12175.01</v>
      </c>
      <c r="X1711">
        <f t="shared" ref="X1711:X1774" si="196">E1711/H1711</f>
        <v>0.309706573425372</v>
      </c>
      <c r="AH1711" t="str">
        <f t="shared" si="192"/>
        <v>2nd Quality</v>
      </c>
      <c r="AJ1711">
        <f t="shared" si="195"/>
        <v>32.5210332257009</v>
      </c>
      <c r="AK1711">
        <f t="shared" si="190"/>
        <v>333180.140810811</v>
      </c>
    </row>
    <row r="1712" spans="1:37">
      <c r="A1712" t="s">
        <v>1776</v>
      </c>
      <c r="B1712">
        <v>20</v>
      </c>
      <c r="C1712" t="s">
        <v>50</v>
      </c>
      <c r="D1712" t="s">
        <v>45</v>
      </c>
      <c r="E1712">
        <v>458</v>
      </c>
      <c r="F1712">
        <v>97</v>
      </c>
      <c r="G1712">
        <v>4</v>
      </c>
      <c r="H1712">
        <v>974.23</v>
      </c>
      <c r="I1712">
        <v>3872.63</v>
      </c>
      <c r="J1712">
        <v>25</v>
      </c>
      <c r="K1712">
        <v>0</v>
      </c>
      <c r="L1712">
        <v>33.3</v>
      </c>
      <c r="M1712">
        <v>40</v>
      </c>
      <c r="N1712" t="s">
        <v>78</v>
      </c>
      <c r="O1712" t="s">
        <v>53</v>
      </c>
      <c r="P1712" t="s">
        <v>58</v>
      </c>
      <c r="R1712">
        <f>SUMIF(A1712:A6711,"C01711",I1712:I6711)</f>
        <v>3872.63</v>
      </c>
      <c r="S1712" s="1">
        <v>3338.05</v>
      </c>
      <c r="T1712">
        <f t="shared" si="191"/>
        <v>154.9052</v>
      </c>
      <c r="U1712">
        <f t="shared" si="194"/>
        <v>1000</v>
      </c>
      <c r="V1712">
        <f t="shared" si="193"/>
        <v>83.3333333333333</v>
      </c>
      <c r="W1712">
        <f t="shared" si="189"/>
        <v>1615.95333333333</v>
      </c>
      <c r="X1712">
        <f t="shared" si="196"/>
        <v>0.470114859940671</v>
      </c>
      <c r="AH1712" t="str">
        <f t="shared" si="192"/>
        <v>3rd Quality</v>
      </c>
      <c r="AJ1712">
        <f t="shared" si="195"/>
        <v>10.8757102211309</v>
      </c>
      <c r="AK1712">
        <f t="shared" si="190"/>
        <v>70946.5816</v>
      </c>
    </row>
    <row r="1713" spans="1:37">
      <c r="A1713" t="s">
        <v>1777</v>
      </c>
      <c r="B1713">
        <v>18</v>
      </c>
      <c r="C1713" t="s">
        <v>44</v>
      </c>
      <c r="D1713" t="s">
        <v>60</v>
      </c>
      <c r="E1713">
        <v>1283</v>
      </c>
      <c r="F1713">
        <v>27</v>
      </c>
      <c r="G1713">
        <v>10</v>
      </c>
      <c r="H1713">
        <v>3072.58</v>
      </c>
      <c r="I1713">
        <v>33012.2</v>
      </c>
      <c r="J1713">
        <v>83</v>
      </c>
      <c r="K1713">
        <v>1</v>
      </c>
      <c r="L1713">
        <v>29.8</v>
      </c>
      <c r="M1713">
        <v>38.6</v>
      </c>
      <c r="N1713" t="s">
        <v>52</v>
      </c>
      <c r="O1713" t="s">
        <v>47</v>
      </c>
      <c r="P1713" t="s">
        <v>48</v>
      </c>
      <c r="R1713">
        <f>SUMIF(A1713:A6712,"C01712",I1713:I6712)</f>
        <v>33012.2</v>
      </c>
      <c r="S1713" s="1">
        <v>3246.64</v>
      </c>
      <c r="T1713">
        <f t="shared" si="191"/>
        <v>397.73734939759</v>
      </c>
      <c r="U1713">
        <f t="shared" si="194"/>
        <v>3203.8</v>
      </c>
      <c r="V1713">
        <f>U1713</f>
        <v>3203.8</v>
      </c>
      <c r="W1713">
        <f t="shared" si="189"/>
        <v>12028.5933333333</v>
      </c>
      <c r="X1713">
        <f t="shared" si="196"/>
        <v>0.417564392139505</v>
      </c>
      <c r="AH1713" t="str">
        <f t="shared" si="192"/>
        <v>2nd Quality</v>
      </c>
      <c r="AJ1713">
        <f t="shared" si="195"/>
        <v>27.9802665496796</v>
      </c>
      <c r="AK1713">
        <f t="shared" si="190"/>
        <v>510297.019277108</v>
      </c>
    </row>
    <row r="1714" spans="1:37">
      <c r="A1714" t="s">
        <v>1778</v>
      </c>
      <c r="B1714">
        <v>36</v>
      </c>
      <c r="C1714" t="s">
        <v>50</v>
      </c>
      <c r="D1714" t="s">
        <v>45</v>
      </c>
      <c r="E1714">
        <v>579</v>
      </c>
      <c r="F1714">
        <v>365</v>
      </c>
      <c r="G1714">
        <v>2</v>
      </c>
      <c r="H1714">
        <v>1847.94</v>
      </c>
      <c r="I1714">
        <v>3338.05</v>
      </c>
      <c r="J1714">
        <v>23</v>
      </c>
      <c r="K1714">
        <v>0</v>
      </c>
      <c r="L1714">
        <v>10.8</v>
      </c>
      <c r="M1714">
        <v>42.5</v>
      </c>
      <c r="N1714" t="s">
        <v>61</v>
      </c>
      <c r="O1714" t="s">
        <v>75</v>
      </c>
      <c r="P1714" t="s">
        <v>58</v>
      </c>
      <c r="R1714">
        <f>SUMIF(A1714:A6713,"C01713",I1714:I6713)</f>
        <v>3338.05</v>
      </c>
      <c r="S1714" s="1">
        <v>8494.24</v>
      </c>
      <c r="T1714">
        <f t="shared" si="191"/>
        <v>145.132608695652</v>
      </c>
      <c r="U1714">
        <f t="shared" si="194"/>
        <v>977.5</v>
      </c>
      <c r="V1714">
        <f t="shared" si="193"/>
        <v>81.4583333333333</v>
      </c>
      <c r="W1714">
        <f t="shared" si="189"/>
        <v>1728.99666666667</v>
      </c>
      <c r="X1714">
        <f t="shared" si="196"/>
        <v>0.313321861099386</v>
      </c>
      <c r="AH1714" t="str">
        <f t="shared" si="192"/>
        <v>3rd Quality</v>
      </c>
      <c r="AJ1714">
        <f t="shared" si="195"/>
        <v>10.1985413263769</v>
      </c>
      <c r="AK1714">
        <f t="shared" si="190"/>
        <v>84031.7804347826</v>
      </c>
    </row>
    <row r="1715" spans="1:37">
      <c r="A1715" t="s">
        <v>1779</v>
      </c>
      <c r="B1715">
        <v>18</v>
      </c>
      <c r="C1715" t="s">
        <v>44</v>
      </c>
      <c r="D1715" t="s">
        <v>45</v>
      </c>
      <c r="E1715">
        <v>841</v>
      </c>
      <c r="F1715">
        <v>365</v>
      </c>
      <c r="G1715">
        <v>2</v>
      </c>
      <c r="H1715">
        <v>1595.8</v>
      </c>
      <c r="I1715">
        <v>3246.64</v>
      </c>
      <c r="J1715">
        <v>16</v>
      </c>
      <c r="K1715">
        <v>0</v>
      </c>
      <c r="L1715">
        <v>14</v>
      </c>
      <c r="M1715">
        <v>8.9</v>
      </c>
      <c r="N1715" t="s">
        <v>63</v>
      </c>
      <c r="O1715" t="s">
        <v>47</v>
      </c>
      <c r="P1715" t="s">
        <v>66</v>
      </c>
      <c r="R1715">
        <f>SUMIF(A1715:A6714,"C01714",I1715:I6714)</f>
        <v>3246.64</v>
      </c>
      <c r="S1715" s="1">
        <v>3260.12</v>
      </c>
      <c r="T1715">
        <f t="shared" si="191"/>
        <v>202.915</v>
      </c>
      <c r="U1715">
        <f t="shared" si="194"/>
        <v>142.4</v>
      </c>
      <c r="V1715">
        <f t="shared" si="193"/>
        <v>11.8666666666667</v>
      </c>
      <c r="W1715">
        <f t="shared" si="189"/>
        <v>1614.48</v>
      </c>
      <c r="X1715">
        <f t="shared" si="196"/>
        <v>0.527008397042236</v>
      </c>
      <c r="AH1715" t="str">
        <f t="shared" si="192"/>
        <v>3rd Quality</v>
      </c>
      <c r="AJ1715">
        <f t="shared" si="195"/>
        <v>14.252675464997</v>
      </c>
      <c r="AK1715">
        <f t="shared" si="190"/>
        <v>170651.515</v>
      </c>
    </row>
    <row r="1716" spans="1:37">
      <c r="A1716" t="s">
        <v>1780</v>
      </c>
      <c r="B1716">
        <v>36</v>
      </c>
      <c r="C1716" t="s">
        <v>44</v>
      </c>
      <c r="D1716" t="s">
        <v>45</v>
      </c>
      <c r="E1716">
        <v>1030</v>
      </c>
      <c r="F1716">
        <v>10</v>
      </c>
      <c r="G1716">
        <v>7</v>
      </c>
      <c r="H1716">
        <v>1339.94</v>
      </c>
      <c r="I1716">
        <v>8494.24</v>
      </c>
      <c r="J1716">
        <v>68</v>
      </c>
      <c r="K1716">
        <v>1</v>
      </c>
      <c r="L1716">
        <v>27.9</v>
      </c>
      <c r="M1716">
        <v>11</v>
      </c>
      <c r="N1716" t="s">
        <v>61</v>
      </c>
      <c r="O1716" t="s">
        <v>47</v>
      </c>
      <c r="P1716" t="s">
        <v>58</v>
      </c>
      <c r="R1716">
        <f>SUMIF(A1716:A6715,"C01715",I1716:I6715)</f>
        <v>8494.24</v>
      </c>
      <c r="S1716" s="1">
        <v>11649.71</v>
      </c>
      <c r="T1716">
        <f t="shared" si="191"/>
        <v>124.915294117647</v>
      </c>
      <c r="U1716">
        <f t="shared" si="194"/>
        <v>748</v>
      </c>
      <c r="V1716">
        <f>U1716</f>
        <v>748</v>
      </c>
      <c r="W1716">
        <f t="shared" si="189"/>
        <v>3278.39333333333</v>
      </c>
      <c r="X1716">
        <f t="shared" si="196"/>
        <v>0.768691135423974</v>
      </c>
      <c r="AH1716" t="str">
        <f t="shared" si="192"/>
        <v>3rd Quality</v>
      </c>
      <c r="AJ1716">
        <f t="shared" si="195"/>
        <v>8.74271851987486</v>
      </c>
      <c r="AK1716">
        <f t="shared" si="190"/>
        <v>128662.752941176</v>
      </c>
    </row>
    <row r="1717" spans="1:37">
      <c r="A1717" t="s">
        <v>1781</v>
      </c>
      <c r="B1717">
        <v>53</v>
      </c>
      <c r="C1717" t="s">
        <v>44</v>
      </c>
      <c r="D1717" t="s">
        <v>45</v>
      </c>
      <c r="E1717">
        <v>386</v>
      </c>
      <c r="F1717">
        <v>97</v>
      </c>
      <c r="G1717">
        <v>4</v>
      </c>
      <c r="H1717">
        <v>897.34</v>
      </c>
      <c r="I1717">
        <v>3260.12</v>
      </c>
      <c r="J1717">
        <v>26</v>
      </c>
      <c r="K1717">
        <v>1</v>
      </c>
      <c r="L1717">
        <v>22.5</v>
      </c>
      <c r="M1717">
        <v>13.1</v>
      </c>
      <c r="N1717" t="s">
        <v>57</v>
      </c>
      <c r="O1717" t="s">
        <v>47</v>
      </c>
      <c r="P1717" t="s">
        <v>58</v>
      </c>
      <c r="R1717">
        <f>SUMIF(A1717:A6716,"C01716",I1717:I6716)</f>
        <v>3260.12</v>
      </c>
      <c r="S1717" s="1">
        <v>23594.94</v>
      </c>
      <c r="T1717">
        <f t="shared" si="191"/>
        <v>125.389230769231</v>
      </c>
      <c r="U1717">
        <f t="shared" si="194"/>
        <v>340.6</v>
      </c>
      <c r="V1717">
        <f>U1717</f>
        <v>340.6</v>
      </c>
      <c r="W1717">
        <f t="shared" si="189"/>
        <v>1386.15333333333</v>
      </c>
      <c r="X1717">
        <f t="shared" si="196"/>
        <v>0.430160251409722</v>
      </c>
      <c r="AH1717" t="str">
        <f t="shared" si="192"/>
        <v>3rd Quality</v>
      </c>
      <c r="AJ1717">
        <f t="shared" si="195"/>
        <v>8.79993454350854</v>
      </c>
      <c r="AK1717">
        <f t="shared" si="190"/>
        <v>48400.2430769231</v>
      </c>
    </row>
    <row r="1718" spans="1:37">
      <c r="A1718" t="s">
        <v>1782</v>
      </c>
      <c r="B1718">
        <v>40</v>
      </c>
      <c r="C1718" t="s">
        <v>44</v>
      </c>
      <c r="D1718" t="s">
        <v>60</v>
      </c>
      <c r="E1718">
        <v>1076</v>
      </c>
      <c r="F1718">
        <v>46</v>
      </c>
      <c r="G1718">
        <v>8</v>
      </c>
      <c r="H1718">
        <v>1526.21</v>
      </c>
      <c r="I1718">
        <v>11649.71</v>
      </c>
      <c r="J1718">
        <v>31</v>
      </c>
      <c r="K1718">
        <v>1</v>
      </c>
      <c r="L1718">
        <v>27.2</v>
      </c>
      <c r="M1718">
        <v>13.9</v>
      </c>
      <c r="N1718" t="s">
        <v>63</v>
      </c>
      <c r="O1718" t="s">
        <v>53</v>
      </c>
      <c r="P1718" t="s">
        <v>58</v>
      </c>
      <c r="R1718">
        <f>SUMIF(A1718:A6717,"C01717",I1718:I6717)</f>
        <v>11649.71</v>
      </c>
      <c r="S1718" s="1">
        <v>18538.59</v>
      </c>
      <c r="T1718">
        <f t="shared" si="191"/>
        <v>375.797096774194</v>
      </c>
      <c r="U1718">
        <f t="shared" si="194"/>
        <v>430.9</v>
      </c>
      <c r="V1718">
        <f>U1718</f>
        <v>430.9</v>
      </c>
      <c r="W1718">
        <f t="shared" si="189"/>
        <v>4392.30666666667</v>
      </c>
      <c r="X1718">
        <f t="shared" si="196"/>
        <v>0.705014382031306</v>
      </c>
      <c r="AH1718" t="str">
        <f t="shared" si="192"/>
        <v>3rd Quality</v>
      </c>
      <c r="AJ1718">
        <f t="shared" si="195"/>
        <v>26.4149353797298</v>
      </c>
      <c r="AK1718">
        <f t="shared" si="190"/>
        <v>404357.676129032</v>
      </c>
    </row>
    <row r="1719" spans="1:37">
      <c r="A1719" t="s">
        <v>1783</v>
      </c>
      <c r="B1719">
        <v>18</v>
      </c>
      <c r="C1719" t="s">
        <v>44</v>
      </c>
      <c r="D1719" t="s">
        <v>45</v>
      </c>
      <c r="E1719">
        <v>966</v>
      </c>
      <c r="F1719">
        <v>63</v>
      </c>
      <c r="G1719">
        <v>4</v>
      </c>
      <c r="H1719">
        <v>6516.54</v>
      </c>
      <c r="I1719">
        <v>23594.94</v>
      </c>
      <c r="J1719">
        <v>25</v>
      </c>
      <c r="K1719">
        <v>0</v>
      </c>
      <c r="L1719">
        <v>8</v>
      </c>
      <c r="M1719">
        <v>29</v>
      </c>
      <c r="N1719" t="s">
        <v>52</v>
      </c>
      <c r="O1719" t="s">
        <v>47</v>
      </c>
      <c r="P1719" t="s">
        <v>58</v>
      </c>
      <c r="R1719">
        <f>SUMIF(A1719:A6718,"C01718",I1719:I6718)</f>
        <v>23594.94</v>
      </c>
      <c r="S1719" s="1">
        <v>646.61</v>
      </c>
      <c r="T1719">
        <f t="shared" si="191"/>
        <v>943.7976</v>
      </c>
      <c r="U1719">
        <f t="shared" si="194"/>
        <v>725</v>
      </c>
      <c r="V1719">
        <f t="shared" si="193"/>
        <v>60.4166666666667</v>
      </c>
      <c r="W1719">
        <f t="shared" si="189"/>
        <v>10037.4933333333</v>
      </c>
      <c r="X1719">
        <f t="shared" si="196"/>
        <v>0.148238175473487</v>
      </c>
      <c r="AH1719" t="str">
        <f t="shared" si="192"/>
        <v>2nd Quality</v>
      </c>
      <c r="AJ1719">
        <f t="shared" si="195"/>
        <v>66.4541804101779</v>
      </c>
      <c r="AK1719">
        <f t="shared" si="190"/>
        <v>911708.4816</v>
      </c>
    </row>
    <row r="1720" spans="1:37">
      <c r="A1720" t="s">
        <v>1784</v>
      </c>
      <c r="B1720">
        <v>24</v>
      </c>
      <c r="C1720" t="s">
        <v>50</v>
      </c>
      <c r="D1720" t="s">
        <v>51</v>
      </c>
      <c r="E1720">
        <v>1217</v>
      </c>
      <c r="F1720">
        <v>49</v>
      </c>
      <c r="G1720">
        <v>2</v>
      </c>
      <c r="H1720">
        <v>8694.5</v>
      </c>
      <c r="I1720">
        <v>18538.59</v>
      </c>
      <c r="J1720">
        <v>22</v>
      </c>
      <c r="K1720">
        <v>0</v>
      </c>
      <c r="L1720">
        <v>22.3</v>
      </c>
      <c r="M1720">
        <v>61.7</v>
      </c>
      <c r="N1720" t="s">
        <v>63</v>
      </c>
      <c r="O1720" t="s">
        <v>75</v>
      </c>
      <c r="P1720" t="s">
        <v>68</v>
      </c>
      <c r="R1720">
        <f>SUMIF(A1720:A6719,"C01719",I1720:I6719)</f>
        <v>18538.59</v>
      </c>
      <c r="S1720" s="1">
        <v>107722.09</v>
      </c>
      <c r="T1720">
        <f t="shared" si="191"/>
        <v>842.663181818182</v>
      </c>
      <c r="U1720">
        <f t="shared" si="194"/>
        <v>1357.4</v>
      </c>
      <c r="V1720">
        <f t="shared" si="193"/>
        <v>113.116666666667</v>
      </c>
      <c r="W1720">
        <f t="shared" si="189"/>
        <v>9078.03</v>
      </c>
      <c r="X1720">
        <f t="shared" si="196"/>
        <v>0.139973546494911</v>
      </c>
      <c r="AH1720" t="str">
        <f t="shared" si="192"/>
        <v>2nd Quality</v>
      </c>
      <c r="AJ1720">
        <f t="shared" si="195"/>
        <v>59.332620300823</v>
      </c>
      <c r="AK1720">
        <f t="shared" si="190"/>
        <v>1025521.09227273</v>
      </c>
    </row>
    <row r="1721" spans="1:37">
      <c r="A1721" t="s">
        <v>1785</v>
      </c>
      <c r="B1721">
        <v>21</v>
      </c>
      <c r="C1721" t="s">
        <v>44</v>
      </c>
      <c r="D1721" t="s">
        <v>60</v>
      </c>
      <c r="E1721">
        <v>489</v>
      </c>
      <c r="F1721">
        <v>127</v>
      </c>
      <c r="G1721">
        <v>1</v>
      </c>
      <c r="H1721">
        <v>645.46</v>
      </c>
      <c r="I1721">
        <v>646.61</v>
      </c>
      <c r="J1721">
        <v>11</v>
      </c>
      <c r="K1721">
        <v>0</v>
      </c>
      <c r="L1721">
        <v>28.1</v>
      </c>
      <c r="M1721">
        <v>16.3</v>
      </c>
      <c r="N1721" t="s">
        <v>81</v>
      </c>
      <c r="O1721" t="s">
        <v>47</v>
      </c>
      <c r="P1721" t="s">
        <v>58</v>
      </c>
      <c r="R1721">
        <f>SUMIF(A1721:A6720,"C01720",I1721:I6720)</f>
        <v>646.61</v>
      </c>
      <c r="S1721" s="1">
        <v>8704.15</v>
      </c>
      <c r="T1721">
        <f t="shared" si="191"/>
        <v>58.7827272727273</v>
      </c>
      <c r="U1721">
        <f t="shared" si="194"/>
        <v>179.3</v>
      </c>
      <c r="V1721">
        <f t="shared" si="193"/>
        <v>14.9416666666667</v>
      </c>
      <c r="W1721">
        <f t="shared" si="189"/>
        <v>431.023333333333</v>
      </c>
      <c r="X1721">
        <f t="shared" si="196"/>
        <v>0.75759923155579</v>
      </c>
      <c r="AH1721" t="str">
        <f t="shared" si="192"/>
        <v>3rd Quality</v>
      </c>
      <c r="AJ1721">
        <f t="shared" si="195"/>
        <v>4.08627662261771</v>
      </c>
      <c r="AK1721">
        <f t="shared" si="190"/>
        <v>28744.7536363636</v>
      </c>
    </row>
    <row r="1722" spans="1:37">
      <c r="A1722" t="s">
        <v>1786</v>
      </c>
      <c r="B1722">
        <v>33</v>
      </c>
      <c r="C1722" t="s">
        <v>50</v>
      </c>
      <c r="D1722" t="s">
        <v>60</v>
      </c>
      <c r="E1722">
        <v>1329</v>
      </c>
      <c r="F1722">
        <v>9</v>
      </c>
      <c r="G1722">
        <v>22</v>
      </c>
      <c r="H1722">
        <v>4732.28</v>
      </c>
      <c r="I1722">
        <v>107722.09</v>
      </c>
      <c r="J1722">
        <v>116</v>
      </c>
      <c r="K1722">
        <v>0</v>
      </c>
      <c r="L1722">
        <v>5.3</v>
      </c>
      <c r="M1722">
        <v>42</v>
      </c>
      <c r="N1722" t="s">
        <v>52</v>
      </c>
      <c r="O1722" t="s">
        <v>47</v>
      </c>
      <c r="P1722" t="s">
        <v>66</v>
      </c>
      <c r="R1722">
        <f>SUMIF(A1722:A6721,"C01721",I1722:I6721)</f>
        <v>107722.09</v>
      </c>
      <c r="S1722" s="1">
        <v>3370.53</v>
      </c>
      <c r="T1722">
        <f t="shared" si="191"/>
        <v>928.638706896552</v>
      </c>
      <c r="U1722">
        <f t="shared" si="194"/>
        <v>4872</v>
      </c>
      <c r="V1722">
        <f t="shared" si="193"/>
        <v>406</v>
      </c>
      <c r="W1722">
        <f t="shared" si="189"/>
        <v>37485.1233333333</v>
      </c>
      <c r="X1722">
        <f t="shared" si="196"/>
        <v>0.280837144040505</v>
      </c>
      <c r="AH1722" t="str">
        <f t="shared" si="192"/>
        <v>1st Quality</v>
      </c>
      <c r="AJ1722">
        <f t="shared" si="195"/>
        <v>65.3773147713036</v>
      </c>
      <c r="AK1722">
        <f t="shared" si="190"/>
        <v>1234160.84146552</v>
      </c>
    </row>
    <row r="1723" spans="1:37">
      <c r="A1723" t="s">
        <v>1787</v>
      </c>
      <c r="B1723">
        <v>38</v>
      </c>
      <c r="C1723" t="s">
        <v>44</v>
      </c>
      <c r="D1723" t="s">
        <v>60</v>
      </c>
      <c r="E1723">
        <v>434</v>
      </c>
      <c r="F1723">
        <v>9</v>
      </c>
      <c r="G1723">
        <v>15</v>
      </c>
      <c r="H1723">
        <v>649.44</v>
      </c>
      <c r="I1723">
        <v>8704.15</v>
      </c>
      <c r="J1723">
        <v>86</v>
      </c>
      <c r="K1723">
        <v>2</v>
      </c>
      <c r="L1723">
        <v>23.7</v>
      </c>
      <c r="M1723">
        <v>42.5</v>
      </c>
      <c r="N1723" t="s">
        <v>78</v>
      </c>
      <c r="O1723" t="s">
        <v>53</v>
      </c>
      <c r="P1723" t="s">
        <v>58</v>
      </c>
      <c r="R1723">
        <f>SUMIF(A1723:A6722,"C01722",I1723:I6722)</f>
        <v>8704.15</v>
      </c>
      <c r="S1723" s="1">
        <v>5365.35</v>
      </c>
      <c r="T1723">
        <f t="shared" si="191"/>
        <v>101.211046511628</v>
      </c>
      <c r="U1723">
        <f t="shared" si="194"/>
        <v>3655</v>
      </c>
      <c r="V1723">
        <f>U1723</f>
        <v>3655</v>
      </c>
      <c r="W1723">
        <f t="shared" si="189"/>
        <v>3118.19666666667</v>
      </c>
      <c r="X1723">
        <f t="shared" si="196"/>
        <v>0.668268046316827</v>
      </c>
      <c r="AH1723" t="str">
        <f t="shared" si="192"/>
        <v>3rd Quality</v>
      </c>
      <c r="AJ1723">
        <f t="shared" si="195"/>
        <v>7.08047735671205</v>
      </c>
      <c r="AK1723">
        <f t="shared" si="190"/>
        <v>43925.5941860465</v>
      </c>
    </row>
    <row r="1724" spans="1:37">
      <c r="A1724" t="s">
        <v>1788</v>
      </c>
      <c r="B1724">
        <v>18</v>
      </c>
      <c r="C1724" t="s">
        <v>44</v>
      </c>
      <c r="D1724" t="s">
        <v>60</v>
      </c>
      <c r="E1724">
        <v>1394</v>
      </c>
      <c r="F1724">
        <v>103</v>
      </c>
      <c r="G1724">
        <v>4</v>
      </c>
      <c r="H1724">
        <v>902.22</v>
      </c>
      <c r="I1724">
        <v>3370.53</v>
      </c>
      <c r="J1724">
        <v>19</v>
      </c>
      <c r="K1724">
        <v>0</v>
      </c>
      <c r="L1724">
        <v>29.8</v>
      </c>
      <c r="M1724">
        <v>27</v>
      </c>
      <c r="N1724" t="s">
        <v>52</v>
      </c>
      <c r="O1724" t="s">
        <v>47</v>
      </c>
      <c r="P1724" t="s">
        <v>54</v>
      </c>
      <c r="R1724">
        <f>SUMIF(A1724:A6723,"C01723",I1724:I6723)</f>
        <v>3370.53</v>
      </c>
      <c r="S1724" s="1">
        <v>70508.92</v>
      </c>
      <c r="T1724">
        <f t="shared" si="191"/>
        <v>177.396315789474</v>
      </c>
      <c r="U1724">
        <f t="shared" si="194"/>
        <v>513</v>
      </c>
      <c r="V1724">
        <f t="shared" si="193"/>
        <v>42.75</v>
      </c>
      <c r="W1724">
        <f t="shared" si="189"/>
        <v>1424.58333333333</v>
      </c>
      <c r="X1724">
        <f t="shared" si="196"/>
        <v>1.54507769723571</v>
      </c>
      <c r="AH1724" t="str">
        <f t="shared" si="192"/>
        <v>3rd Quality</v>
      </c>
      <c r="AJ1724">
        <f t="shared" si="195"/>
        <v>12.3838900064957</v>
      </c>
      <c r="AK1724">
        <f t="shared" si="190"/>
        <v>247290.464210526</v>
      </c>
    </row>
    <row r="1725" spans="1:37">
      <c r="A1725" t="s">
        <v>1789</v>
      </c>
      <c r="B1725">
        <v>34</v>
      </c>
      <c r="C1725" t="s">
        <v>50</v>
      </c>
      <c r="D1725" t="s">
        <v>60</v>
      </c>
      <c r="E1725">
        <v>727</v>
      </c>
      <c r="F1725">
        <v>23</v>
      </c>
      <c r="G1725">
        <v>1</v>
      </c>
      <c r="H1725">
        <v>5335.52</v>
      </c>
      <c r="I1725">
        <v>5365.35</v>
      </c>
      <c r="J1725">
        <v>10</v>
      </c>
      <c r="K1725">
        <v>0</v>
      </c>
      <c r="L1725">
        <v>17.4</v>
      </c>
      <c r="M1725">
        <v>13.9</v>
      </c>
      <c r="N1725" t="s">
        <v>57</v>
      </c>
      <c r="O1725" t="s">
        <v>47</v>
      </c>
      <c r="P1725" t="s">
        <v>66</v>
      </c>
      <c r="R1725">
        <f>SUMIF(A1725:A6724,"C01724",I1725:I6724)</f>
        <v>5365.35</v>
      </c>
      <c r="S1725" s="1">
        <v>45466.26</v>
      </c>
      <c r="T1725">
        <f t="shared" si="191"/>
        <v>536.535</v>
      </c>
      <c r="U1725">
        <f t="shared" si="194"/>
        <v>139</v>
      </c>
      <c r="V1725">
        <f t="shared" si="193"/>
        <v>11.5833333333333</v>
      </c>
      <c r="W1725">
        <f t="shared" si="189"/>
        <v>3567.29</v>
      </c>
      <c r="X1725">
        <f t="shared" si="196"/>
        <v>0.13625663477974</v>
      </c>
      <c r="AH1725" t="str">
        <f t="shared" si="192"/>
        <v>3rd Quality</v>
      </c>
      <c r="AJ1725">
        <f t="shared" si="195"/>
        <v>37.7745593919169</v>
      </c>
      <c r="AK1725">
        <f t="shared" si="190"/>
        <v>390060.945</v>
      </c>
    </row>
    <row r="1726" spans="1:37">
      <c r="A1726" t="s">
        <v>1790</v>
      </c>
      <c r="B1726">
        <v>46</v>
      </c>
      <c r="C1726" t="s">
        <v>50</v>
      </c>
      <c r="D1726" t="s">
        <v>51</v>
      </c>
      <c r="E1726">
        <v>449</v>
      </c>
      <c r="F1726">
        <v>8</v>
      </c>
      <c r="G1726">
        <v>7</v>
      </c>
      <c r="H1726">
        <v>11195.84</v>
      </c>
      <c r="I1726">
        <v>70508.92</v>
      </c>
      <c r="J1726">
        <v>41</v>
      </c>
      <c r="K1726">
        <v>1</v>
      </c>
      <c r="L1726">
        <v>17.1</v>
      </c>
      <c r="M1726">
        <v>41.2</v>
      </c>
      <c r="N1726" t="s">
        <v>63</v>
      </c>
      <c r="O1726" t="s">
        <v>47</v>
      </c>
      <c r="P1726" t="s">
        <v>68</v>
      </c>
      <c r="R1726">
        <f>SUMIF(A1726:A6725,"C01725",I1726:I6725)</f>
        <v>70508.92</v>
      </c>
      <c r="S1726" s="1">
        <v>5992</v>
      </c>
      <c r="T1726">
        <f t="shared" si="191"/>
        <v>1719.72975609756</v>
      </c>
      <c r="U1726">
        <f t="shared" si="194"/>
        <v>1689.2</v>
      </c>
      <c r="V1726">
        <f>U1726</f>
        <v>1689.2</v>
      </c>
      <c r="W1726">
        <f t="shared" si="189"/>
        <v>27235.2533333333</v>
      </c>
      <c r="X1726">
        <f t="shared" si="196"/>
        <v>0.0401041815531483</v>
      </c>
      <c r="AH1726" t="str">
        <f t="shared" si="192"/>
        <v>3rd Quality</v>
      </c>
      <c r="AJ1726">
        <f>((T1726-X1726)*2)/17.1</f>
        <v>201.133292621755</v>
      </c>
      <c r="AK1726">
        <f t="shared" si="190"/>
        <v>772158.660487805</v>
      </c>
    </row>
    <row r="1727" spans="1:37">
      <c r="A1727" t="s">
        <v>1791</v>
      </c>
      <c r="B1727">
        <v>34</v>
      </c>
      <c r="C1727" t="s">
        <v>50</v>
      </c>
      <c r="D1727" t="s">
        <v>60</v>
      </c>
      <c r="E1727">
        <v>666</v>
      </c>
      <c r="F1727">
        <v>29</v>
      </c>
      <c r="G1727">
        <v>18</v>
      </c>
      <c r="H1727">
        <v>2749.91</v>
      </c>
      <c r="I1727">
        <v>45466.26</v>
      </c>
      <c r="J1727">
        <v>61</v>
      </c>
      <c r="K1727">
        <v>1</v>
      </c>
      <c r="L1727">
        <v>3.9</v>
      </c>
      <c r="M1727">
        <v>28.6</v>
      </c>
      <c r="N1727" t="s">
        <v>52</v>
      </c>
      <c r="O1727" t="s">
        <v>47</v>
      </c>
      <c r="P1727" t="s">
        <v>58</v>
      </c>
      <c r="R1727">
        <f>SUMIF(A1727:A6726,"C01726",I1727:I6726)</f>
        <v>45466.26</v>
      </c>
      <c r="S1727" s="1">
        <v>2672.08</v>
      </c>
      <c r="T1727">
        <f t="shared" si="191"/>
        <v>745.348524590164</v>
      </c>
      <c r="U1727">
        <f t="shared" si="194"/>
        <v>1744.6</v>
      </c>
      <c r="V1727">
        <f>U1727</f>
        <v>1744.6</v>
      </c>
      <c r="W1727">
        <f t="shared" si="189"/>
        <v>16072.39</v>
      </c>
      <c r="X1727">
        <f t="shared" si="196"/>
        <v>0.242189744391635</v>
      </c>
      <c r="AH1727" t="str">
        <f t="shared" si="192"/>
        <v>2nd Quality</v>
      </c>
      <c r="AJ1727">
        <f>((T1727-X1727)*2)/3.9</f>
        <v>382.105812741422</v>
      </c>
      <c r="AK1727">
        <f t="shared" si="190"/>
        <v>496402.117377049</v>
      </c>
    </row>
    <row r="1728" spans="1:37">
      <c r="A1728" t="s">
        <v>1792</v>
      </c>
      <c r="B1728">
        <v>27</v>
      </c>
      <c r="C1728" t="s">
        <v>44</v>
      </c>
      <c r="D1728" t="s">
        <v>51</v>
      </c>
      <c r="E1728">
        <v>910</v>
      </c>
      <c r="F1728">
        <v>36</v>
      </c>
      <c r="G1728">
        <v>10</v>
      </c>
      <c r="H1728">
        <v>676.87</v>
      </c>
      <c r="I1728">
        <v>5992</v>
      </c>
      <c r="J1728">
        <v>65</v>
      </c>
      <c r="K1728">
        <v>0</v>
      </c>
      <c r="L1728">
        <v>20.7</v>
      </c>
      <c r="M1728">
        <v>6.8</v>
      </c>
      <c r="N1728" t="s">
        <v>57</v>
      </c>
      <c r="O1728" t="s">
        <v>53</v>
      </c>
      <c r="P1728" t="s">
        <v>58</v>
      </c>
      <c r="R1728">
        <f>SUMIF(A1728:A6727,"C01727",I1728:I6727)</f>
        <v>5992</v>
      </c>
      <c r="S1728" s="1">
        <v>24191.87</v>
      </c>
      <c r="T1728">
        <f t="shared" si="191"/>
        <v>92.1846153846154</v>
      </c>
      <c r="U1728">
        <f t="shared" si="194"/>
        <v>442</v>
      </c>
      <c r="V1728">
        <f t="shared" si="193"/>
        <v>36.8333333333333</v>
      </c>
      <c r="W1728">
        <f t="shared" si="189"/>
        <v>2223.29</v>
      </c>
      <c r="X1728">
        <f t="shared" si="196"/>
        <v>1.34442359685021</v>
      </c>
      <c r="AH1728" t="str">
        <f t="shared" si="192"/>
        <v>3rd Quality</v>
      </c>
      <c r="AJ1728">
        <f>((T1728-X1728)*2)/20.7</f>
        <v>8.77683012442176</v>
      </c>
      <c r="AK1728">
        <f t="shared" si="190"/>
        <v>83888</v>
      </c>
    </row>
    <row r="1729" spans="1:37">
      <c r="A1729" t="s">
        <v>1793</v>
      </c>
      <c r="B1729">
        <v>45</v>
      </c>
      <c r="C1729" t="s">
        <v>50</v>
      </c>
      <c r="D1729" t="s">
        <v>45</v>
      </c>
      <c r="E1729">
        <v>491</v>
      </c>
      <c r="F1729">
        <v>337</v>
      </c>
      <c r="G1729">
        <v>1</v>
      </c>
      <c r="H1729">
        <v>2431.91</v>
      </c>
      <c r="I1729">
        <v>2672.08</v>
      </c>
      <c r="J1729">
        <v>16</v>
      </c>
      <c r="K1729">
        <v>0</v>
      </c>
      <c r="L1729">
        <v>12.1</v>
      </c>
      <c r="M1729">
        <v>50</v>
      </c>
      <c r="N1729" t="s">
        <v>78</v>
      </c>
      <c r="O1729" t="s">
        <v>53</v>
      </c>
      <c r="P1729" t="s">
        <v>68</v>
      </c>
      <c r="R1729">
        <f>SUMIF(A1729:A6728,"C01728",I1729:I6728)</f>
        <v>2672.08</v>
      </c>
      <c r="S1729" s="1">
        <v>11883.16</v>
      </c>
      <c r="T1729">
        <f t="shared" si="191"/>
        <v>167.005</v>
      </c>
      <c r="U1729">
        <f t="shared" si="194"/>
        <v>800</v>
      </c>
      <c r="V1729">
        <f t="shared" si="193"/>
        <v>66.6666666666667</v>
      </c>
      <c r="W1729">
        <f t="shared" si="189"/>
        <v>1701.66333333333</v>
      </c>
      <c r="X1729">
        <f t="shared" si="196"/>
        <v>0.201898918956705</v>
      </c>
      <c r="AH1729" t="str">
        <f t="shared" si="192"/>
        <v>3rd Quality</v>
      </c>
      <c r="AJ1729">
        <f>((T1729-X1729)*2)/12.1</f>
        <v>27.5707605092634</v>
      </c>
      <c r="AK1729">
        <f t="shared" si="190"/>
        <v>81999.455</v>
      </c>
    </row>
    <row r="1730" spans="1:37">
      <c r="A1730" t="s">
        <v>1794</v>
      </c>
      <c r="B1730">
        <v>47</v>
      </c>
      <c r="C1730" t="s">
        <v>50</v>
      </c>
      <c r="D1730" t="s">
        <v>60</v>
      </c>
      <c r="E1730">
        <v>696</v>
      </c>
      <c r="F1730">
        <v>8</v>
      </c>
      <c r="G1730">
        <v>20</v>
      </c>
      <c r="H1730">
        <v>1229.89</v>
      </c>
      <c r="I1730">
        <v>24191.87</v>
      </c>
      <c r="J1730">
        <v>147</v>
      </c>
      <c r="K1730">
        <v>3</v>
      </c>
      <c r="L1730">
        <v>2.9</v>
      </c>
      <c r="M1730">
        <v>33.5</v>
      </c>
      <c r="N1730" t="s">
        <v>61</v>
      </c>
      <c r="O1730" t="s">
        <v>53</v>
      </c>
      <c r="P1730" t="s">
        <v>66</v>
      </c>
      <c r="R1730">
        <f>SUMIF(A1730:A6729,"C01729",I1730:I6729)</f>
        <v>24191.87</v>
      </c>
      <c r="S1730" s="1">
        <v>2189.68</v>
      </c>
      <c r="T1730">
        <f t="shared" si="191"/>
        <v>164.570544217687</v>
      </c>
      <c r="U1730">
        <f t="shared" si="194"/>
        <v>4924.5</v>
      </c>
      <c r="V1730">
        <f>U1730</f>
        <v>4924.5</v>
      </c>
      <c r="W1730">
        <f t="shared" si="189"/>
        <v>8474.25333333333</v>
      </c>
      <c r="X1730">
        <f t="shared" si="196"/>
        <v>0.565904267861353</v>
      </c>
      <c r="AH1730" t="str">
        <f t="shared" si="192"/>
        <v>3rd Quality</v>
      </c>
      <c r="AJ1730">
        <f>((T1730-X1730)*2)/2.9</f>
        <v>113.106648241259</v>
      </c>
      <c r="AK1730">
        <f t="shared" si="190"/>
        <v>114541.09877551</v>
      </c>
    </row>
    <row r="1731" spans="1:37">
      <c r="A1731" t="s">
        <v>1795</v>
      </c>
      <c r="B1731">
        <v>34</v>
      </c>
      <c r="C1731" t="s">
        <v>44</v>
      </c>
      <c r="D1731" t="s">
        <v>51</v>
      </c>
      <c r="E1731">
        <v>695</v>
      </c>
      <c r="F1731">
        <v>14</v>
      </c>
      <c r="G1731">
        <v>10</v>
      </c>
      <c r="H1731">
        <v>1333.98</v>
      </c>
      <c r="I1731">
        <v>11883.16</v>
      </c>
      <c r="J1731">
        <v>25</v>
      </c>
      <c r="K1731">
        <v>0</v>
      </c>
      <c r="L1731">
        <v>0</v>
      </c>
      <c r="M1731">
        <v>33.8</v>
      </c>
      <c r="N1731" t="s">
        <v>61</v>
      </c>
      <c r="O1731" t="s">
        <v>47</v>
      </c>
      <c r="P1731" t="s">
        <v>66</v>
      </c>
      <c r="R1731">
        <f>SUMIF(A1731:A6730,"C01730",I1731:I6730)</f>
        <v>11883.16</v>
      </c>
      <c r="S1731" s="1">
        <v>194756.94</v>
      </c>
      <c r="T1731">
        <f t="shared" si="191"/>
        <v>475.3264</v>
      </c>
      <c r="U1731">
        <f t="shared" si="194"/>
        <v>845</v>
      </c>
      <c r="V1731">
        <f t="shared" si="193"/>
        <v>70.4166666666667</v>
      </c>
      <c r="W1731">
        <f t="shared" ref="W1731:W1794" si="197">(H1731+I1731+1)/3</f>
        <v>4406.04666666667</v>
      </c>
      <c r="X1731">
        <f t="shared" si="196"/>
        <v>0.520997316301594</v>
      </c>
      <c r="AH1731" t="str">
        <f t="shared" si="192"/>
        <v>3rd Quality</v>
      </c>
      <c r="AJ1731">
        <f>((T1731-X1731)*2)</f>
        <v>949.610805367397</v>
      </c>
      <c r="AK1731">
        <f t="shared" ref="AK1731:AK1794" si="198">I1731/J1731*E1731</f>
        <v>330351.848</v>
      </c>
    </row>
    <row r="1732" spans="1:37">
      <c r="A1732" t="s">
        <v>1796</v>
      </c>
      <c r="B1732">
        <v>30</v>
      </c>
      <c r="C1732" t="s">
        <v>50</v>
      </c>
      <c r="D1732" t="s">
        <v>45</v>
      </c>
      <c r="E1732">
        <v>548</v>
      </c>
      <c r="F1732">
        <v>355</v>
      </c>
      <c r="G1732">
        <v>1</v>
      </c>
      <c r="H1732">
        <v>2210.64</v>
      </c>
      <c r="I1732">
        <v>2189.68</v>
      </c>
      <c r="J1732">
        <v>17</v>
      </c>
      <c r="K1732">
        <v>0</v>
      </c>
      <c r="L1732">
        <v>28.8</v>
      </c>
      <c r="M1732">
        <v>44.3</v>
      </c>
      <c r="N1732" t="s">
        <v>61</v>
      </c>
      <c r="O1732" t="s">
        <v>75</v>
      </c>
      <c r="P1732" t="s">
        <v>48</v>
      </c>
      <c r="R1732">
        <f>SUMIF(A1732:A6731,"C01731",I1732:I6731)</f>
        <v>2189.68</v>
      </c>
      <c r="S1732" s="1">
        <v>1706.75</v>
      </c>
      <c r="T1732">
        <f t="shared" si="191"/>
        <v>128.804705882353</v>
      </c>
      <c r="U1732">
        <f t="shared" si="194"/>
        <v>753.1</v>
      </c>
      <c r="V1732">
        <f t="shared" si="193"/>
        <v>62.7583333333333</v>
      </c>
      <c r="W1732">
        <f t="shared" si="197"/>
        <v>1467.10666666667</v>
      </c>
      <c r="X1732">
        <f t="shared" si="196"/>
        <v>0.247892013172656</v>
      </c>
      <c r="AH1732" t="str">
        <f t="shared" si="192"/>
        <v>3rd Quality</v>
      </c>
      <c r="AJ1732">
        <f>((T1732-X1732)*2)/28.8</f>
        <v>8.92755651869308</v>
      </c>
      <c r="AK1732">
        <f t="shared" si="198"/>
        <v>70584.9788235294</v>
      </c>
    </row>
    <row r="1733" spans="1:37">
      <c r="A1733" t="s">
        <v>1797</v>
      </c>
      <c r="B1733">
        <v>36</v>
      </c>
      <c r="C1733" t="s">
        <v>44</v>
      </c>
      <c r="D1733" t="s">
        <v>45</v>
      </c>
      <c r="E1733">
        <v>898</v>
      </c>
      <c r="F1733">
        <v>31</v>
      </c>
      <c r="G1733">
        <v>33</v>
      </c>
      <c r="H1733">
        <v>5399.51</v>
      </c>
      <c r="I1733">
        <v>194756.94</v>
      </c>
      <c r="J1733">
        <v>238</v>
      </c>
      <c r="K1733">
        <v>1</v>
      </c>
      <c r="L1733">
        <v>4.3</v>
      </c>
      <c r="M1733">
        <v>56</v>
      </c>
      <c r="N1733" t="s">
        <v>63</v>
      </c>
      <c r="O1733" t="s">
        <v>47</v>
      </c>
      <c r="P1733" t="s">
        <v>66</v>
      </c>
      <c r="R1733">
        <f>SUMIF(A1733:A6732,"C01732",I1733:I6732)</f>
        <v>194756.94</v>
      </c>
      <c r="S1733" s="1">
        <v>9358.3</v>
      </c>
      <c r="T1733">
        <f t="shared" si="191"/>
        <v>818.306470588235</v>
      </c>
      <c r="U1733">
        <f t="shared" si="194"/>
        <v>13328</v>
      </c>
      <c r="V1733">
        <f>U1733</f>
        <v>13328</v>
      </c>
      <c r="W1733">
        <f t="shared" si="197"/>
        <v>66719.15</v>
      </c>
      <c r="X1733">
        <f t="shared" si="196"/>
        <v>0.166311387514793</v>
      </c>
      <c r="AH1733" t="str">
        <f t="shared" si="192"/>
        <v>2nd Quality</v>
      </c>
      <c r="AJ1733">
        <f>((T1733-X1733)*2)/4.3</f>
        <v>380.530306604986</v>
      </c>
      <c r="AK1733">
        <f t="shared" si="198"/>
        <v>734839.210588235</v>
      </c>
    </row>
    <row r="1734" spans="1:37">
      <c r="A1734" t="s">
        <v>1798</v>
      </c>
      <c r="B1734">
        <v>50</v>
      </c>
      <c r="C1734" t="s">
        <v>44</v>
      </c>
      <c r="D1734" t="s">
        <v>60</v>
      </c>
      <c r="E1734">
        <v>396</v>
      </c>
      <c r="F1734">
        <v>197</v>
      </c>
      <c r="G1734">
        <v>4</v>
      </c>
      <c r="H1734">
        <v>460.99</v>
      </c>
      <c r="I1734">
        <v>1706.75</v>
      </c>
      <c r="J1734">
        <v>31</v>
      </c>
      <c r="K1734">
        <v>0</v>
      </c>
      <c r="L1734">
        <v>25.9</v>
      </c>
      <c r="M1734">
        <v>52.2</v>
      </c>
      <c r="N1734" t="s">
        <v>63</v>
      </c>
      <c r="O1734" t="s">
        <v>47</v>
      </c>
      <c r="P1734" t="s">
        <v>68</v>
      </c>
      <c r="R1734">
        <f>SUMIF(A1734:A6733,"C01733",I1734:I6733)</f>
        <v>1706.75</v>
      </c>
      <c r="S1734" s="1">
        <v>8589.5</v>
      </c>
      <c r="T1734">
        <f t="shared" si="191"/>
        <v>55.0564516129032</v>
      </c>
      <c r="U1734">
        <f t="shared" si="194"/>
        <v>1618.2</v>
      </c>
      <c r="V1734">
        <f t="shared" si="193"/>
        <v>134.85</v>
      </c>
      <c r="W1734">
        <f t="shared" si="197"/>
        <v>722.913333333333</v>
      </c>
      <c r="X1734">
        <f t="shared" si="196"/>
        <v>0.859020803054296</v>
      </c>
      <c r="AH1734" t="str">
        <f t="shared" si="192"/>
        <v>3rd Quality</v>
      </c>
      <c r="AJ1734">
        <f>((T1734-X1734)*2)/25.9</f>
        <v>4.18512979226633</v>
      </c>
      <c r="AK1734">
        <f t="shared" si="198"/>
        <v>21802.3548387097</v>
      </c>
    </row>
    <row r="1735" spans="1:37">
      <c r="A1735" t="s">
        <v>1799</v>
      </c>
      <c r="B1735">
        <v>24</v>
      </c>
      <c r="C1735" t="s">
        <v>44</v>
      </c>
      <c r="D1735" t="s">
        <v>60</v>
      </c>
      <c r="E1735">
        <v>643</v>
      </c>
      <c r="F1735">
        <v>50</v>
      </c>
      <c r="G1735">
        <v>9</v>
      </c>
      <c r="H1735">
        <v>1109.62</v>
      </c>
      <c r="I1735">
        <v>9358.3</v>
      </c>
      <c r="J1735">
        <v>75</v>
      </c>
      <c r="K1735">
        <v>1</v>
      </c>
      <c r="L1735">
        <v>41.4</v>
      </c>
      <c r="M1735">
        <v>54.9</v>
      </c>
      <c r="N1735" t="s">
        <v>52</v>
      </c>
      <c r="O1735" t="s">
        <v>47</v>
      </c>
      <c r="P1735" t="s">
        <v>58</v>
      </c>
      <c r="R1735">
        <f>SUMIF(A1735:A6734,"C01734",I1735:I6734)</f>
        <v>9358.3</v>
      </c>
      <c r="S1735" s="1">
        <v>7141.44</v>
      </c>
      <c r="T1735">
        <f t="shared" si="191"/>
        <v>124.777333333333</v>
      </c>
      <c r="U1735">
        <f t="shared" si="194"/>
        <v>4117.5</v>
      </c>
      <c r="V1735">
        <f>U1735</f>
        <v>4117.5</v>
      </c>
      <c r="W1735">
        <f t="shared" si="197"/>
        <v>3489.64</v>
      </c>
      <c r="X1735">
        <f t="shared" si="196"/>
        <v>0.579477659018403</v>
      </c>
      <c r="AH1735" t="str">
        <f t="shared" si="192"/>
        <v>3rd Quality</v>
      </c>
      <c r="AJ1735">
        <f>((T1735-X1735)*2)/41.4</f>
        <v>5.99989640938718</v>
      </c>
      <c r="AK1735">
        <f t="shared" si="198"/>
        <v>80231.8253333333</v>
      </c>
    </row>
    <row r="1736" spans="1:37">
      <c r="A1736" t="s">
        <v>1800</v>
      </c>
      <c r="B1736">
        <v>38</v>
      </c>
      <c r="C1736" t="s">
        <v>50</v>
      </c>
      <c r="D1736" t="s">
        <v>45</v>
      </c>
      <c r="E1736">
        <v>526</v>
      </c>
      <c r="F1736">
        <v>169</v>
      </c>
      <c r="G1736">
        <v>3</v>
      </c>
      <c r="H1736">
        <v>2566.17</v>
      </c>
      <c r="I1736">
        <v>8589.5</v>
      </c>
      <c r="J1736">
        <v>26</v>
      </c>
      <c r="K1736">
        <v>0</v>
      </c>
      <c r="L1736">
        <v>12.5</v>
      </c>
      <c r="M1736">
        <v>54</v>
      </c>
      <c r="N1736" t="s">
        <v>46</v>
      </c>
      <c r="O1736" t="s">
        <v>47</v>
      </c>
      <c r="P1736" t="s">
        <v>58</v>
      </c>
      <c r="R1736">
        <f>SUMIF(A1736:A6735,"C01735",I1736:I6735)</f>
        <v>8589.5</v>
      </c>
      <c r="S1736" s="1">
        <v>2797.96</v>
      </c>
      <c r="T1736">
        <f t="shared" si="191"/>
        <v>330.365384615385</v>
      </c>
      <c r="U1736">
        <f t="shared" si="194"/>
        <v>1404</v>
      </c>
      <c r="V1736">
        <f t="shared" si="193"/>
        <v>117</v>
      </c>
      <c r="W1736">
        <f t="shared" si="197"/>
        <v>3718.89</v>
      </c>
      <c r="X1736">
        <f t="shared" si="196"/>
        <v>0.204974728876107</v>
      </c>
      <c r="AH1736" t="str">
        <f t="shared" si="192"/>
        <v>3rd Quality</v>
      </c>
      <c r="AJ1736">
        <f>((T1736-X1736)*2)/12.5</f>
        <v>52.8256655818414</v>
      </c>
      <c r="AK1736">
        <f t="shared" si="198"/>
        <v>173772.192307692</v>
      </c>
    </row>
    <row r="1737" spans="1:37">
      <c r="A1737" t="s">
        <v>1801</v>
      </c>
      <c r="B1737">
        <v>50</v>
      </c>
      <c r="C1737" t="s">
        <v>44</v>
      </c>
      <c r="D1737" t="s">
        <v>51</v>
      </c>
      <c r="E1737">
        <v>405</v>
      </c>
      <c r="F1737">
        <v>113</v>
      </c>
      <c r="G1737">
        <v>5</v>
      </c>
      <c r="H1737">
        <v>1316.47</v>
      </c>
      <c r="I1737">
        <v>7141.44</v>
      </c>
      <c r="J1737">
        <v>16</v>
      </c>
      <c r="K1737">
        <v>0</v>
      </c>
      <c r="L1737">
        <v>27.7</v>
      </c>
      <c r="M1737">
        <v>20.2</v>
      </c>
      <c r="N1737" t="s">
        <v>78</v>
      </c>
      <c r="O1737" t="s">
        <v>47</v>
      </c>
      <c r="P1737" t="s">
        <v>48</v>
      </c>
      <c r="R1737">
        <f>SUMIF(A1737:A6736,"C01736",I1737:I6736)</f>
        <v>7141.44</v>
      </c>
      <c r="S1737" s="1">
        <v>180133.53</v>
      </c>
      <c r="T1737">
        <f t="shared" si="191"/>
        <v>446.34</v>
      </c>
      <c r="U1737">
        <f t="shared" si="194"/>
        <v>323.2</v>
      </c>
      <c r="V1737">
        <f t="shared" si="193"/>
        <v>26.9333333333333</v>
      </c>
      <c r="W1737">
        <f t="shared" si="197"/>
        <v>2819.63666666667</v>
      </c>
      <c r="X1737">
        <f t="shared" si="196"/>
        <v>0.307640888132658</v>
      </c>
      <c r="AH1737" t="str">
        <f t="shared" si="192"/>
        <v>3rd Quality</v>
      </c>
      <c r="AJ1737">
        <f>((T1737-X1737)*2)/27.7</f>
        <v>32.2045024629507</v>
      </c>
      <c r="AK1737">
        <f t="shared" si="198"/>
        <v>180767.7</v>
      </c>
    </row>
    <row r="1738" spans="1:37">
      <c r="A1738" t="s">
        <v>1802</v>
      </c>
      <c r="B1738">
        <v>45</v>
      </c>
      <c r="C1738" t="s">
        <v>50</v>
      </c>
      <c r="D1738" t="s">
        <v>60</v>
      </c>
      <c r="E1738">
        <v>895</v>
      </c>
      <c r="F1738">
        <v>347</v>
      </c>
      <c r="G1738">
        <v>1</v>
      </c>
      <c r="H1738">
        <v>2765.75</v>
      </c>
      <c r="I1738">
        <v>2797.96</v>
      </c>
      <c r="J1738">
        <v>11</v>
      </c>
      <c r="K1738">
        <v>0</v>
      </c>
      <c r="L1738">
        <v>18.9</v>
      </c>
      <c r="M1738">
        <v>71.8</v>
      </c>
      <c r="N1738" t="s">
        <v>78</v>
      </c>
      <c r="O1738" t="s">
        <v>47</v>
      </c>
      <c r="P1738" t="s">
        <v>66</v>
      </c>
      <c r="R1738">
        <f>SUMIF(A1738:A6737,"C01737",I1738:I6737)</f>
        <v>2797.96</v>
      </c>
      <c r="S1738" s="1">
        <v>29212.47</v>
      </c>
      <c r="T1738">
        <f t="shared" si="191"/>
        <v>254.36</v>
      </c>
      <c r="U1738">
        <f t="shared" si="194"/>
        <v>789.8</v>
      </c>
      <c r="V1738">
        <f t="shared" si="193"/>
        <v>65.8166666666667</v>
      </c>
      <c r="W1738">
        <f t="shared" si="197"/>
        <v>1854.90333333333</v>
      </c>
      <c r="X1738">
        <f t="shared" si="196"/>
        <v>0.323601193166411</v>
      </c>
      <c r="AH1738" t="str">
        <f t="shared" si="192"/>
        <v>3rd Quality</v>
      </c>
      <c r="AJ1738">
        <f>((T1738-X1738)*2)/18.9</f>
        <v>26.8821586038977</v>
      </c>
      <c r="AK1738">
        <f t="shared" si="198"/>
        <v>227652.2</v>
      </c>
    </row>
    <row r="1739" spans="1:37">
      <c r="A1739" t="s">
        <v>1803</v>
      </c>
      <c r="B1739">
        <v>18</v>
      </c>
      <c r="C1739" t="s">
        <v>44</v>
      </c>
      <c r="D1739" t="s">
        <v>45</v>
      </c>
      <c r="E1739">
        <v>1343</v>
      </c>
      <c r="F1739">
        <v>7</v>
      </c>
      <c r="G1739">
        <v>23</v>
      </c>
      <c r="H1739">
        <v>8470.18</v>
      </c>
      <c r="I1739">
        <v>180133.53</v>
      </c>
      <c r="J1739">
        <v>100</v>
      </c>
      <c r="K1739">
        <v>1</v>
      </c>
      <c r="L1739">
        <v>11.4</v>
      </c>
      <c r="M1739">
        <v>24.3</v>
      </c>
      <c r="N1739" t="s">
        <v>81</v>
      </c>
      <c r="O1739" t="s">
        <v>53</v>
      </c>
      <c r="P1739" t="s">
        <v>58</v>
      </c>
      <c r="R1739">
        <f>SUMIF(A1739:A6738,"C01738",I1739:I6738)</f>
        <v>180133.53</v>
      </c>
      <c r="S1739" s="1">
        <v>4256.63</v>
      </c>
      <c r="T1739">
        <f t="shared" si="191"/>
        <v>1801.3353</v>
      </c>
      <c r="U1739">
        <f t="shared" si="194"/>
        <v>2430</v>
      </c>
      <c r="V1739">
        <f>U1739</f>
        <v>2430</v>
      </c>
      <c r="W1739">
        <f t="shared" si="197"/>
        <v>62868.2366666667</v>
      </c>
      <c r="X1739">
        <f t="shared" si="196"/>
        <v>0.15855625264162</v>
      </c>
      <c r="AH1739" t="str">
        <f t="shared" si="192"/>
        <v>1st Quality</v>
      </c>
      <c r="AJ1739">
        <f>((T1739-X1739)*2)/11.4</f>
        <v>315.995919955677</v>
      </c>
      <c r="AK1739">
        <f t="shared" si="198"/>
        <v>2419193.3079</v>
      </c>
    </row>
    <row r="1740" spans="1:37">
      <c r="A1740" t="s">
        <v>1804</v>
      </c>
      <c r="B1740">
        <v>35</v>
      </c>
      <c r="C1740" t="s">
        <v>50</v>
      </c>
      <c r="D1740" t="s">
        <v>45</v>
      </c>
      <c r="E1740">
        <v>751</v>
      </c>
      <c r="F1740">
        <v>49</v>
      </c>
      <c r="G1740">
        <v>4</v>
      </c>
      <c r="H1740">
        <v>7830.2</v>
      </c>
      <c r="I1740">
        <v>29212.47</v>
      </c>
      <c r="J1740">
        <v>12</v>
      </c>
      <c r="K1740">
        <v>1</v>
      </c>
      <c r="L1740">
        <v>1.7</v>
      </c>
      <c r="M1740">
        <v>27</v>
      </c>
      <c r="N1740" t="s">
        <v>57</v>
      </c>
      <c r="O1740" t="s">
        <v>47</v>
      </c>
      <c r="P1740" t="s">
        <v>58</v>
      </c>
      <c r="R1740">
        <f>SUMIF(A1740:A6739,"C01739",I1740:I6739)</f>
        <v>29212.47</v>
      </c>
      <c r="S1740" s="1">
        <v>7401.65</v>
      </c>
      <c r="T1740">
        <f t="shared" si="191"/>
        <v>2434.3725</v>
      </c>
      <c r="U1740">
        <f t="shared" si="194"/>
        <v>324</v>
      </c>
      <c r="V1740">
        <f>U1740</f>
        <v>324</v>
      </c>
      <c r="W1740">
        <f t="shared" si="197"/>
        <v>12347.89</v>
      </c>
      <c r="X1740">
        <f t="shared" si="196"/>
        <v>0.0959107047074149</v>
      </c>
      <c r="AH1740" t="str">
        <f t="shared" si="192"/>
        <v>2nd Quality</v>
      </c>
      <c r="AJ1740">
        <f>((T1740-X1740)*2)/1.7</f>
        <v>2863.85481093564</v>
      </c>
      <c r="AK1740">
        <f t="shared" si="198"/>
        <v>1828213.7475</v>
      </c>
    </row>
    <row r="1741" spans="1:37">
      <c r="A1741" t="s">
        <v>1805</v>
      </c>
      <c r="B1741">
        <v>42</v>
      </c>
      <c r="C1741" t="s">
        <v>50</v>
      </c>
      <c r="D1741" t="s">
        <v>45</v>
      </c>
      <c r="E1741">
        <v>1080</v>
      </c>
      <c r="F1741">
        <v>80</v>
      </c>
      <c r="G1741">
        <v>4</v>
      </c>
      <c r="H1741">
        <v>979.21</v>
      </c>
      <c r="I1741">
        <v>4256.63</v>
      </c>
      <c r="J1741">
        <v>32</v>
      </c>
      <c r="K1741">
        <v>1</v>
      </c>
      <c r="L1741">
        <v>36.9</v>
      </c>
      <c r="M1741">
        <v>47.7</v>
      </c>
      <c r="N1741" t="s">
        <v>61</v>
      </c>
      <c r="O1741" t="s">
        <v>47</v>
      </c>
      <c r="P1741" t="s">
        <v>48</v>
      </c>
      <c r="R1741">
        <f>SUMIF(A1741:A6740,"C01740",I1741:I6740)</f>
        <v>4256.63</v>
      </c>
      <c r="S1741" s="1">
        <v>9832.8</v>
      </c>
      <c r="T1741">
        <f t="shared" si="191"/>
        <v>133.0196875</v>
      </c>
      <c r="U1741">
        <f t="shared" si="194"/>
        <v>1526.4</v>
      </c>
      <c r="V1741">
        <f>U1741</f>
        <v>1526.4</v>
      </c>
      <c r="W1741">
        <f t="shared" si="197"/>
        <v>1745.61333333333</v>
      </c>
      <c r="X1741">
        <f t="shared" si="196"/>
        <v>1.10292991288896</v>
      </c>
      <c r="AH1741" t="str">
        <f t="shared" si="192"/>
        <v>3rd Quality</v>
      </c>
      <c r="AJ1741">
        <f>((T1741-X1741)*2)/36.9</f>
        <v>7.14995976081903</v>
      </c>
      <c r="AK1741">
        <f t="shared" si="198"/>
        <v>143661.2625</v>
      </c>
    </row>
    <row r="1742" spans="1:37">
      <c r="A1742" t="s">
        <v>1806</v>
      </c>
      <c r="B1742">
        <v>42</v>
      </c>
      <c r="C1742" t="s">
        <v>44</v>
      </c>
      <c r="D1742" t="s">
        <v>60</v>
      </c>
      <c r="E1742">
        <v>532</v>
      </c>
      <c r="F1742">
        <v>3</v>
      </c>
      <c r="G1742">
        <v>6</v>
      </c>
      <c r="H1742">
        <v>1183.74</v>
      </c>
      <c r="I1742">
        <v>7401.65</v>
      </c>
      <c r="J1742">
        <v>44</v>
      </c>
      <c r="K1742">
        <v>3</v>
      </c>
      <c r="L1742">
        <v>23.1</v>
      </c>
      <c r="M1742">
        <v>5.3</v>
      </c>
      <c r="N1742" t="s">
        <v>63</v>
      </c>
      <c r="O1742" t="s">
        <v>47</v>
      </c>
      <c r="P1742" t="s">
        <v>58</v>
      </c>
      <c r="R1742">
        <f>SUMIF(A1742:A6741,"C01741",I1742:I6741)</f>
        <v>7401.65</v>
      </c>
      <c r="S1742" s="1">
        <v>79477.21</v>
      </c>
      <c r="T1742">
        <f t="shared" ref="T1742:T1805" si="199">I1742/J1742</f>
        <v>168.219318181818</v>
      </c>
      <c r="U1742">
        <f t="shared" si="194"/>
        <v>233.2</v>
      </c>
      <c r="V1742">
        <f>U1742</f>
        <v>233.2</v>
      </c>
      <c r="W1742">
        <f t="shared" si="197"/>
        <v>2862.13</v>
      </c>
      <c r="X1742">
        <f t="shared" si="196"/>
        <v>0.449423015189146</v>
      </c>
      <c r="AH1742" t="str">
        <f t="shared" ref="AH1742:AH1805" si="200">IF(AND(W1742&gt;=12550,B1742&lt;=33,E1742&gt;=915),"1st Quality",IF(AND(W1742&gt;=6275,B1742&lt;=43,E1742&gt;=457),"2nd Quality","3rd Quality"))</f>
        <v>3rd Quality</v>
      </c>
      <c r="AJ1742">
        <f>((T1742-X1742)*2)/23.1</f>
        <v>14.5255320490588</v>
      </c>
      <c r="AK1742">
        <f t="shared" si="198"/>
        <v>89492.6772727273</v>
      </c>
    </row>
    <row r="1743" spans="1:37">
      <c r="A1743" t="s">
        <v>1807</v>
      </c>
      <c r="B1743">
        <v>50</v>
      </c>
      <c r="C1743" t="s">
        <v>44</v>
      </c>
      <c r="D1743" t="s">
        <v>60</v>
      </c>
      <c r="E1743">
        <v>1140</v>
      </c>
      <c r="F1743">
        <v>15</v>
      </c>
      <c r="G1743">
        <v>16</v>
      </c>
      <c r="H1743">
        <v>637.35</v>
      </c>
      <c r="I1743">
        <v>9832.8</v>
      </c>
      <c r="J1743">
        <v>49</v>
      </c>
      <c r="K1743">
        <v>1</v>
      </c>
      <c r="L1743">
        <v>22.8</v>
      </c>
      <c r="M1743">
        <v>53.7</v>
      </c>
      <c r="N1743" t="s">
        <v>63</v>
      </c>
      <c r="O1743" t="s">
        <v>75</v>
      </c>
      <c r="P1743" t="s">
        <v>58</v>
      </c>
      <c r="R1743">
        <f>SUMIF(A1743:A6742,"C01742",I1743:I6742)</f>
        <v>9832.8</v>
      </c>
      <c r="S1743" s="1">
        <v>727.14</v>
      </c>
      <c r="T1743">
        <f t="shared" si="199"/>
        <v>200.669387755102</v>
      </c>
      <c r="U1743">
        <f t="shared" si="194"/>
        <v>2631.3</v>
      </c>
      <c r="V1743">
        <f>U1743</f>
        <v>2631.3</v>
      </c>
      <c r="W1743">
        <f t="shared" si="197"/>
        <v>3490.38333333333</v>
      </c>
      <c r="X1743">
        <f t="shared" si="196"/>
        <v>1.78865615438927</v>
      </c>
      <c r="AH1743" t="str">
        <f t="shared" si="200"/>
        <v>3rd Quality</v>
      </c>
      <c r="AJ1743">
        <f>((T1743-X1743)*2)/22.8</f>
        <v>17.4456782105888</v>
      </c>
      <c r="AK1743">
        <f t="shared" si="198"/>
        <v>228763.102040816</v>
      </c>
    </row>
    <row r="1744" spans="1:37">
      <c r="A1744" t="s">
        <v>1808</v>
      </c>
      <c r="B1744">
        <v>21</v>
      </c>
      <c r="C1744" t="s">
        <v>50</v>
      </c>
      <c r="D1744" t="s">
        <v>45</v>
      </c>
      <c r="E1744">
        <v>1112</v>
      </c>
      <c r="F1744">
        <v>9</v>
      </c>
      <c r="G1744">
        <v>29</v>
      </c>
      <c r="H1744">
        <v>3092.41</v>
      </c>
      <c r="I1744">
        <v>79477.21</v>
      </c>
      <c r="J1744">
        <v>210</v>
      </c>
      <c r="K1744">
        <v>0</v>
      </c>
      <c r="L1744">
        <v>4.3</v>
      </c>
      <c r="M1744">
        <v>36.3</v>
      </c>
      <c r="N1744" t="s">
        <v>52</v>
      </c>
      <c r="O1744" t="s">
        <v>47</v>
      </c>
      <c r="P1744" t="s">
        <v>68</v>
      </c>
      <c r="R1744">
        <f>SUMIF(A1744:A6743,"C01743",I1744:I6743)</f>
        <v>79477.21</v>
      </c>
      <c r="S1744" s="1">
        <v>3678.68</v>
      </c>
      <c r="T1744">
        <f t="shared" si="199"/>
        <v>378.462904761905</v>
      </c>
      <c r="U1744">
        <f t="shared" si="194"/>
        <v>7623</v>
      </c>
      <c r="V1744">
        <f t="shared" si="193"/>
        <v>635.25</v>
      </c>
      <c r="W1744">
        <f t="shared" si="197"/>
        <v>27523.54</v>
      </c>
      <c r="X1744">
        <f t="shared" si="196"/>
        <v>0.359590093163584</v>
      </c>
      <c r="AH1744" t="str">
        <f t="shared" si="200"/>
        <v>1st Quality</v>
      </c>
      <c r="AJ1744">
        <f>((T1744-X1744)*2)/4.3</f>
        <v>175.86200682267</v>
      </c>
      <c r="AK1744">
        <f t="shared" si="198"/>
        <v>420850.750095238</v>
      </c>
    </row>
    <row r="1745" spans="1:37">
      <c r="A1745" t="s">
        <v>1809</v>
      </c>
      <c r="B1745">
        <v>29</v>
      </c>
      <c r="C1745" t="s">
        <v>44</v>
      </c>
      <c r="D1745" t="s">
        <v>60</v>
      </c>
      <c r="E1745">
        <v>815</v>
      </c>
      <c r="F1745">
        <v>229</v>
      </c>
      <c r="G1745">
        <v>1</v>
      </c>
      <c r="H1745">
        <v>796.74</v>
      </c>
      <c r="I1745">
        <v>727.14</v>
      </c>
      <c r="J1745">
        <v>10</v>
      </c>
      <c r="K1745">
        <v>0</v>
      </c>
      <c r="L1745">
        <v>16.1</v>
      </c>
      <c r="M1745">
        <v>12.8</v>
      </c>
      <c r="N1745" t="s">
        <v>78</v>
      </c>
      <c r="O1745" t="s">
        <v>47</v>
      </c>
      <c r="P1745" t="s">
        <v>58</v>
      </c>
      <c r="R1745">
        <f>SUMIF(A1745:A6744,"C01744",I1745:I6744)</f>
        <v>727.14</v>
      </c>
      <c r="S1745" s="1">
        <v>16896.06</v>
      </c>
      <c r="T1745">
        <f t="shared" si="199"/>
        <v>72.714</v>
      </c>
      <c r="U1745">
        <f t="shared" si="194"/>
        <v>128</v>
      </c>
      <c r="V1745">
        <f t="shared" si="193"/>
        <v>10.6666666666667</v>
      </c>
      <c r="W1745">
        <f t="shared" si="197"/>
        <v>508.293333333333</v>
      </c>
      <c r="X1745">
        <f t="shared" si="196"/>
        <v>1.02291839244923</v>
      </c>
      <c r="AH1745" t="str">
        <f t="shared" si="200"/>
        <v>3rd Quality</v>
      </c>
      <c r="AJ1745">
        <f>((T1745-X1745)*2)/16.1</f>
        <v>8.90572442329823</v>
      </c>
      <c r="AK1745">
        <f t="shared" si="198"/>
        <v>59261.91</v>
      </c>
    </row>
    <row r="1746" spans="1:37">
      <c r="A1746" t="s">
        <v>1810</v>
      </c>
      <c r="B1746">
        <v>39</v>
      </c>
      <c r="C1746" t="s">
        <v>50</v>
      </c>
      <c r="D1746" t="s">
        <v>45</v>
      </c>
      <c r="E1746">
        <v>666</v>
      </c>
      <c r="F1746">
        <v>183</v>
      </c>
      <c r="G1746">
        <v>5</v>
      </c>
      <c r="H1746">
        <v>697.37</v>
      </c>
      <c r="I1746">
        <v>3678.68</v>
      </c>
      <c r="J1746">
        <v>30</v>
      </c>
      <c r="K1746">
        <v>1</v>
      </c>
      <c r="L1746">
        <v>35.8</v>
      </c>
      <c r="M1746">
        <v>3.3</v>
      </c>
      <c r="N1746" t="s">
        <v>52</v>
      </c>
      <c r="O1746" t="s">
        <v>75</v>
      </c>
      <c r="P1746" t="s">
        <v>58</v>
      </c>
      <c r="R1746">
        <f>SUMIF(A1746:A6745,"C01745",I1746:I6745)</f>
        <v>3678.68</v>
      </c>
      <c r="S1746" s="1">
        <v>7761.79</v>
      </c>
      <c r="T1746">
        <f t="shared" si="199"/>
        <v>122.622666666667</v>
      </c>
      <c r="U1746">
        <f t="shared" si="194"/>
        <v>99</v>
      </c>
      <c r="V1746">
        <f>U1746</f>
        <v>99</v>
      </c>
      <c r="W1746">
        <f t="shared" si="197"/>
        <v>1459.01666666667</v>
      </c>
      <c r="X1746">
        <f t="shared" si="196"/>
        <v>0.955016705622553</v>
      </c>
      <c r="AH1746" t="str">
        <f t="shared" si="200"/>
        <v>3rd Quality</v>
      </c>
      <c r="AJ1746">
        <f>((T1746-X1746)*2)/35.8</f>
        <v>6.79707541681813</v>
      </c>
      <c r="AK1746">
        <f t="shared" si="198"/>
        <v>81666.696</v>
      </c>
    </row>
    <row r="1747" spans="1:37">
      <c r="A1747" t="s">
        <v>1811</v>
      </c>
      <c r="B1747">
        <v>37</v>
      </c>
      <c r="C1747" t="s">
        <v>50</v>
      </c>
      <c r="D1747" t="s">
        <v>51</v>
      </c>
      <c r="E1747">
        <v>995</v>
      </c>
      <c r="F1747">
        <v>37</v>
      </c>
      <c r="G1747">
        <v>3</v>
      </c>
      <c r="H1747">
        <v>5437.89</v>
      </c>
      <c r="I1747">
        <v>16896.06</v>
      </c>
      <c r="J1747">
        <v>17</v>
      </c>
      <c r="K1747">
        <v>1</v>
      </c>
      <c r="L1747">
        <v>12.8</v>
      </c>
      <c r="M1747">
        <v>50.2</v>
      </c>
      <c r="N1747" t="s">
        <v>52</v>
      </c>
      <c r="O1747" t="s">
        <v>75</v>
      </c>
      <c r="P1747" t="s">
        <v>68</v>
      </c>
      <c r="R1747">
        <f>SUMIF(A1747:A6746,"C01746",I1747:I6746)</f>
        <v>16896.06</v>
      </c>
      <c r="S1747" s="1">
        <v>28892.33</v>
      </c>
      <c r="T1747">
        <f t="shared" si="199"/>
        <v>993.885882352941</v>
      </c>
      <c r="U1747">
        <f t="shared" si="194"/>
        <v>853.4</v>
      </c>
      <c r="V1747">
        <f>U1747</f>
        <v>853.4</v>
      </c>
      <c r="W1747">
        <f t="shared" si="197"/>
        <v>7444.98333333333</v>
      </c>
      <c r="X1747">
        <f t="shared" si="196"/>
        <v>0.18297538199559</v>
      </c>
      <c r="AH1747" t="str">
        <f t="shared" si="200"/>
        <v>2nd Quality</v>
      </c>
      <c r="AJ1747">
        <f>((T1747-X1747)*2)/12.8</f>
        <v>155.26607921421</v>
      </c>
      <c r="AK1747">
        <f t="shared" si="198"/>
        <v>988916.452941177</v>
      </c>
    </row>
    <row r="1748" spans="1:37">
      <c r="A1748" t="s">
        <v>1812</v>
      </c>
      <c r="B1748">
        <v>55</v>
      </c>
      <c r="C1748" t="s">
        <v>44</v>
      </c>
      <c r="D1748" t="s">
        <v>51</v>
      </c>
      <c r="E1748">
        <v>1029</v>
      </c>
      <c r="F1748">
        <v>18</v>
      </c>
      <c r="G1748">
        <v>8</v>
      </c>
      <c r="H1748">
        <v>1004.26</v>
      </c>
      <c r="I1748">
        <v>7761.79</v>
      </c>
      <c r="J1748">
        <v>74</v>
      </c>
      <c r="K1748">
        <v>1</v>
      </c>
      <c r="L1748">
        <v>26</v>
      </c>
      <c r="M1748">
        <v>14.1</v>
      </c>
      <c r="N1748" t="s">
        <v>52</v>
      </c>
      <c r="O1748" t="s">
        <v>53</v>
      </c>
      <c r="P1748" t="s">
        <v>58</v>
      </c>
      <c r="R1748">
        <f>SUMIF(A1748:A6747,"C01747",I1748:I6747)</f>
        <v>7761.79</v>
      </c>
      <c r="S1748" s="1">
        <v>7269.84</v>
      </c>
      <c r="T1748">
        <f t="shared" si="199"/>
        <v>104.889054054054</v>
      </c>
      <c r="U1748">
        <f t="shared" si="194"/>
        <v>1043.4</v>
      </c>
      <c r="V1748">
        <f>U1748</f>
        <v>1043.4</v>
      </c>
      <c r="W1748">
        <f t="shared" si="197"/>
        <v>2922.35</v>
      </c>
      <c r="X1748">
        <f t="shared" si="196"/>
        <v>1.02463505466712</v>
      </c>
      <c r="AH1748" t="str">
        <f t="shared" si="200"/>
        <v>3rd Quality</v>
      </c>
      <c r="AJ1748">
        <f>((T1748-X1748)*2)/26</f>
        <v>7.98957069226053</v>
      </c>
      <c r="AK1748">
        <f t="shared" si="198"/>
        <v>107930.836621622</v>
      </c>
    </row>
    <row r="1749" spans="1:37">
      <c r="A1749" t="s">
        <v>1813</v>
      </c>
      <c r="B1749">
        <v>21</v>
      </c>
      <c r="C1749" t="s">
        <v>50</v>
      </c>
      <c r="D1749" t="s">
        <v>45</v>
      </c>
      <c r="E1749">
        <v>1136</v>
      </c>
      <c r="F1749">
        <v>49</v>
      </c>
      <c r="G1749">
        <v>4</v>
      </c>
      <c r="H1749">
        <v>7067.11</v>
      </c>
      <c r="I1749">
        <v>28892.33</v>
      </c>
      <c r="J1749">
        <v>18</v>
      </c>
      <c r="K1749">
        <v>1</v>
      </c>
      <c r="L1749">
        <v>0.6</v>
      </c>
      <c r="M1749">
        <v>37.6</v>
      </c>
      <c r="N1749" t="s">
        <v>46</v>
      </c>
      <c r="O1749" t="s">
        <v>47</v>
      </c>
      <c r="P1749" t="s">
        <v>54</v>
      </c>
      <c r="R1749">
        <f>SUMIF(A1749:A6748,"C01748",I1749:I6748)</f>
        <v>28892.33</v>
      </c>
      <c r="S1749" s="1">
        <v>25227.68</v>
      </c>
      <c r="T1749">
        <f t="shared" si="199"/>
        <v>1605.12944444444</v>
      </c>
      <c r="U1749">
        <f t="shared" si="194"/>
        <v>676.8</v>
      </c>
      <c r="V1749">
        <f>U1749</f>
        <v>676.8</v>
      </c>
      <c r="W1749">
        <f t="shared" si="197"/>
        <v>11986.8133333333</v>
      </c>
      <c r="X1749">
        <f t="shared" si="196"/>
        <v>0.160744632530129</v>
      </c>
      <c r="AH1749" t="str">
        <f t="shared" si="200"/>
        <v>2nd Quality</v>
      </c>
      <c r="AJ1749">
        <f>((T1749-X1749)*2)/0.6</f>
        <v>5349.8956660397</v>
      </c>
      <c r="AK1749">
        <f t="shared" si="198"/>
        <v>1823427.04888889</v>
      </c>
    </row>
    <row r="1750" spans="1:37">
      <c r="A1750" t="s">
        <v>1814</v>
      </c>
      <c r="B1750">
        <v>46</v>
      </c>
      <c r="C1750" t="s">
        <v>50</v>
      </c>
      <c r="D1750" t="s">
        <v>45</v>
      </c>
      <c r="E1750">
        <v>588</v>
      </c>
      <c r="F1750">
        <v>27</v>
      </c>
      <c r="G1750">
        <v>10</v>
      </c>
      <c r="H1750">
        <v>685.04</v>
      </c>
      <c r="I1750">
        <v>7269.84</v>
      </c>
      <c r="J1750">
        <v>69</v>
      </c>
      <c r="K1750">
        <v>2</v>
      </c>
      <c r="L1750">
        <v>28.1</v>
      </c>
      <c r="M1750">
        <v>22.8</v>
      </c>
      <c r="N1750" t="s">
        <v>61</v>
      </c>
      <c r="O1750" t="s">
        <v>47</v>
      </c>
      <c r="P1750" t="s">
        <v>58</v>
      </c>
      <c r="R1750">
        <f>SUMIF(A1750:A6749,"C01749",I1750:I6749)</f>
        <v>7269.84</v>
      </c>
      <c r="S1750" s="1">
        <v>28321.01</v>
      </c>
      <c r="T1750">
        <f t="shared" si="199"/>
        <v>105.36</v>
      </c>
      <c r="U1750">
        <f t="shared" si="194"/>
        <v>1573.2</v>
      </c>
      <c r="V1750">
        <f>U1750</f>
        <v>1573.2</v>
      </c>
      <c r="W1750">
        <f t="shared" si="197"/>
        <v>2651.96</v>
      </c>
      <c r="X1750">
        <f t="shared" si="196"/>
        <v>0.858344038304333</v>
      </c>
      <c r="AH1750" t="str">
        <f t="shared" si="200"/>
        <v>3rd Quality</v>
      </c>
      <c r="AJ1750">
        <f>((T1750-X1750)*2)/28.1</f>
        <v>7.43784028197122</v>
      </c>
      <c r="AK1750">
        <f t="shared" si="198"/>
        <v>61951.68</v>
      </c>
    </row>
    <row r="1751" spans="1:37">
      <c r="A1751" t="s">
        <v>1815</v>
      </c>
      <c r="B1751">
        <v>38</v>
      </c>
      <c r="C1751" t="s">
        <v>44</v>
      </c>
      <c r="D1751" t="s">
        <v>51</v>
      </c>
      <c r="E1751">
        <v>759</v>
      </c>
      <c r="F1751">
        <v>9</v>
      </c>
      <c r="G1751">
        <v>13</v>
      </c>
      <c r="H1751">
        <v>1875.84</v>
      </c>
      <c r="I1751">
        <v>25227.68</v>
      </c>
      <c r="J1751">
        <v>87</v>
      </c>
      <c r="K1751">
        <v>0</v>
      </c>
      <c r="L1751">
        <v>24.1</v>
      </c>
      <c r="M1751">
        <v>24.3</v>
      </c>
      <c r="N1751" t="s">
        <v>63</v>
      </c>
      <c r="O1751" t="s">
        <v>47</v>
      </c>
      <c r="P1751" t="s">
        <v>48</v>
      </c>
      <c r="R1751">
        <f>SUMIF(A1751:A6750,"C01750",I1751:I6750)</f>
        <v>25227.68</v>
      </c>
      <c r="S1751" s="1">
        <v>78251.6</v>
      </c>
      <c r="T1751">
        <f t="shared" si="199"/>
        <v>289.973333333333</v>
      </c>
      <c r="U1751">
        <f t="shared" si="194"/>
        <v>2114.1</v>
      </c>
      <c r="V1751">
        <f>U1751/12</f>
        <v>176.175</v>
      </c>
      <c r="W1751">
        <f t="shared" si="197"/>
        <v>9034.84</v>
      </c>
      <c r="X1751">
        <f t="shared" si="196"/>
        <v>0.404618730808598</v>
      </c>
      <c r="AH1751" t="str">
        <f t="shared" si="200"/>
        <v>2nd Quality</v>
      </c>
      <c r="AJ1751">
        <f>((T1751-X1751)*2)/24.1</f>
        <v>24.0305987222012</v>
      </c>
      <c r="AK1751">
        <f t="shared" si="198"/>
        <v>220089.76</v>
      </c>
    </row>
    <row r="1752" spans="1:37">
      <c r="A1752" t="s">
        <v>1816</v>
      </c>
      <c r="B1752">
        <v>30</v>
      </c>
      <c r="C1752" t="s">
        <v>50</v>
      </c>
      <c r="D1752" t="s">
        <v>51</v>
      </c>
      <c r="E1752">
        <v>1270</v>
      </c>
      <c r="F1752">
        <v>49</v>
      </c>
      <c r="G1752">
        <v>4</v>
      </c>
      <c r="H1752">
        <v>7552.41</v>
      </c>
      <c r="I1752">
        <v>28321.01</v>
      </c>
      <c r="J1752">
        <v>23</v>
      </c>
      <c r="K1752">
        <v>0</v>
      </c>
      <c r="L1752">
        <v>12.1</v>
      </c>
      <c r="M1752">
        <v>8</v>
      </c>
      <c r="N1752" t="s">
        <v>57</v>
      </c>
      <c r="O1752" t="s">
        <v>47</v>
      </c>
      <c r="P1752" t="s">
        <v>58</v>
      </c>
      <c r="R1752">
        <f>SUMIF(A1752:A6751,"C01751",I1752:I6751)</f>
        <v>28321.01</v>
      </c>
      <c r="S1752" s="1">
        <v>1038.39</v>
      </c>
      <c r="T1752">
        <f t="shared" si="199"/>
        <v>1231.34826086957</v>
      </c>
      <c r="U1752">
        <f t="shared" si="194"/>
        <v>184</v>
      </c>
      <c r="V1752">
        <f t="shared" si="193"/>
        <v>15.3333333333333</v>
      </c>
      <c r="W1752">
        <f t="shared" si="197"/>
        <v>11958.14</v>
      </c>
      <c r="X1752">
        <f t="shared" si="196"/>
        <v>0.168158243527563</v>
      </c>
      <c r="AH1752" t="str">
        <f t="shared" si="200"/>
        <v>2nd Quality</v>
      </c>
      <c r="AJ1752">
        <f>((T1752-X1752)*2)/12.1</f>
        <v>203.500843409263</v>
      </c>
      <c r="AK1752">
        <f t="shared" si="198"/>
        <v>1563812.29130435</v>
      </c>
    </row>
    <row r="1753" spans="1:37">
      <c r="A1753" t="s">
        <v>1817</v>
      </c>
      <c r="B1753">
        <v>36</v>
      </c>
      <c r="C1753" t="s">
        <v>50</v>
      </c>
      <c r="D1753" t="s">
        <v>60</v>
      </c>
      <c r="E1753">
        <v>1276</v>
      </c>
      <c r="F1753">
        <v>18</v>
      </c>
      <c r="G1753">
        <v>26</v>
      </c>
      <c r="H1753">
        <v>2715.43</v>
      </c>
      <c r="I1753">
        <v>78251.6</v>
      </c>
      <c r="J1753">
        <v>86</v>
      </c>
      <c r="K1753">
        <v>0</v>
      </c>
      <c r="L1753">
        <v>2.2</v>
      </c>
      <c r="M1753">
        <v>41.4</v>
      </c>
      <c r="N1753" t="s">
        <v>81</v>
      </c>
      <c r="O1753" t="s">
        <v>53</v>
      </c>
      <c r="P1753" t="s">
        <v>58</v>
      </c>
      <c r="R1753">
        <f>SUMIF(A1753:A6752,"C01752",I1753:I6752)</f>
        <v>78251.6</v>
      </c>
      <c r="S1753" s="1">
        <v>2666.31</v>
      </c>
      <c r="T1753">
        <f t="shared" si="199"/>
        <v>909.902325581395</v>
      </c>
      <c r="U1753">
        <f t="shared" si="194"/>
        <v>3560.4</v>
      </c>
      <c r="V1753">
        <f t="shared" si="193"/>
        <v>296.7</v>
      </c>
      <c r="W1753">
        <f t="shared" si="197"/>
        <v>26989.3433333333</v>
      </c>
      <c r="X1753">
        <f t="shared" si="196"/>
        <v>0.46990716019194</v>
      </c>
      <c r="AH1753" t="str">
        <f t="shared" si="200"/>
        <v>2nd Quality</v>
      </c>
      <c r="AJ1753">
        <f>((T1753-X1753)*2)/2.2</f>
        <v>826.756744019275</v>
      </c>
      <c r="AK1753">
        <f t="shared" si="198"/>
        <v>1161035.36744186</v>
      </c>
    </row>
    <row r="1754" spans="1:37">
      <c r="A1754" t="s">
        <v>1818</v>
      </c>
      <c r="B1754">
        <v>38</v>
      </c>
      <c r="C1754" t="s">
        <v>44</v>
      </c>
      <c r="D1754" t="s">
        <v>45</v>
      </c>
      <c r="E1754">
        <v>1256</v>
      </c>
      <c r="F1754">
        <v>239</v>
      </c>
      <c r="G1754">
        <v>1</v>
      </c>
      <c r="H1754">
        <v>1172.43</v>
      </c>
      <c r="I1754">
        <v>1038.39</v>
      </c>
      <c r="J1754">
        <v>7</v>
      </c>
      <c r="K1754">
        <v>0</v>
      </c>
      <c r="L1754">
        <v>16.8</v>
      </c>
      <c r="M1754">
        <v>33.1</v>
      </c>
      <c r="N1754" t="s">
        <v>46</v>
      </c>
      <c r="O1754" t="s">
        <v>53</v>
      </c>
      <c r="P1754" t="s">
        <v>58</v>
      </c>
      <c r="R1754">
        <f>SUMIF(A1754:A6753,"C01753",I1754:I6753)</f>
        <v>1038.39</v>
      </c>
      <c r="S1754" s="1">
        <v>22348.9</v>
      </c>
      <c r="T1754">
        <f t="shared" si="199"/>
        <v>148.341428571429</v>
      </c>
      <c r="U1754">
        <f t="shared" si="194"/>
        <v>231.7</v>
      </c>
      <c r="V1754">
        <f t="shared" si="193"/>
        <v>19.3083333333333</v>
      </c>
      <c r="W1754">
        <f t="shared" si="197"/>
        <v>737.273333333333</v>
      </c>
      <c r="X1754">
        <f t="shared" si="196"/>
        <v>1.07127930878603</v>
      </c>
      <c r="AH1754" t="str">
        <f t="shared" si="200"/>
        <v>3rd Quality</v>
      </c>
      <c r="AJ1754">
        <f>((T1754-X1754)*2)/16.8</f>
        <v>17.5321606265051</v>
      </c>
      <c r="AK1754">
        <f t="shared" si="198"/>
        <v>186316.834285714</v>
      </c>
    </row>
    <row r="1755" spans="1:37">
      <c r="A1755" t="s">
        <v>1819</v>
      </c>
      <c r="B1755">
        <v>18</v>
      </c>
      <c r="C1755" t="s">
        <v>44</v>
      </c>
      <c r="D1755" t="s">
        <v>60</v>
      </c>
      <c r="E1755">
        <v>1212</v>
      </c>
      <c r="F1755">
        <v>123</v>
      </c>
      <c r="G1755">
        <v>2</v>
      </c>
      <c r="H1755">
        <v>1315.39</v>
      </c>
      <c r="I1755">
        <v>2666.31</v>
      </c>
      <c r="J1755">
        <v>20</v>
      </c>
      <c r="K1755">
        <v>0</v>
      </c>
      <c r="L1755">
        <v>35.2</v>
      </c>
      <c r="M1755">
        <v>15.3</v>
      </c>
      <c r="N1755" t="s">
        <v>61</v>
      </c>
      <c r="O1755" t="s">
        <v>47</v>
      </c>
      <c r="P1755" t="s">
        <v>48</v>
      </c>
      <c r="R1755">
        <f>SUMIF(A1755:A6754,"C01754",I1755:I6754)</f>
        <v>2666.31</v>
      </c>
      <c r="S1755" s="1">
        <v>39502.38</v>
      </c>
      <c r="T1755">
        <f t="shared" si="199"/>
        <v>133.3155</v>
      </c>
      <c r="U1755">
        <f t="shared" si="194"/>
        <v>306</v>
      </c>
      <c r="V1755">
        <f t="shared" si="193"/>
        <v>25.5</v>
      </c>
      <c r="W1755">
        <f t="shared" si="197"/>
        <v>1327.56666666667</v>
      </c>
      <c r="X1755">
        <f t="shared" si="196"/>
        <v>0.921399736960141</v>
      </c>
      <c r="AH1755" t="str">
        <f t="shared" si="200"/>
        <v>3rd Quality</v>
      </c>
      <c r="AJ1755">
        <f>((T1755-X1755)*2)/35.2</f>
        <v>7.52239206039999</v>
      </c>
      <c r="AK1755">
        <f t="shared" si="198"/>
        <v>161578.386</v>
      </c>
    </row>
    <row r="1756" spans="1:37">
      <c r="A1756" t="s">
        <v>1820</v>
      </c>
      <c r="B1756">
        <v>34</v>
      </c>
      <c r="C1756" t="s">
        <v>44</v>
      </c>
      <c r="D1756" t="s">
        <v>45</v>
      </c>
      <c r="E1756">
        <v>460</v>
      </c>
      <c r="F1756">
        <v>39</v>
      </c>
      <c r="G1756">
        <v>16</v>
      </c>
      <c r="H1756">
        <v>1496.16</v>
      </c>
      <c r="I1756">
        <v>22348.9</v>
      </c>
      <c r="J1756">
        <v>38</v>
      </c>
      <c r="K1756">
        <v>0</v>
      </c>
      <c r="L1756">
        <v>17</v>
      </c>
      <c r="M1756">
        <v>22</v>
      </c>
      <c r="N1756" t="s">
        <v>52</v>
      </c>
      <c r="O1756" t="s">
        <v>47</v>
      </c>
      <c r="P1756" t="s">
        <v>58</v>
      </c>
      <c r="R1756">
        <f>SUMIF(A1756:A6755,"C01755",I1756:I6755)</f>
        <v>22348.9</v>
      </c>
      <c r="S1756" s="1">
        <v>43936.64</v>
      </c>
      <c r="T1756">
        <f t="shared" si="199"/>
        <v>588.128947368421</v>
      </c>
      <c r="U1756">
        <f t="shared" si="194"/>
        <v>836</v>
      </c>
      <c r="V1756">
        <f t="shared" ref="V1756:V1792" si="201">U1756/12</f>
        <v>69.6666666666667</v>
      </c>
      <c r="W1756">
        <f t="shared" si="197"/>
        <v>7948.68666666667</v>
      </c>
      <c r="X1756">
        <f t="shared" si="196"/>
        <v>0.307453748262218</v>
      </c>
      <c r="AH1756" t="str">
        <f t="shared" si="200"/>
        <v>2nd Quality</v>
      </c>
      <c r="AJ1756">
        <f>((T1756-X1756)*2)/17</f>
        <v>69.1554698376657</v>
      </c>
      <c r="AK1756">
        <f t="shared" si="198"/>
        <v>270539.315789474</v>
      </c>
    </row>
    <row r="1757" spans="1:37">
      <c r="A1757" t="s">
        <v>1821</v>
      </c>
      <c r="B1757">
        <v>40</v>
      </c>
      <c r="C1757" t="s">
        <v>50</v>
      </c>
      <c r="D1757" t="s">
        <v>51</v>
      </c>
      <c r="E1757">
        <v>683</v>
      </c>
      <c r="F1757">
        <v>48</v>
      </c>
      <c r="G1757">
        <v>5</v>
      </c>
      <c r="H1757">
        <v>7525.66</v>
      </c>
      <c r="I1757">
        <v>39502.38</v>
      </c>
      <c r="J1757">
        <v>29</v>
      </c>
      <c r="K1757">
        <v>0</v>
      </c>
      <c r="L1757">
        <v>19.2</v>
      </c>
      <c r="M1757">
        <v>23.3</v>
      </c>
      <c r="N1757" t="s">
        <v>61</v>
      </c>
      <c r="O1757" t="s">
        <v>47</v>
      </c>
      <c r="P1757" t="s">
        <v>58</v>
      </c>
      <c r="R1757">
        <f>SUMIF(A1757:A6756,"C01756",I1757:I6756)</f>
        <v>39502.38</v>
      </c>
      <c r="S1757" s="1">
        <v>4091.19</v>
      </c>
      <c r="T1757">
        <f t="shared" si="199"/>
        <v>1362.15103448276</v>
      </c>
      <c r="U1757">
        <f t="shared" si="194"/>
        <v>675.7</v>
      </c>
      <c r="V1757">
        <f t="shared" si="201"/>
        <v>56.3083333333333</v>
      </c>
      <c r="W1757">
        <f t="shared" si="197"/>
        <v>15676.3466666667</v>
      </c>
      <c r="X1757">
        <f t="shared" si="196"/>
        <v>0.090756159592647</v>
      </c>
      <c r="AH1757" t="str">
        <f t="shared" si="200"/>
        <v>2nd Quality</v>
      </c>
      <c r="AJ1757">
        <f>((T1757-X1757)*2)/19.2</f>
        <v>141.881278991997</v>
      </c>
      <c r="AK1757">
        <f t="shared" si="198"/>
        <v>930349.156551724</v>
      </c>
    </row>
    <row r="1758" spans="1:37">
      <c r="A1758" t="s">
        <v>1822</v>
      </c>
      <c r="B1758">
        <v>45</v>
      </c>
      <c r="C1758" t="s">
        <v>44</v>
      </c>
      <c r="D1758" t="s">
        <v>60</v>
      </c>
      <c r="E1758">
        <v>678</v>
      </c>
      <c r="F1758">
        <v>9</v>
      </c>
      <c r="G1758">
        <v>28</v>
      </c>
      <c r="H1758">
        <v>1546.23</v>
      </c>
      <c r="I1758">
        <v>43936.64</v>
      </c>
      <c r="J1758">
        <v>211</v>
      </c>
      <c r="K1758">
        <v>2</v>
      </c>
      <c r="L1758">
        <v>20.4</v>
      </c>
      <c r="M1758">
        <v>29.9</v>
      </c>
      <c r="N1758" t="s">
        <v>63</v>
      </c>
      <c r="O1758" t="s">
        <v>47</v>
      </c>
      <c r="P1758" t="s">
        <v>48</v>
      </c>
      <c r="R1758">
        <f>SUMIF(A1758:A6757,"C01757",I1758:I6757)</f>
        <v>43936.64</v>
      </c>
      <c r="S1758" s="1">
        <v>7223.55</v>
      </c>
      <c r="T1758">
        <f t="shared" si="199"/>
        <v>208.230521327014</v>
      </c>
      <c r="U1758">
        <f t="shared" si="194"/>
        <v>6308.9</v>
      </c>
      <c r="V1758">
        <f>U1758</f>
        <v>6308.9</v>
      </c>
      <c r="W1758">
        <f t="shared" si="197"/>
        <v>15161.29</v>
      </c>
      <c r="X1758">
        <f t="shared" si="196"/>
        <v>0.438485865621544</v>
      </c>
      <c r="AH1758" t="str">
        <f t="shared" si="200"/>
        <v>3rd Quality</v>
      </c>
      <c r="AJ1758">
        <f>((T1758-X1758)*2)/20.4</f>
        <v>20.3717681824895</v>
      </c>
      <c r="AK1758">
        <f t="shared" si="198"/>
        <v>141180.293459716</v>
      </c>
    </row>
    <row r="1759" spans="1:37">
      <c r="A1759" t="s">
        <v>1823</v>
      </c>
      <c r="B1759">
        <v>35</v>
      </c>
      <c r="C1759" t="s">
        <v>44</v>
      </c>
      <c r="D1759" t="s">
        <v>45</v>
      </c>
      <c r="E1759">
        <v>733</v>
      </c>
      <c r="F1759">
        <v>18</v>
      </c>
      <c r="G1759">
        <v>1</v>
      </c>
      <c r="H1759">
        <v>4413.51</v>
      </c>
      <c r="I1759">
        <v>4091.19</v>
      </c>
      <c r="J1759">
        <v>14</v>
      </c>
      <c r="K1759">
        <v>0</v>
      </c>
      <c r="L1759">
        <v>15.6</v>
      </c>
      <c r="M1759">
        <v>30.2</v>
      </c>
      <c r="N1759" t="s">
        <v>61</v>
      </c>
      <c r="O1759" t="s">
        <v>75</v>
      </c>
      <c r="P1759" t="s">
        <v>66</v>
      </c>
      <c r="R1759">
        <f>SUMIF(A1759:A6758,"C01758",I1759:I6758)</f>
        <v>4091.19</v>
      </c>
      <c r="S1759" s="1">
        <v>2955.7</v>
      </c>
      <c r="T1759">
        <f t="shared" si="199"/>
        <v>292.227857142857</v>
      </c>
      <c r="U1759">
        <f t="shared" si="194"/>
        <v>422.8</v>
      </c>
      <c r="V1759">
        <f t="shared" si="201"/>
        <v>35.2333333333333</v>
      </c>
      <c r="W1759">
        <f t="shared" si="197"/>
        <v>2835.23333333333</v>
      </c>
      <c r="X1759">
        <f t="shared" si="196"/>
        <v>0.166080965036898</v>
      </c>
      <c r="AH1759" t="str">
        <f t="shared" si="200"/>
        <v>3rd Quality</v>
      </c>
      <c r="AJ1759">
        <f>((T1759-X1759)*2)/15.6</f>
        <v>37.4438174586949</v>
      </c>
      <c r="AK1759">
        <f t="shared" si="198"/>
        <v>214203.019285714</v>
      </c>
    </row>
    <row r="1760" spans="1:37">
      <c r="A1760" t="s">
        <v>1824</v>
      </c>
      <c r="B1760">
        <v>39</v>
      </c>
      <c r="C1760" t="s">
        <v>44</v>
      </c>
      <c r="D1760" t="s">
        <v>60</v>
      </c>
      <c r="E1760">
        <v>901</v>
      </c>
      <c r="F1760">
        <v>89</v>
      </c>
      <c r="G1760">
        <v>2</v>
      </c>
      <c r="H1760">
        <v>3606.68</v>
      </c>
      <c r="I1760">
        <v>7223.55</v>
      </c>
      <c r="J1760">
        <v>19</v>
      </c>
      <c r="K1760">
        <v>1</v>
      </c>
      <c r="L1760">
        <v>15.6</v>
      </c>
      <c r="M1760">
        <v>31.8</v>
      </c>
      <c r="N1760" t="s">
        <v>57</v>
      </c>
      <c r="O1760" t="s">
        <v>75</v>
      </c>
      <c r="P1760" t="s">
        <v>66</v>
      </c>
      <c r="R1760">
        <f>SUMIF(A1760:A6759,"C01759",I1760:I6759)</f>
        <v>7223.55</v>
      </c>
      <c r="S1760" s="1">
        <v>17232.6</v>
      </c>
      <c r="T1760">
        <f t="shared" si="199"/>
        <v>380.186842105263</v>
      </c>
      <c r="U1760">
        <f t="shared" si="194"/>
        <v>604.2</v>
      </c>
      <c r="V1760">
        <f>U1760</f>
        <v>604.2</v>
      </c>
      <c r="W1760">
        <f t="shared" si="197"/>
        <v>3610.41</v>
      </c>
      <c r="X1760">
        <f t="shared" si="196"/>
        <v>0.249814233588785</v>
      </c>
      <c r="AH1760" t="str">
        <f t="shared" si="200"/>
        <v>3rd Quality</v>
      </c>
      <c r="AJ1760">
        <f>((T1760-X1760)*2)/15.6</f>
        <v>48.7098753681634</v>
      </c>
      <c r="AK1760">
        <f t="shared" si="198"/>
        <v>342548.344736842</v>
      </c>
    </row>
    <row r="1761" spans="1:37">
      <c r="A1761" t="s">
        <v>1825</v>
      </c>
      <c r="B1761">
        <v>38</v>
      </c>
      <c r="C1761" t="s">
        <v>44</v>
      </c>
      <c r="D1761" t="s">
        <v>51</v>
      </c>
      <c r="E1761">
        <v>570</v>
      </c>
      <c r="F1761">
        <v>106</v>
      </c>
      <c r="G1761">
        <v>1</v>
      </c>
      <c r="H1761">
        <v>2941.76</v>
      </c>
      <c r="I1761">
        <v>2955.7</v>
      </c>
      <c r="J1761">
        <v>16</v>
      </c>
      <c r="K1761">
        <v>0</v>
      </c>
      <c r="L1761">
        <v>19.2</v>
      </c>
      <c r="M1761">
        <v>20.3</v>
      </c>
      <c r="N1761" t="s">
        <v>78</v>
      </c>
      <c r="O1761" t="s">
        <v>75</v>
      </c>
      <c r="P1761" t="s">
        <v>58</v>
      </c>
      <c r="R1761">
        <f>SUMIF(A1761:A6760,"C01760",I1761:I6760)</f>
        <v>2955.7</v>
      </c>
      <c r="S1761" s="1">
        <v>30610.53</v>
      </c>
      <c r="T1761">
        <f t="shared" si="199"/>
        <v>184.73125</v>
      </c>
      <c r="U1761">
        <f t="shared" si="194"/>
        <v>324.8</v>
      </c>
      <c r="V1761">
        <f>U1761/12</f>
        <v>27.0666666666667</v>
      </c>
      <c r="W1761">
        <f t="shared" si="197"/>
        <v>1966.15333333333</v>
      </c>
      <c r="X1761">
        <f t="shared" si="196"/>
        <v>0.193761557706951</v>
      </c>
      <c r="AH1761" t="str">
        <f t="shared" si="200"/>
        <v>3rd Quality</v>
      </c>
      <c r="AJ1761">
        <f>((T1761-X1761)*2)/19.2</f>
        <v>19.2226550460722</v>
      </c>
      <c r="AK1761">
        <f t="shared" si="198"/>
        <v>105296.8125</v>
      </c>
    </row>
    <row r="1762" spans="1:37">
      <c r="A1762" t="s">
        <v>1826</v>
      </c>
      <c r="B1762">
        <v>37</v>
      </c>
      <c r="C1762" t="s">
        <v>50</v>
      </c>
      <c r="D1762" t="s">
        <v>60</v>
      </c>
      <c r="E1762">
        <v>1229</v>
      </c>
      <c r="F1762">
        <v>27</v>
      </c>
      <c r="G1762">
        <v>17</v>
      </c>
      <c r="H1762">
        <v>1033.45</v>
      </c>
      <c r="I1762">
        <v>17232.6</v>
      </c>
      <c r="J1762">
        <v>111</v>
      </c>
      <c r="K1762">
        <v>2</v>
      </c>
      <c r="L1762">
        <v>23.2</v>
      </c>
      <c r="M1762">
        <v>25.5</v>
      </c>
      <c r="N1762" t="s">
        <v>57</v>
      </c>
      <c r="O1762" t="s">
        <v>47</v>
      </c>
      <c r="P1762" t="s">
        <v>58</v>
      </c>
      <c r="R1762">
        <f>SUMIF(A1762:A6761,"C01761",I1762:I6761)</f>
        <v>17232.6</v>
      </c>
      <c r="S1762" s="1">
        <v>107384.65</v>
      </c>
      <c r="T1762">
        <f t="shared" si="199"/>
        <v>155.248648648649</v>
      </c>
      <c r="U1762">
        <f t="shared" ref="U1762:U1825" si="202">J1762*M1762</f>
        <v>2830.5</v>
      </c>
      <c r="V1762">
        <f>U1762</f>
        <v>2830.5</v>
      </c>
      <c r="W1762">
        <f t="shared" si="197"/>
        <v>6089.01666666667</v>
      </c>
      <c r="X1762">
        <f t="shared" si="196"/>
        <v>1.18922057187092</v>
      </c>
      <c r="AH1762" t="str">
        <f t="shared" si="200"/>
        <v>3rd Quality</v>
      </c>
      <c r="AJ1762">
        <f>((T1762-X1762)*2)/23.2</f>
        <v>13.2809851790326</v>
      </c>
      <c r="AK1762">
        <f t="shared" si="198"/>
        <v>190800.589189189</v>
      </c>
    </row>
    <row r="1763" spans="1:37">
      <c r="A1763" t="s">
        <v>1827</v>
      </c>
      <c r="B1763">
        <v>35</v>
      </c>
      <c r="C1763" t="s">
        <v>44</v>
      </c>
      <c r="D1763" t="s">
        <v>60</v>
      </c>
      <c r="E1763">
        <v>918</v>
      </c>
      <c r="F1763">
        <v>8</v>
      </c>
      <c r="G1763">
        <v>13</v>
      </c>
      <c r="H1763">
        <v>2645.32</v>
      </c>
      <c r="I1763">
        <v>30610.53</v>
      </c>
      <c r="J1763">
        <v>87</v>
      </c>
      <c r="K1763">
        <v>1</v>
      </c>
      <c r="L1763">
        <v>17.5</v>
      </c>
      <c r="M1763">
        <v>10.4</v>
      </c>
      <c r="N1763" t="s">
        <v>61</v>
      </c>
      <c r="O1763" t="s">
        <v>75</v>
      </c>
      <c r="P1763" t="s">
        <v>48</v>
      </c>
      <c r="R1763">
        <f>SUMIF(A1763:A6762,"C01762",I1763:I6762)</f>
        <v>30610.53</v>
      </c>
      <c r="S1763" s="1">
        <v>38021.85</v>
      </c>
      <c r="T1763">
        <f t="shared" si="199"/>
        <v>351.845172413793</v>
      </c>
      <c r="U1763">
        <f t="shared" si="202"/>
        <v>904.8</v>
      </c>
      <c r="V1763">
        <f>U1763</f>
        <v>904.8</v>
      </c>
      <c r="W1763">
        <f t="shared" si="197"/>
        <v>11085.6166666667</v>
      </c>
      <c r="X1763">
        <f t="shared" si="196"/>
        <v>0.347027958810276</v>
      </c>
      <c r="AH1763" t="str">
        <f t="shared" si="200"/>
        <v>2nd Quality</v>
      </c>
      <c r="AJ1763">
        <f>((T1763-X1763)*2)/17.5</f>
        <v>40.1712165091409</v>
      </c>
      <c r="AK1763">
        <f t="shared" si="198"/>
        <v>322993.868275862</v>
      </c>
    </row>
    <row r="1764" spans="1:37">
      <c r="A1764" t="s">
        <v>1828</v>
      </c>
      <c r="B1764">
        <v>36</v>
      </c>
      <c r="C1764" t="s">
        <v>44</v>
      </c>
      <c r="D1764" t="s">
        <v>51</v>
      </c>
      <c r="E1764">
        <v>460</v>
      </c>
      <c r="F1764">
        <v>27</v>
      </c>
      <c r="G1764">
        <v>31</v>
      </c>
      <c r="H1764">
        <v>3726.25</v>
      </c>
      <c r="I1764">
        <v>107384.65</v>
      </c>
      <c r="J1764">
        <v>71</v>
      </c>
      <c r="K1764">
        <v>1</v>
      </c>
      <c r="L1764">
        <v>2.8</v>
      </c>
      <c r="M1764">
        <v>38.6</v>
      </c>
      <c r="N1764" t="s">
        <v>57</v>
      </c>
      <c r="O1764" t="s">
        <v>53</v>
      </c>
      <c r="P1764" t="s">
        <v>66</v>
      </c>
      <c r="R1764">
        <f>SUMIF(A1764:A6763,"C01763",I1764:I6763)</f>
        <v>107384.65</v>
      </c>
      <c r="S1764" s="1">
        <v>46757.23</v>
      </c>
      <c r="T1764">
        <f t="shared" si="199"/>
        <v>1512.45985915493</v>
      </c>
      <c r="U1764">
        <f t="shared" si="202"/>
        <v>2740.6</v>
      </c>
      <c r="V1764">
        <f>U1764</f>
        <v>2740.6</v>
      </c>
      <c r="W1764">
        <f t="shared" si="197"/>
        <v>37037.3</v>
      </c>
      <c r="X1764">
        <f t="shared" si="196"/>
        <v>0.123448507212345</v>
      </c>
      <c r="AH1764" t="str">
        <f t="shared" si="200"/>
        <v>2nd Quality</v>
      </c>
      <c r="AJ1764">
        <f>((T1764-X1764)*2)/2.8</f>
        <v>1080.2402933198</v>
      </c>
      <c r="AK1764">
        <f t="shared" si="198"/>
        <v>695731.535211268</v>
      </c>
    </row>
    <row r="1765" spans="1:37">
      <c r="A1765" t="s">
        <v>1829</v>
      </c>
      <c r="B1765">
        <v>43</v>
      </c>
      <c r="C1765" t="s">
        <v>44</v>
      </c>
      <c r="D1765" t="s">
        <v>60</v>
      </c>
      <c r="E1765">
        <v>1255</v>
      </c>
      <c r="F1765">
        <v>10</v>
      </c>
      <c r="G1765">
        <v>15</v>
      </c>
      <c r="H1765">
        <v>2278.43</v>
      </c>
      <c r="I1765">
        <v>38021.85</v>
      </c>
      <c r="J1765">
        <v>111</v>
      </c>
      <c r="K1765">
        <v>2</v>
      </c>
      <c r="L1765">
        <v>2.9</v>
      </c>
      <c r="M1765">
        <v>44</v>
      </c>
      <c r="N1765" t="s">
        <v>52</v>
      </c>
      <c r="O1765" t="s">
        <v>53</v>
      </c>
      <c r="P1765" t="s">
        <v>58</v>
      </c>
      <c r="R1765">
        <f>SUMIF(A1765:A6764,"C01764",I1765:I6764)</f>
        <v>38021.85</v>
      </c>
      <c r="S1765" s="1">
        <v>99268.45</v>
      </c>
      <c r="T1765">
        <f t="shared" si="199"/>
        <v>342.539189189189</v>
      </c>
      <c r="U1765">
        <f t="shared" si="202"/>
        <v>4884</v>
      </c>
      <c r="V1765">
        <f>U1765</f>
        <v>4884</v>
      </c>
      <c r="W1765">
        <f t="shared" si="197"/>
        <v>13433.76</v>
      </c>
      <c r="X1765">
        <f t="shared" si="196"/>
        <v>0.550817887756043</v>
      </c>
      <c r="AH1765" t="str">
        <f t="shared" si="200"/>
        <v>2nd Quality</v>
      </c>
      <c r="AJ1765">
        <f>((T1765-X1765)*2)/2.9</f>
        <v>235.854049173402</v>
      </c>
      <c r="AK1765">
        <f t="shared" si="198"/>
        <v>429886.682432432</v>
      </c>
    </row>
    <row r="1766" spans="1:37">
      <c r="A1766" t="s">
        <v>1830</v>
      </c>
      <c r="B1766">
        <v>25</v>
      </c>
      <c r="C1766" t="s">
        <v>50</v>
      </c>
      <c r="D1766" t="s">
        <v>60</v>
      </c>
      <c r="E1766">
        <v>710</v>
      </c>
      <c r="F1766">
        <v>13</v>
      </c>
      <c r="G1766">
        <v>23</v>
      </c>
      <c r="H1766">
        <v>2197.19</v>
      </c>
      <c r="I1766">
        <v>46757.23</v>
      </c>
      <c r="J1766">
        <v>71</v>
      </c>
      <c r="K1766">
        <v>3</v>
      </c>
      <c r="L1766">
        <v>10.9</v>
      </c>
      <c r="M1766">
        <v>33.5</v>
      </c>
      <c r="N1766" t="s">
        <v>46</v>
      </c>
      <c r="O1766" t="s">
        <v>47</v>
      </c>
      <c r="P1766" t="s">
        <v>68</v>
      </c>
      <c r="R1766">
        <f>SUMIF(A1766:A6765,"C01765",I1766:I6765)</f>
        <v>46757.23</v>
      </c>
      <c r="S1766" s="1">
        <v>1582.46</v>
      </c>
      <c r="T1766">
        <f t="shared" si="199"/>
        <v>658.552535211268</v>
      </c>
      <c r="U1766">
        <f t="shared" si="202"/>
        <v>2378.5</v>
      </c>
      <c r="V1766">
        <f>U1766</f>
        <v>2378.5</v>
      </c>
      <c r="W1766">
        <f t="shared" si="197"/>
        <v>16318.4733333333</v>
      </c>
      <c r="X1766">
        <f t="shared" si="196"/>
        <v>0.323140010649967</v>
      </c>
      <c r="AH1766" t="str">
        <f t="shared" si="200"/>
        <v>2nd Quality</v>
      </c>
      <c r="AJ1766">
        <f>((T1766-X1766)*2)/10.9</f>
        <v>120.776035816627</v>
      </c>
      <c r="AK1766">
        <f t="shared" si="198"/>
        <v>467572.3</v>
      </c>
    </row>
    <row r="1767" spans="1:37">
      <c r="A1767" t="s">
        <v>1831</v>
      </c>
      <c r="B1767">
        <v>27</v>
      </c>
      <c r="C1767" t="s">
        <v>44</v>
      </c>
      <c r="D1767" t="s">
        <v>45</v>
      </c>
      <c r="E1767">
        <v>985</v>
      </c>
      <c r="F1767">
        <v>9</v>
      </c>
      <c r="G1767">
        <v>18</v>
      </c>
      <c r="H1767">
        <v>5570.04</v>
      </c>
      <c r="I1767">
        <v>99268.45</v>
      </c>
      <c r="J1767">
        <v>135</v>
      </c>
      <c r="K1767">
        <v>0</v>
      </c>
      <c r="L1767">
        <v>12.5</v>
      </c>
      <c r="M1767">
        <v>58.1</v>
      </c>
      <c r="N1767" t="s">
        <v>61</v>
      </c>
      <c r="O1767" t="s">
        <v>75</v>
      </c>
      <c r="P1767" t="s">
        <v>66</v>
      </c>
      <c r="R1767">
        <f>SUMIF(A1767:A6766,"C01766",I1767:I6766)</f>
        <v>99268.45</v>
      </c>
      <c r="S1767" s="1">
        <v>64374.22</v>
      </c>
      <c r="T1767">
        <f t="shared" si="199"/>
        <v>735.321851851852</v>
      </c>
      <c r="U1767">
        <f t="shared" si="202"/>
        <v>7843.5</v>
      </c>
      <c r="V1767">
        <f t="shared" si="201"/>
        <v>653.625</v>
      </c>
      <c r="W1767">
        <f t="shared" si="197"/>
        <v>34946.4966666667</v>
      </c>
      <c r="X1767">
        <f t="shared" si="196"/>
        <v>0.176838945501289</v>
      </c>
      <c r="AH1767" t="str">
        <f t="shared" si="200"/>
        <v>1st Quality</v>
      </c>
      <c r="AJ1767">
        <f>((T1767-X1767)*2)/12.5</f>
        <v>117.623202065016</v>
      </c>
      <c r="AK1767">
        <f t="shared" si="198"/>
        <v>724292.024074074</v>
      </c>
    </row>
    <row r="1768" spans="1:37">
      <c r="A1768" t="s">
        <v>1832</v>
      </c>
      <c r="B1768">
        <v>31</v>
      </c>
      <c r="C1768" t="s">
        <v>56</v>
      </c>
      <c r="D1768" t="s">
        <v>45</v>
      </c>
      <c r="E1768">
        <v>826</v>
      </c>
      <c r="F1768">
        <v>233</v>
      </c>
      <c r="G1768">
        <v>1</v>
      </c>
      <c r="H1768">
        <v>1664.75</v>
      </c>
      <c r="I1768">
        <v>1582.46</v>
      </c>
      <c r="J1768">
        <v>11</v>
      </c>
      <c r="K1768">
        <v>0</v>
      </c>
      <c r="L1768">
        <v>16.7</v>
      </c>
      <c r="M1768">
        <v>12.3</v>
      </c>
      <c r="N1768" t="s">
        <v>61</v>
      </c>
      <c r="O1768" t="s">
        <v>47</v>
      </c>
      <c r="P1768" t="s">
        <v>58</v>
      </c>
      <c r="R1768">
        <f>SUMIF(A1768:A6767,"C01767",I1768:I6767)</f>
        <v>1582.46</v>
      </c>
      <c r="S1768" s="1">
        <v>112368.79</v>
      </c>
      <c r="T1768">
        <f t="shared" si="199"/>
        <v>143.86</v>
      </c>
      <c r="U1768">
        <f t="shared" si="202"/>
        <v>135.3</v>
      </c>
      <c r="V1768">
        <f t="shared" si="201"/>
        <v>11.275</v>
      </c>
      <c r="W1768">
        <f t="shared" si="197"/>
        <v>1082.73666666667</v>
      </c>
      <c r="X1768">
        <f t="shared" si="196"/>
        <v>0.496170596185613</v>
      </c>
      <c r="AH1768" t="str">
        <f t="shared" si="200"/>
        <v>3rd Quality</v>
      </c>
      <c r="AJ1768">
        <f>((T1768-X1768)*2)/16.7</f>
        <v>17.1693208866844</v>
      </c>
      <c r="AK1768">
        <f t="shared" si="198"/>
        <v>118828.36</v>
      </c>
    </row>
    <row r="1769" spans="1:37">
      <c r="A1769" t="s">
        <v>1833</v>
      </c>
      <c r="B1769">
        <v>30</v>
      </c>
      <c r="C1769" t="s">
        <v>44</v>
      </c>
      <c r="D1769" t="s">
        <v>60</v>
      </c>
      <c r="E1769">
        <v>756</v>
      </c>
      <c r="F1769">
        <v>13</v>
      </c>
      <c r="G1769">
        <v>29</v>
      </c>
      <c r="H1769">
        <v>2090.91</v>
      </c>
      <c r="I1769">
        <v>64374.22</v>
      </c>
      <c r="J1769">
        <v>242</v>
      </c>
      <c r="K1769">
        <v>2</v>
      </c>
      <c r="L1769">
        <v>15.3</v>
      </c>
      <c r="M1769">
        <v>9.6</v>
      </c>
      <c r="N1769" t="s">
        <v>63</v>
      </c>
      <c r="O1769" t="s">
        <v>75</v>
      </c>
      <c r="P1769" t="s">
        <v>66</v>
      </c>
      <c r="R1769">
        <f>SUMIF(A1769:A6768,"C01768",I1769:I6768)</f>
        <v>64374.22</v>
      </c>
      <c r="S1769" s="1">
        <v>5031.48</v>
      </c>
      <c r="T1769">
        <f t="shared" si="199"/>
        <v>266.009173553719</v>
      </c>
      <c r="U1769">
        <f t="shared" si="202"/>
        <v>2323.2</v>
      </c>
      <c r="V1769">
        <f>U1769</f>
        <v>2323.2</v>
      </c>
      <c r="W1769">
        <f t="shared" si="197"/>
        <v>22155.3766666667</v>
      </c>
      <c r="X1769">
        <f t="shared" si="196"/>
        <v>0.361565060189104</v>
      </c>
      <c r="AH1769" t="str">
        <f t="shared" si="200"/>
        <v>2nd Quality</v>
      </c>
      <c r="AJ1769">
        <f>((T1769-X1769)*2)/15.3</f>
        <v>34.7251775808536</v>
      </c>
      <c r="AK1769">
        <f t="shared" si="198"/>
        <v>201102.935206612</v>
      </c>
    </row>
    <row r="1770" spans="1:37">
      <c r="A1770" t="s">
        <v>1834</v>
      </c>
      <c r="B1770">
        <v>25</v>
      </c>
      <c r="C1770" t="s">
        <v>44</v>
      </c>
      <c r="D1770" t="s">
        <v>60</v>
      </c>
      <c r="E1770">
        <v>731</v>
      </c>
      <c r="F1770">
        <v>21</v>
      </c>
      <c r="G1770">
        <v>24</v>
      </c>
      <c r="H1770">
        <v>4595.9</v>
      </c>
      <c r="I1770">
        <v>112368.79</v>
      </c>
      <c r="J1770">
        <v>107</v>
      </c>
      <c r="K1770">
        <v>0</v>
      </c>
      <c r="L1770">
        <v>18.6</v>
      </c>
      <c r="M1770">
        <v>27.9</v>
      </c>
      <c r="N1770" t="s">
        <v>63</v>
      </c>
      <c r="O1770" t="s">
        <v>75</v>
      </c>
      <c r="P1770" t="s">
        <v>48</v>
      </c>
      <c r="R1770">
        <f>SUMIF(A1770:A6769,"C01769",I1770:I6769)</f>
        <v>112368.79</v>
      </c>
      <c r="S1770" s="1">
        <v>13875.08</v>
      </c>
      <c r="T1770">
        <f t="shared" si="199"/>
        <v>1050.17560747664</v>
      </c>
      <c r="U1770">
        <f t="shared" si="202"/>
        <v>2985.3</v>
      </c>
      <c r="V1770">
        <f t="shared" si="201"/>
        <v>248.775</v>
      </c>
      <c r="W1770">
        <f t="shared" si="197"/>
        <v>38988.5633333333</v>
      </c>
      <c r="X1770">
        <f t="shared" si="196"/>
        <v>0.159054809721708</v>
      </c>
      <c r="AH1770" t="str">
        <f t="shared" si="200"/>
        <v>2nd Quality</v>
      </c>
      <c r="AJ1770">
        <f>((T1770-X1770)*2)/18.6</f>
        <v>112.905005663109</v>
      </c>
      <c r="AK1770">
        <f t="shared" si="198"/>
        <v>767678.36906542</v>
      </c>
    </row>
    <row r="1771" spans="1:37">
      <c r="A1771" t="s">
        <v>1835</v>
      </c>
      <c r="B1771">
        <v>35</v>
      </c>
      <c r="C1771" t="s">
        <v>44</v>
      </c>
      <c r="D1771" t="s">
        <v>51</v>
      </c>
      <c r="E1771">
        <v>817</v>
      </c>
      <c r="F1771">
        <v>194</v>
      </c>
      <c r="G1771">
        <v>7</v>
      </c>
      <c r="H1771">
        <v>683.45</v>
      </c>
      <c r="I1771">
        <v>5031.48</v>
      </c>
      <c r="J1771">
        <v>30</v>
      </c>
      <c r="K1771">
        <v>1</v>
      </c>
      <c r="L1771">
        <v>34.2</v>
      </c>
      <c r="M1771">
        <v>16</v>
      </c>
      <c r="N1771" t="s">
        <v>63</v>
      </c>
      <c r="O1771" t="s">
        <v>47</v>
      </c>
      <c r="P1771" t="s">
        <v>58</v>
      </c>
      <c r="R1771">
        <f>SUMIF(A1771:A6770,"C01770",I1771:I6770)</f>
        <v>5031.48</v>
      </c>
      <c r="S1771" s="1">
        <v>1658.22</v>
      </c>
      <c r="T1771">
        <f t="shared" si="199"/>
        <v>167.716</v>
      </c>
      <c r="U1771">
        <f t="shared" si="202"/>
        <v>480</v>
      </c>
      <c r="V1771">
        <f>U1771</f>
        <v>480</v>
      </c>
      <c r="W1771">
        <f t="shared" si="197"/>
        <v>1905.31</v>
      </c>
      <c r="X1771">
        <f t="shared" si="196"/>
        <v>1.19540566244787</v>
      </c>
      <c r="AH1771" t="str">
        <f t="shared" si="200"/>
        <v>3rd Quality</v>
      </c>
      <c r="AJ1771">
        <f>((T1771-X1771)*2)/34.2</f>
        <v>9.73804645248843</v>
      </c>
      <c r="AK1771">
        <f t="shared" si="198"/>
        <v>137023.972</v>
      </c>
    </row>
    <row r="1772" spans="1:37">
      <c r="A1772" t="s">
        <v>1836</v>
      </c>
      <c r="B1772">
        <v>36</v>
      </c>
      <c r="C1772" t="s">
        <v>50</v>
      </c>
      <c r="D1772" t="s">
        <v>60</v>
      </c>
      <c r="E1772">
        <v>444</v>
      </c>
      <c r="F1772">
        <v>7</v>
      </c>
      <c r="G1772">
        <v>3</v>
      </c>
      <c r="H1772">
        <v>4477.82</v>
      </c>
      <c r="I1772">
        <v>13875.08</v>
      </c>
      <c r="J1772">
        <v>19</v>
      </c>
      <c r="K1772">
        <v>1</v>
      </c>
      <c r="L1772">
        <v>8.6</v>
      </c>
      <c r="M1772">
        <v>30.6</v>
      </c>
      <c r="N1772" t="s">
        <v>78</v>
      </c>
      <c r="O1772" t="s">
        <v>53</v>
      </c>
      <c r="P1772" t="s">
        <v>66</v>
      </c>
      <c r="R1772">
        <f>SUMIF(A1772:A6771,"C01771",I1772:I6771)</f>
        <v>13875.08</v>
      </c>
      <c r="S1772" s="1">
        <v>34680.37</v>
      </c>
      <c r="T1772">
        <f t="shared" si="199"/>
        <v>730.267368421053</v>
      </c>
      <c r="U1772">
        <f t="shared" si="202"/>
        <v>581.4</v>
      </c>
      <c r="V1772">
        <f>U1772</f>
        <v>581.4</v>
      </c>
      <c r="W1772">
        <f t="shared" si="197"/>
        <v>6117.96666666667</v>
      </c>
      <c r="X1772">
        <f t="shared" si="196"/>
        <v>0.0991553925794248</v>
      </c>
      <c r="AH1772" t="str">
        <f t="shared" si="200"/>
        <v>3rd Quality</v>
      </c>
      <c r="AJ1772">
        <f>((T1772-X1772)*2)/8.6</f>
        <v>169.806561169412</v>
      </c>
      <c r="AK1772">
        <f t="shared" si="198"/>
        <v>324238.711578947</v>
      </c>
    </row>
    <row r="1773" spans="1:37">
      <c r="A1773" t="s">
        <v>1837</v>
      </c>
      <c r="B1773">
        <v>49</v>
      </c>
      <c r="C1773" t="s">
        <v>50</v>
      </c>
      <c r="D1773" t="s">
        <v>60</v>
      </c>
      <c r="E1773">
        <v>1125</v>
      </c>
      <c r="F1773">
        <v>49</v>
      </c>
      <c r="G1773">
        <v>3</v>
      </c>
      <c r="H1773">
        <v>552.25</v>
      </c>
      <c r="I1773">
        <v>1658.22</v>
      </c>
      <c r="J1773">
        <v>22</v>
      </c>
      <c r="K1773">
        <v>0</v>
      </c>
      <c r="L1773">
        <v>27.5</v>
      </c>
      <c r="M1773">
        <v>4.1</v>
      </c>
      <c r="N1773" t="s">
        <v>57</v>
      </c>
      <c r="O1773" t="s">
        <v>47</v>
      </c>
      <c r="P1773" t="s">
        <v>58</v>
      </c>
      <c r="R1773">
        <f>SUMIF(A1773:A6772,"C01772",I1773:I6772)</f>
        <v>1658.22</v>
      </c>
      <c r="S1773" s="1">
        <v>1938.33</v>
      </c>
      <c r="T1773">
        <f t="shared" si="199"/>
        <v>75.3736363636364</v>
      </c>
      <c r="U1773">
        <f t="shared" si="202"/>
        <v>90.2</v>
      </c>
      <c r="V1773">
        <f t="shared" si="201"/>
        <v>7.51666666666667</v>
      </c>
      <c r="W1773">
        <f t="shared" si="197"/>
        <v>737.156666666667</v>
      </c>
      <c r="X1773">
        <f t="shared" si="196"/>
        <v>2.03712086917157</v>
      </c>
      <c r="AH1773" t="str">
        <f t="shared" si="200"/>
        <v>3rd Quality</v>
      </c>
      <c r="AJ1773">
        <f>((T1773-X1773)*2)/27.5</f>
        <v>5.33356476323381</v>
      </c>
      <c r="AK1773">
        <f t="shared" si="198"/>
        <v>84795.3409090909</v>
      </c>
    </row>
    <row r="1774" spans="1:37">
      <c r="A1774" t="s">
        <v>1838</v>
      </c>
      <c r="B1774">
        <v>25</v>
      </c>
      <c r="C1774" t="s">
        <v>50</v>
      </c>
      <c r="D1774" t="s">
        <v>60</v>
      </c>
      <c r="E1774">
        <v>1076</v>
      </c>
      <c r="F1774">
        <v>23</v>
      </c>
      <c r="G1774">
        <v>4</v>
      </c>
      <c r="H1774">
        <v>7807.03</v>
      </c>
      <c r="I1774">
        <v>34680.37</v>
      </c>
      <c r="J1774">
        <v>24</v>
      </c>
      <c r="K1774">
        <v>0</v>
      </c>
      <c r="L1774">
        <v>6.5</v>
      </c>
      <c r="M1774">
        <v>55.9</v>
      </c>
      <c r="N1774" t="s">
        <v>57</v>
      </c>
      <c r="O1774" t="s">
        <v>47</v>
      </c>
      <c r="P1774" t="s">
        <v>68</v>
      </c>
      <c r="R1774">
        <f>SUMIF(A1774:A6773,"C01773",I1774:I6773)</f>
        <v>34680.37</v>
      </c>
      <c r="S1774" s="1">
        <v>53001.03</v>
      </c>
      <c r="T1774">
        <f t="shared" si="199"/>
        <v>1445.01541666667</v>
      </c>
      <c r="U1774">
        <f t="shared" si="202"/>
        <v>1341.6</v>
      </c>
      <c r="V1774">
        <f t="shared" si="201"/>
        <v>111.8</v>
      </c>
      <c r="W1774">
        <f t="shared" si="197"/>
        <v>14162.8</v>
      </c>
      <c r="X1774">
        <f t="shared" si="196"/>
        <v>0.137824499201361</v>
      </c>
      <c r="AH1774" t="str">
        <f t="shared" si="200"/>
        <v>1st Quality</v>
      </c>
      <c r="AJ1774">
        <f>((T1774-X1774)*2)/6.5</f>
        <v>444.577720666913</v>
      </c>
      <c r="AK1774">
        <f t="shared" si="198"/>
        <v>1554836.58833333</v>
      </c>
    </row>
    <row r="1775" spans="1:37">
      <c r="A1775" t="s">
        <v>1839</v>
      </c>
      <c r="B1775">
        <v>31</v>
      </c>
      <c r="C1775" t="s">
        <v>44</v>
      </c>
      <c r="D1775" t="s">
        <v>45</v>
      </c>
      <c r="E1775">
        <v>931</v>
      </c>
      <c r="F1775">
        <v>365</v>
      </c>
      <c r="G1775">
        <v>1</v>
      </c>
      <c r="H1775">
        <v>1848.2</v>
      </c>
      <c r="I1775">
        <v>1938.33</v>
      </c>
      <c r="J1775">
        <v>11</v>
      </c>
      <c r="K1775">
        <v>0</v>
      </c>
      <c r="L1775">
        <v>7.4</v>
      </c>
      <c r="M1775">
        <v>9.2</v>
      </c>
      <c r="N1775" t="s">
        <v>57</v>
      </c>
      <c r="O1775" t="s">
        <v>47</v>
      </c>
      <c r="P1775" t="s">
        <v>66</v>
      </c>
      <c r="R1775">
        <f>SUMIF(A1775:A6774,"C01774",I1775:I6774)</f>
        <v>1938.33</v>
      </c>
      <c r="S1775" s="1">
        <v>15840.12</v>
      </c>
      <c r="T1775">
        <f t="shared" si="199"/>
        <v>176.211818181818</v>
      </c>
      <c r="U1775">
        <f t="shared" si="202"/>
        <v>101.2</v>
      </c>
      <c r="V1775">
        <f t="shared" si="201"/>
        <v>8.43333333333333</v>
      </c>
      <c r="W1775">
        <f t="shared" si="197"/>
        <v>1262.51</v>
      </c>
      <c r="X1775">
        <f t="shared" ref="X1775:X1838" si="203">E1775/H1775</f>
        <v>0.503733362190239</v>
      </c>
      <c r="AH1775" t="str">
        <f t="shared" si="200"/>
        <v>3rd Quality</v>
      </c>
      <c r="AJ1775">
        <f>((T1775-X1775)*2)/7.4</f>
        <v>47.4886715728724</v>
      </c>
      <c r="AK1775">
        <f t="shared" si="198"/>
        <v>164053.202727273</v>
      </c>
    </row>
    <row r="1776" spans="1:37">
      <c r="A1776" t="s">
        <v>1840</v>
      </c>
      <c r="B1776">
        <v>57</v>
      </c>
      <c r="C1776" t="s">
        <v>50</v>
      </c>
      <c r="D1776" t="s">
        <v>45</v>
      </c>
      <c r="E1776">
        <v>1337</v>
      </c>
      <c r="F1776">
        <v>36</v>
      </c>
      <c r="G1776">
        <v>5</v>
      </c>
      <c r="H1776">
        <v>10140.65</v>
      </c>
      <c r="I1776">
        <v>53001.03</v>
      </c>
      <c r="J1776">
        <v>40</v>
      </c>
      <c r="K1776">
        <v>1</v>
      </c>
      <c r="L1776">
        <v>0</v>
      </c>
      <c r="M1776">
        <v>52.1</v>
      </c>
      <c r="N1776" t="s">
        <v>52</v>
      </c>
      <c r="O1776" t="s">
        <v>75</v>
      </c>
      <c r="P1776" t="s">
        <v>68</v>
      </c>
      <c r="R1776">
        <f>SUMIF(A1776:A6775,"C01775",I1776:I6775)</f>
        <v>53001.03</v>
      </c>
      <c r="S1776" s="1">
        <v>3082.4</v>
      </c>
      <c r="T1776">
        <f t="shared" si="199"/>
        <v>1325.02575</v>
      </c>
      <c r="U1776">
        <f t="shared" si="202"/>
        <v>2084</v>
      </c>
      <c r="V1776">
        <f>U1776</f>
        <v>2084</v>
      </c>
      <c r="W1776">
        <f t="shared" si="197"/>
        <v>21047.56</v>
      </c>
      <c r="X1776">
        <f t="shared" si="203"/>
        <v>0.131845591752008</v>
      </c>
      <c r="AH1776" t="str">
        <f t="shared" si="200"/>
        <v>3rd Quality</v>
      </c>
      <c r="AJ1776">
        <f>((T1776-X1776)*2)</f>
        <v>2649.7878088165</v>
      </c>
      <c r="AK1776">
        <f t="shared" si="198"/>
        <v>1771559.42775</v>
      </c>
    </row>
    <row r="1777" spans="1:37">
      <c r="A1777" t="s">
        <v>1841</v>
      </c>
      <c r="B1777">
        <v>24</v>
      </c>
      <c r="C1777" t="s">
        <v>50</v>
      </c>
      <c r="D1777" t="s">
        <v>45</v>
      </c>
      <c r="E1777">
        <v>973</v>
      </c>
      <c r="F1777">
        <v>25</v>
      </c>
      <c r="G1777">
        <v>1</v>
      </c>
      <c r="H1777">
        <v>15147.64</v>
      </c>
      <c r="I1777">
        <v>15840.12</v>
      </c>
      <c r="J1777">
        <v>13</v>
      </c>
      <c r="K1777">
        <v>0</v>
      </c>
      <c r="L1777">
        <v>14.8</v>
      </c>
      <c r="M1777">
        <v>43.3</v>
      </c>
      <c r="N1777" t="s">
        <v>52</v>
      </c>
      <c r="O1777" t="s">
        <v>47</v>
      </c>
      <c r="P1777" t="s">
        <v>58</v>
      </c>
      <c r="R1777">
        <f>SUMIF(A1777:A6776,"C01776",I1777:I6776)</f>
        <v>15840.12</v>
      </c>
      <c r="S1777" s="1">
        <v>15207.31</v>
      </c>
      <c r="T1777">
        <f t="shared" si="199"/>
        <v>1218.47076923077</v>
      </c>
      <c r="U1777">
        <f t="shared" si="202"/>
        <v>562.9</v>
      </c>
      <c r="V1777">
        <f t="shared" si="201"/>
        <v>46.9083333333333</v>
      </c>
      <c r="W1777">
        <f t="shared" si="197"/>
        <v>10329.5866666667</v>
      </c>
      <c r="X1777">
        <f t="shared" si="203"/>
        <v>0.0642344285974581</v>
      </c>
      <c r="AH1777" t="str">
        <f t="shared" si="200"/>
        <v>2nd Quality</v>
      </c>
      <c r="AJ1777">
        <f>((T1777-X1777)*2)/14.8</f>
        <v>164.649531730023</v>
      </c>
      <c r="AK1777">
        <f t="shared" si="198"/>
        <v>1185572.05846154</v>
      </c>
    </row>
    <row r="1778" spans="1:37">
      <c r="A1778" t="s">
        <v>1842</v>
      </c>
      <c r="B1778">
        <v>40</v>
      </c>
      <c r="C1778" t="s">
        <v>44</v>
      </c>
      <c r="D1778" t="s">
        <v>60</v>
      </c>
      <c r="E1778">
        <v>794</v>
      </c>
      <c r="F1778">
        <v>30</v>
      </c>
      <c r="G1778">
        <v>4</v>
      </c>
      <c r="H1778">
        <v>776.79</v>
      </c>
      <c r="I1778">
        <v>3082.4</v>
      </c>
      <c r="J1778">
        <v>32</v>
      </c>
      <c r="K1778">
        <v>0</v>
      </c>
      <c r="L1778">
        <v>41.3</v>
      </c>
      <c r="M1778">
        <v>19.7</v>
      </c>
      <c r="N1778" t="s">
        <v>78</v>
      </c>
      <c r="O1778" t="s">
        <v>53</v>
      </c>
      <c r="P1778" t="s">
        <v>66</v>
      </c>
      <c r="R1778">
        <f>SUMIF(A1778:A6777,"C01777",I1778:I6777)</f>
        <v>3082.4</v>
      </c>
      <c r="S1778" s="1">
        <v>11105.42</v>
      </c>
      <c r="T1778">
        <f t="shared" si="199"/>
        <v>96.325</v>
      </c>
      <c r="U1778">
        <f t="shared" si="202"/>
        <v>630.4</v>
      </c>
      <c r="V1778">
        <f t="shared" si="201"/>
        <v>52.5333333333333</v>
      </c>
      <c r="W1778">
        <f t="shared" si="197"/>
        <v>1286.73</v>
      </c>
      <c r="X1778">
        <f t="shared" si="203"/>
        <v>1.02215528006282</v>
      </c>
      <c r="AH1778" t="str">
        <f t="shared" si="200"/>
        <v>3rd Quality</v>
      </c>
      <c r="AJ1778">
        <f>((T1778-X1778)*2)/41.3</f>
        <v>4.61514986537226</v>
      </c>
      <c r="AK1778">
        <f t="shared" si="198"/>
        <v>76482.05</v>
      </c>
    </row>
    <row r="1779" spans="1:37">
      <c r="A1779" t="s">
        <v>1843</v>
      </c>
      <c r="B1779">
        <v>20</v>
      </c>
      <c r="C1779" t="s">
        <v>44</v>
      </c>
      <c r="D1779" t="s">
        <v>60</v>
      </c>
      <c r="E1779">
        <v>1035</v>
      </c>
      <c r="F1779">
        <v>61</v>
      </c>
      <c r="G1779">
        <v>13</v>
      </c>
      <c r="H1779">
        <v>1131.06</v>
      </c>
      <c r="I1779">
        <v>15207.31</v>
      </c>
      <c r="J1779">
        <v>99</v>
      </c>
      <c r="K1779">
        <v>0</v>
      </c>
      <c r="L1779">
        <v>12.4</v>
      </c>
      <c r="M1779">
        <v>11.3</v>
      </c>
      <c r="N1779" t="s">
        <v>78</v>
      </c>
      <c r="O1779" t="s">
        <v>47</v>
      </c>
      <c r="P1779" t="s">
        <v>66</v>
      </c>
      <c r="R1779">
        <f>SUMIF(A1779:A6778,"C01778",I1779:I6778)</f>
        <v>15207.31</v>
      </c>
      <c r="S1779" s="1">
        <v>36391.07</v>
      </c>
      <c r="T1779">
        <f t="shared" si="199"/>
        <v>153.609191919192</v>
      </c>
      <c r="U1779">
        <f t="shared" si="202"/>
        <v>1118.7</v>
      </c>
      <c r="V1779">
        <f t="shared" si="201"/>
        <v>93.225</v>
      </c>
      <c r="W1779">
        <f t="shared" si="197"/>
        <v>5446.45666666667</v>
      </c>
      <c r="X1779">
        <f t="shared" si="203"/>
        <v>0.915070818524216</v>
      </c>
      <c r="AH1779" t="str">
        <f t="shared" si="200"/>
        <v>3rd Quality</v>
      </c>
      <c r="AJ1779">
        <f>((T1779-X1779)*2)/12.4</f>
        <v>24.6280840484948</v>
      </c>
      <c r="AK1779">
        <f t="shared" si="198"/>
        <v>158985.513636364</v>
      </c>
    </row>
    <row r="1780" spans="1:37">
      <c r="A1780" t="s">
        <v>1844</v>
      </c>
      <c r="B1780">
        <v>36</v>
      </c>
      <c r="C1780" t="s">
        <v>44</v>
      </c>
      <c r="D1780" t="s">
        <v>45</v>
      </c>
      <c r="E1780">
        <v>1241</v>
      </c>
      <c r="F1780">
        <v>77</v>
      </c>
      <c r="G1780">
        <v>5</v>
      </c>
      <c r="H1780">
        <v>2166.74</v>
      </c>
      <c r="I1780">
        <v>11105.42</v>
      </c>
      <c r="J1780">
        <v>14</v>
      </c>
      <c r="K1780">
        <v>0</v>
      </c>
      <c r="L1780">
        <v>25.8</v>
      </c>
      <c r="M1780">
        <v>35.5</v>
      </c>
      <c r="N1780" t="s">
        <v>78</v>
      </c>
      <c r="O1780" t="s">
        <v>75</v>
      </c>
      <c r="P1780" t="s">
        <v>48</v>
      </c>
      <c r="R1780">
        <f>SUMIF(A1780:A6779,"C01779",I1780:I6779)</f>
        <v>11105.42</v>
      </c>
      <c r="S1780" s="1">
        <v>98693.53</v>
      </c>
      <c r="T1780">
        <f t="shared" si="199"/>
        <v>793.244285714286</v>
      </c>
      <c r="U1780">
        <f t="shared" si="202"/>
        <v>497</v>
      </c>
      <c r="V1780">
        <f t="shared" si="201"/>
        <v>41.4166666666667</v>
      </c>
      <c r="W1780">
        <f t="shared" si="197"/>
        <v>4424.38666666667</v>
      </c>
      <c r="X1780">
        <f t="shared" si="203"/>
        <v>0.572749845389848</v>
      </c>
      <c r="AH1780" t="str">
        <f t="shared" si="200"/>
        <v>3rd Quality</v>
      </c>
      <c r="AJ1780">
        <f>((T1780-X1780)*2)/25.8</f>
        <v>61.4474058813098</v>
      </c>
      <c r="AK1780">
        <f t="shared" si="198"/>
        <v>984416.158571429</v>
      </c>
    </row>
    <row r="1781" spans="1:37">
      <c r="A1781" t="s">
        <v>1845</v>
      </c>
      <c r="B1781">
        <v>32</v>
      </c>
      <c r="C1781" t="s">
        <v>50</v>
      </c>
      <c r="D1781" t="s">
        <v>60</v>
      </c>
      <c r="E1781">
        <v>1175</v>
      </c>
      <c r="F1781">
        <v>16</v>
      </c>
      <c r="G1781">
        <v>17</v>
      </c>
      <c r="H1781">
        <v>1958.17</v>
      </c>
      <c r="I1781">
        <v>36391.07</v>
      </c>
      <c r="J1781">
        <v>95</v>
      </c>
      <c r="K1781">
        <v>1</v>
      </c>
      <c r="L1781">
        <v>11.3</v>
      </c>
      <c r="M1781">
        <v>11.1</v>
      </c>
      <c r="N1781" t="s">
        <v>57</v>
      </c>
      <c r="O1781" t="s">
        <v>53</v>
      </c>
      <c r="P1781" t="s">
        <v>48</v>
      </c>
      <c r="R1781">
        <f>SUMIF(A1781:A6780,"C01780",I1781:I6780)</f>
        <v>36391.07</v>
      </c>
      <c r="S1781" s="1">
        <v>3783.58</v>
      </c>
      <c r="T1781">
        <f t="shared" si="199"/>
        <v>383.063894736842</v>
      </c>
      <c r="U1781">
        <f t="shared" si="202"/>
        <v>1054.5</v>
      </c>
      <c r="V1781">
        <f>U1781</f>
        <v>1054.5</v>
      </c>
      <c r="W1781">
        <f t="shared" si="197"/>
        <v>12783.4133333333</v>
      </c>
      <c r="X1781">
        <f t="shared" si="203"/>
        <v>0.600050046727301</v>
      </c>
      <c r="AH1781" t="str">
        <f t="shared" si="200"/>
        <v>1st Quality</v>
      </c>
      <c r="AJ1781">
        <f>((T1781-X1781)*2)/11.3</f>
        <v>67.6927158743566</v>
      </c>
      <c r="AK1781">
        <f t="shared" si="198"/>
        <v>450100.076315789</v>
      </c>
    </row>
    <row r="1782" spans="1:37">
      <c r="A1782" t="s">
        <v>1846</v>
      </c>
      <c r="B1782">
        <v>40</v>
      </c>
      <c r="C1782" t="s">
        <v>50</v>
      </c>
      <c r="D1782" t="s">
        <v>60</v>
      </c>
      <c r="E1782">
        <v>994</v>
      </c>
      <c r="F1782">
        <v>1</v>
      </c>
      <c r="G1782">
        <v>30</v>
      </c>
      <c r="H1782">
        <v>2950.68</v>
      </c>
      <c r="I1782">
        <v>98693.53</v>
      </c>
      <c r="J1782">
        <v>190</v>
      </c>
      <c r="K1782">
        <v>2</v>
      </c>
      <c r="L1782">
        <v>20.5</v>
      </c>
      <c r="M1782">
        <v>32.7</v>
      </c>
      <c r="N1782" t="s">
        <v>81</v>
      </c>
      <c r="O1782" t="s">
        <v>47</v>
      </c>
      <c r="P1782" t="s">
        <v>58</v>
      </c>
      <c r="R1782">
        <f>SUMIF(A1782:A6781,"C01781",I1782:I6781)</f>
        <v>98693.53</v>
      </c>
      <c r="S1782" s="1">
        <v>16158.5</v>
      </c>
      <c r="T1782">
        <f t="shared" si="199"/>
        <v>519.439631578947</v>
      </c>
      <c r="U1782">
        <f t="shared" si="202"/>
        <v>6213</v>
      </c>
      <c r="V1782">
        <f>U1782</f>
        <v>6213</v>
      </c>
      <c r="W1782">
        <f t="shared" si="197"/>
        <v>33881.7366666667</v>
      </c>
      <c r="X1782">
        <f t="shared" si="203"/>
        <v>0.336871500806594</v>
      </c>
      <c r="AH1782" t="str">
        <f t="shared" si="200"/>
        <v>2nd Quality</v>
      </c>
      <c r="AJ1782">
        <f>((T1782-X1782)*2)/20.5</f>
        <v>50.6441717149405</v>
      </c>
      <c r="AK1782">
        <f t="shared" si="198"/>
        <v>516322.993789474</v>
      </c>
    </row>
    <row r="1783" spans="1:37">
      <c r="A1783" t="s">
        <v>1847</v>
      </c>
      <c r="B1783">
        <v>32</v>
      </c>
      <c r="C1783" t="s">
        <v>50</v>
      </c>
      <c r="D1783" t="s">
        <v>60</v>
      </c>
      <c r="E1783">
        <v>1052</v>
      </c>
      <c r="F1783">
        <v>89</v>
      </c>
      <c r="G1783">
        <v>4</v>
      </c>
      <c r="H1783">
        <v>949.76</v>
      </c>
      <c r="I1783">
        <v>3783.58</v>
      </c>
      <c r="J1783">
        <v>28</v>
      </c>
      <c r="K1783">
        <v>0</v>
      </c>
      <c r="L1783">
        <v>28.9</v>
      </c>
      <c r="M1783">
        <v>19.5</v>
      </c>
      <c r="N1783" t="s">
        <v>57</v>
      </c>
      <c r="O1783" t="s">
        <v>47</v>
      </c>
      <c r="P1783" t="s">
        <v>68</v>
      </c>
      <c r="R1783">
        <f>SUMIF(A1783:A6782,"C01782",I1783:I6782)</f>
        <v>3783.58</v>
      </c>
      <c r="S1783" s="1">
        <v>52758.23</v>
      </c>
      <c r="T1783">
        <f t="shared" si="199"/>
        <v>135.127857142857</v>
      </c>
      <c r="U1783">
        <f t="shared" si="202"/>
        <v>546</v>
      </c>
      <c r="V1783">
        <f t="shared" si="201"/>
        <v>45.5</v>
      </c>
      <c r="W1783">
        <f t="shared" si="197"/>
        <v>1578.11333333333</v>
      </c>
      <c r="X1783">
        <f t="shared" si="203"/>
        <v>1.10764824797844</v>
      </c>
      <c r="AH1783" t="str">
        <f t="shared" si="200"/>
        <v>3rd Quality</v>
      </c>
      <c r="AJ1783">
        <f>((T1783-X1783)*2)/28.9</f>
        <v>9.27475494082205</v>
      </c>
      <c r="AK1783">
        <f t="shared" si="198"/>
        <v>142154.505714286</v>
      </c>
    </row>
    <row r="1784" spans="1:37">
      <c r="A1784" t="s">
        <v>1848</v>
      </c>
      <c r="B1784">
        <v>41</v>
      </c>
      <c r="C1784" t="s">
        <v>56</v>
      </c>
      <c r="D1784" t="s">
        <v>60</v>
      </c>
      <c r="E1784">
        <v>1442</v>
      </c>
      <c r="F1784">
        <v>34</v>
      </c>
      <c r="G1784">
        <v>14</v>
      </c>
      <c r="H1784">
        <v>1126.91</v>
      </c>
      <c r="I1784">
        <v>16158.5</v>
      </c>
      <c r="J1784">
        <v>106</v>
      </c>
      <c r="K1784">
        <v>1</v>
      </c>
      <c r="L1784">
        <v>39.6</v>
      </c>
      <c r="M1784">
        <v>48.6</v>
      </c>
      <c r="N1784" t="s">
        <v>63</v>
      </c>
      <c r="O1784" t="s">
        <v>75</v>
      </c>
      <c r="P1784" t="s">
        <v>58</v>
      </c>
      <c r="R1784">
        <f>SUMIF(A1784:A6783,"C01783",I1784:I6783)</f>
        <v>16158.5</v>
      </c>
      <c r="S1784" s="1">
        <v>37062.11</v>
      </c>
      <c r="T1784">
        <f t="shared" si="199"/>
        <v>152.438679245283</v>
      </c>
      <c r="U1784">
        <f t="shared" si="202"/>
        <v>5151.6</v>
      </c>
      <c r="V1784">
        <f>U1784</f>
        <v>5151.6</v>
      </c>
      <c r="W1784">
        <f t="shared" si="197"/>
        <v>5762.13666666667</v>
      </c>
      <c r="X1784">
        <f t="shared" si="203"/>
        <v>1.2796052923481</v>
      </c>
      <c r="AH1784" t="str">
        <f t="shared" si="200"/>
        <v>3rd Quality</v>
      </c>
      <c r="AJ1784">
        <f>((T1784-X1784)*2)/39.6</f>
        <v>7.63429666428964</v>
      </c>
      <c r="AK1784">
        <f t="shared" si="198"/>
        <v>219816.575471698</v>
      </c>
    </row>
    <row r="1785" spans="1:37">
      <c r="A1785" t="s">
        <v>1849</v>
      </c>
      <c r="B1785">
        <v>39</v>
      </c>
      <c r="C1785" t="s">
        <v>50</v>
      </c>
      <c r="D1785" t="s">
        <v>45</v>
      </c>
      <c r="E1785">
        <v>1116</v>
      </c>
      <c r="F1785">
        <v>26</v>
      </c>
      <c r="G1785">
        <v>27</v>
      </c>
      <c r="H1785">
        <v>2057.58</v>
      </c>
      <c r="I1785">
        <v>52758.23</v>
      </c>
      <c r="J1785">
        <v>61</v>
      </c>
      <c r="K1785">
        <v>0</v>
      </c>
      <c r="L1785">
        <v>4.5</v>
      </c>
      <c r="M1785">
        <v>24</v>
      </c>
      <c r="N1785" t="s">
        <v>52</v>
      </c>
      <c r="O1785" t="s">
        <v>47</v>
      </c>
      <c r="P1785" t="s">
        <v>58</v>
      </c>
      <c r="R1785">
        <f>SUMIF(A1785:A6784,"C01784",I1785:I6784)</f>
        <v>52758.23</v>
      </c>
      <c r="S1785" s="1">
        <v>2907.2</v>
      </c>
      <c r="T1785">
        <f t="shared" si="199"/>
        <v>864.889016393443</v>
      </c>
      <c r="U1785">
        <f t="shared" si="202"/>
        <v>1464</v>
      </c>
      <c r="V1785">
        <f t="shared" si="201"/>
        <v>122</v>
      </c>
      <c r="W1785">
        <f t="shared" si="197"/>
        <v>18272.27</v>
      </c>
      <c r="X1785">
        <f t="shared" si="203"/>
        <v>0.542384743242061</v>
      </c>
      <c r="AH1785" t="str">
        <f t="shared" si="200"/>
        <v>2nd Quality</v>
      </c>
      <c r="AJ1785">
        <f>((T1785-X1785)*2)/4.5</f>
        <v>384.1540585112</v>
      </c>
      <c r="AK1785">
        <f t="shared" si="198"/>
        <v>965216.142295082</v>
      </c>
    </row>
    <row r="1786" spans="1:37">
      <c r="A1786" t="s">
        <v>1850</v>
      </c>
      <c r="B1786">
        <v>56</v>
      </c>
      <c r="C1786" t="s">
        <v>50</v>
      </c>
      <c r="D1786" t="s">
        <v>60</v>
      </c>
      <c r="E1786">
        <v>1137</v>
      </c>
      <c r="F1786">
        <v>21</v>
      </c>
      <c r="G1786">
        <v>11</v>
      </c>
      <c r="H1786">
        <v>3111.34</v>
      </c>
      <c r="I1786">
        <v>37062.11</v>
      </c>
      <c r="J1786">
        <v>84</v>
      </c>
      <c r="K1786">
        <v>3</v>
      </c>
      <c r="L1786">
        <v>18.4</v>
      </c>
      <c r="M1786">
        <v>63.2</v>
      </c>
      <c r="N1786" t="s">
        <v>46</v>
      </c>
      <c r="O1786" t="s">
        <v>47</v>
      </c>
      <c r="P1786" t="s">
        <v>58</v>
      </c>
      <c r="R1786">
        <f>SUMIF(A1786:A6785,"C01785",I1786:I6785)</f>
        <v>37062.11</v>
      </c>
      <c r="S1786" s="1">
        <v>16638.07</v>
      </c>
      <c r="T1786">
        <f t="shared" si="199"/>
        <v>441.215595238095</v>
      </c>
      <c r="U1786">
        <f t="shared" si="202"/>
        <v>5308.8</v>
      </c>
      <c r="V1786">
        <f>U1786</f>
        <v>5308.8</v>
      </c>
      <c r="W1786">
        <f t="shared" si="197"/>
        <v>13391.4833333333</v>
      </c>
      <c r="X1786">
        <f t="shared" si="203"/>
        <v>0.365437399962717</v>
      </c>
      <c r="AH1786" t="str">
        <f t="shared" si="200"/>
        <v>3rd Quality</v>
      </c>
      <c r="AJ1786">
        <f>((T1786-X1786)*2)/18.4</f>
        <v>47.9184954171883</v>
      </c>
      <c r="AK1786">
        <f t="shared" si="198"/>
        <v>501662.131785714</v>
      </c>
    </row>
    <row r="1787" spans="1:37">
      <c r="A1787" t="s">
        <v>1851</v>
      </c>
      <c r="B1787">
        <v>24</v>
      </c>
      <c r="C1787" t="s">
        <v>44</v>
      </c>
      <c r="D1787" t="s">
        <v>45</v>
      </c>
      <c r="E1787">
        <v>1096</v>
      </c>
      <c r="F1787">
        <v>48</v>
      </c>
      <c r="G1787">
        <v>4</v>
      </c>
      <c r="H1787">
        <v>691.82</v>
      </c>
      <c r="I1787">
        <v>2907.2</v>
      </c>
      <c r="J1787">
        <v>19</v>
      </c>
      <c r="K1787">
        <v>1</v>
      </c>
      <c r="L1787">
        <v>31.8</v>
      </c>
      <c r="M1787">
        <v>15.2</v>
      </c>
      <c r="N1787" t="s">
        <v>57</v>
      </c>
      <c r="O1787" t="s">
        <v>75</v>
      </c>
      <c r="P1787" t="s">
        <v>58</v>
      </c>
      <c r="R1787">
        <f>SUMIF(A1787:A6786,"C01786",I1787:I6786)</f>
        <v>2907.2</v>
      </c>
      <c r="S1787" s="1">
        <v>2939.66</v>
      </c>
      <c r="T1787">
        <f t="shared" si="199"/>
        <v>153.010526315789</v>
      </c>
      <c r="U1787">
        <f t="shared" si="202"/>
        <v>288.8</v>
      </c>
      <c r="V1787">
        <f>U1787</f>
        <v>288.8</v>
      </c>
      <c r="W1787">
        <f t="shared" si="197"/>
        <v>1200.00666666667</v>
      </c>
      <c r="X1787">
        <f t="shared" si="203"/>
        <v>1.58422711109826</v>
      </c>
      <c r="AH1787" t="str">
        <f t="shared" si="200"/>
        <v>3rd Quality</v>
      </c>
      <c r="AJ1787">
        <f>((T1787-X1787)*2)/31.8</f>
        <v>9.52366661664722</v>
      </c>
      <c r="AK1787">
        <f t="shared" si="198"/>
        <v>167699.536842105</v>
      </c>
    </row>
    <row r="1788" spans="1:37">
      <c r="A1788" t="s">
        <v>1852</v>
      </c>
      <c r="B1788">
        <v>21</v>
      </c>
      <c r="C1788" t="s">
        <v>44</v>
      </c>
      <c r="D1788" t="s">
        <v>51</v>
      </c>
      <c r="E1788">
        <v>1412</v>
      </c>
      <c r="F1788">
        <v>18</v>
      </c>
      <c r="G1788">
        <v>10</v>
      </c>
      <c r="H1788">
        <v>1510.14</v>
      </c>
      <c r="I1788">
        <v>16638.07</v>
      </c>
      <c r="J1788">
        <v>28</v>
      </c>
      <c r="K1788">
        <v>2</v>
      </c>
      <c r="L1788">
        <v>28.3</v>
      </c>
      <c r="M1788">
        <v>32.8</v>
      </c>
      <c r="N1788" t="s">
        <v>57</v>
      </c>
      <c r="O1788" t="s">
        <v>47</v>
      </c>
      <c r="P1788" t="s">
        <v>66</v>
      </c>
      <c r="R1788">
        <f>SUMIF(A1788:A6787,"C01787",I1788:I6787)</f>
        <v>16638.07</v>
      </c>
      <c r="S1788" s="1">
        <v>8265.6</v>
      </c>
      <c r="T1788">
        <f t="shared" si="199"/>
        <v>594.216785714286</v>
      </c>
      <c r="U1788">
        <f t="shared" si="202"/>
        <v>918.4</v>
      </c>
      <c r="V1788">
        <f>U1788</f>
        <v>918.4</v>
      </c>
      <c r="W1788">
        <f t="shared" si="197"/>
        <v>6049.73666666667</v>
      </c>
      <c r="X1788">
        <f t="shared" si="203"/>
        <v>0.935012647833976</v>
      </c>
      <c r="AH1788" t="str">
        <f t="shared" si="200"/>
        <v>3rd Quality</v>
      </c>
      <c r="AJ1788">
        <f>((T1788-X1788)*2)/28.3</f>
        <v>41.9280404993959</v>
      </c>
      <c r="AK1788">
        <f t="shared" si="198"/>
        <v>839034.101428571</v>
      </c>
    </row>
    <row r="1789" spans="1:37">
      <c r="A1789" t="s">
        <v>1853</v>
      </c>
      <c r="B1789">
        <v>32</v>
      </c>
      <c r="C1789" t="s">
        <v>44</v>
      </c>
      <c r="D1789" t="s">
        <v>45</v>
      </c>
      <c r="E1789">
        <v>1380</v>
      </c>
      <c r="F1789">
        <v>33</v>
      </c>
      <c r="G1789">
        <v>6</v>
      </c>
      <c r="H1789">
        <v>477.9</v>
      </c>
      <c r="I1789">
        <v>2939.66</v>
      </c>
      <c r="J1789">
        <v>40</v>
      </c>
      <c r="K1789">
        <v>0</v>
      </c>
      <c r="L1789">
        <v>34.7</v>
      </c>
      <c r="M1789">
        <v>65.7</v>
      </c>
      <c r="N1789" t="s">
        <v>46</v>
      </c>
      <c r="O1789" t="s">
        <v>75</v>
      </c>
      <c r="P1789" t="s">
        <v>48</v>
      </c>
      <c r="R1789">
        <f>SUMIF(A1789:A6788,"C01788",I1789:I6788)</f>
        <v>2939.66</v>
      </c>
      <c r="S1789" s="1">
        <v>25578.82</v>
      </c>
      <c r="T1789">
        <f t="shared" si="199"/>
        <v>73.4915</v>
      </c>
      <c r="U1789">
        <f t="shared" si="202"/>
        <v>2628</v>
      </c>
      <c r="V1789">
        <f t="shared" si="201"/>
        <v>219</v>
      </c>
      <c r="W1789">
        <f t="shared" si="197"/>
        <v>1139.52</v>
      </c>
      <c r="X1789">
        <f t="shared" si="203"/>
        <v>2.88763339610797</v>
      </c>
      <c r="AH1789" t="str">
        <f t="shared" si="200"/>
        <v>3rd Quality</v>
      </c>
      <c r="AJ1789">
        <f>((T1789-X1789)*2)/34.7</f>
        <v>4.06938712414363</v>
      </c>
      <c r="AK1789">
        <f t="shared" si="198"/>
        <v>101418.27</v>
      </c>
    </row>
    <row r="1790" spans="1:37">
      <c r="A1790" t="s">
        <v>1854</v>
      </c>
      <c r="B1790">
        <v>40</v>
      </c>
      <c r="C1790" t="s">
        <v>44</v>
      </c>
      <c r="D1790" t="s">
        <v>45</v>
      </c>
      <c r="E1790">
        <v>745</v>
      </c>
      <c r="F1790">
        <v>81</v>
      </c>
      <c r="G1790">
        <v>7</v>
      </c>
      <c r="H1790">
        <v>1124.49</v>
      </c>
      <c r="I1790">
        <v>8265.6</v>
      </c>
      <c r="J1790">
        <v>55</v>
      </c>
      <c r="K1790">
        <v>0</v>
      </c>
      <c r="L1790">
        <v>35.8</v>
      </c>
      <c r="M1790">
        <v>33.2</v>
      </c>
      <c r="N1790" t="s">
        <v>78</v>
      </c>
      <c r="O1790" t="s">
        <v>47</v>
      </c>
      <c r="P1790" t="s">
        <v>68</v>
      </c>
      <c r="R1790">
        <f>SUMIF(A1790:A6789,"C01789",I1790:I6789)</f>
        <v>8265.6</v>
      </c>
      <c r="S1790" s="1">
        <v>3298.75</v>
      </c>
      <c r="T1790">
        <f t="shared" si="199"/>
        <v>150.283636363636</v>
      </c>
      <c r="U1790">
        <f t="shared" si="202"/>
        <v>1826</v>
      </c>
      <c r="V1790">
        <f t="shared" si="201"/>
        <v>152.166666666667</v>
      </c>
      <c r="W1790">
        <f t="shared" si="197"/>
        <v>3130.36333333333</v>
      </c>
      <c r="X1790">
        <f t="shared" si="203"/>
        <v>0.662522565785378</v>
      </c>
      <c r="AH1790" t="str">
        <f t="shared" si="200"/>
        <v>3rd Quality</v>
      </c>
      <c r="AJ1790">
        <f>((T1790-X1790)*2)/35.8</f>
        <v>8.35872144122071</v>
      </c>
      <c r="AK1790">
        <f t="shared" si="198"/>
        <v>111961.309090909</v>
      </c>
    </row>
    <row r="1791" spans="1:37">
      <c r="A1791" t="s">
        <v>1855</v>
      </c>
      <c r="B1791">
        <v>42</v>
      </c>
      <c r="C1791" t="s">
        <v>44</v>
      </c>
      <c r="D1791" t="s">
        <v>45</v>
      </c>
      <c r="E1791">
        <v>1173</v>
      </c>
      <c r="F1791">
        <v>18</v>
      </c>
      <c r="G1791">
        <v>14</v>
      </c>
      <c r="H1791">
        <v>2023.69</v>
      </c>
      <c r="I1791">
        <v>25578.82</v>
      </c>
      <c r="J1791">
        <v>64</v>
      </c>
      <c r="K1791">
        <v>1</v>
      </c>
      <c r="L1791">
        <v>7.4</v>
      </c>
      <c r="M1791">
        <v>36.6</v>
      </c>
      <c r="N1791" t="s">
        <v>78</v>
      </c>
      <c r="O1791" t="s">
        <v>53</v>
      </c>
      <c r="P1791" t="s">
        <v>58</v>
      </c>
      <c r="R1791">
        <f>SUMIF(A1791:A6790,"C01790",I1791:I6790)</f>
        <v>25578.82</v>
      </c>
      <c r="S1791" s="1">
        <v>18156.19</v>
      </c>
      <c r="T1791">
        <f t="shared" si="199"/>
        <v>399.6690625</v>
      </c>
      <c r="U1791">
        <f t="shared" si="202"/>
        <v>2342.4</v>
      </c>
      <c r="V1791">
        <f>U1791</f>
        <v>2342.4</v>
      </c>
      <c r="W1791">
        <f t="shared" si="197"/>
        <v>9201.17</v>
      </c>
      <c r="X1791">
        <f t="shared" si="203"/>
        <v>0.57963423251585</v>
      </c>
      <c r="AH1791" t="str">
        <f t="shared" si="200"/>
        <v>2nd Quality</v>
      </c>
      <c r="AJ1791" s="3" t="s">
        <v>1856</v>
      </c>
      <c r="AK1791">
        <f t="shared" si="198"/>
        <v>468811.8103125</v>
      </c>
    </row>
    <row r="1792" spans="1:37">
      <c r="A1792" t="s">
        <v>1857</v>
      </c>
      <c r="B1792">
        <v>27</v>
      </c>
      <c r="C1792" t="s">
        <v>50</v>
      </c>
      <c r="D1792" t="s">
        <v>51</v>
      </c>
      <c r="E1792">
        <v>1081</v>
      </c>
      <c r="F1792">
        <v>172</v>
      </c>
      <c r="G1792">
        <v>2</v>
      </c>
      <c r="H1792">
        <v>1608.18</v>
      </c>
      <c r="I1792">
        <v>3298.75</v>
      </c>
      <c r="J1792">
        <v>20</v>
      </c>
      <c r="K1792">
        <v>0</v>
      </c>
      <c r="L1792">
        <v>35.9</v>
      </c>
      <c r="M1792">
        <v>45.6</v>
      </c>
      <c r="N1792" t="s">
        <v>63</v>
      </c>
      <c r="O1792" t="s">
        <v>75</v>
      </c>
      <c r="P1792" t="s">
        <v>58</v>
      </c>
      <c r="R1792">
        <f>SUMIF(A1792:A6791,"C01791",I1792:I6791)</f>
        <v>3298.75</v>
      </c>
      <c r="S1792" s="1">
        <v>87450.77</v>
      </c>
      <c r="T1792">
        <f t="shared" si="199"/>
        <v>164.9375</v>
      </c>
      <c r="U1792">
        <f t="shared" si="202"/>
        <v>912</v>
      </c>
      <c r="V1792">
        <f t="shared" si="201"/>
        <v>76</v>
      </c>
      <c r="W1792">
        <f t="shared" si="197"/>
        <v>1635.97666666667</v>
      </c>
      <c r="X1792">
        <f t="shared" si="203"/>
        <v>0.672188436617791</v>
      </c>
      <c r="AH1792" t="str">
        <f t="shared" si="200"/>
        <v>3rd Quality</v>
      </c>
      <c r="AJ1792">
        <f t="shared" ref="AJ1792:AJ1813" si="204">((T1792-X1792)*2)/28.4</f>
        <v>11.5679796875621</v>
      </c>
      <c r="AK1792">
        <f t="shared" si="198"/>
        <v>178297.4375</v>
      </c>
    </row>
    <row r="1793" spans="1:37">
      <c r="A1793" t="s">
        <v>1858</v>
      </c>
      <c r="B1793">
        <v>53</v>
      </c>
      <c r="C1793" t="s">
        <v>44</v>
      </c>
      <c r="D1793" t="s">
        <v>60</v>
      </c>
      <c r="E1793">
        <v>966</v>
      </c>
      <c r="F1793">
        <v>13</v>
      </c>
      <c r="G1793">
        <v>7</v>
      </c>
      <c r="H1793">
        <v>2672.78</v>
      </c>
      <c r="I1793">
        <v>18156.19</v>
      </c>
      <c r="J1793">
        <v>26</v>
      </c>
      <c r="K1793">
        <v>1</v>
      </c>
      <c r="L1793">
        <v>37.6</v>
      </c>
      <c r="M1793">
        <v>5</v>
      </c>
      <c r="N1793" t="s">
        <v>61</v>
      </c>
      <c r="O1793" t="s">
        <v>47</v>
      </c>
      <c r="P1793" t="s">
        <v>58</v>
      </c>
      <c r="R1793">
        <f>SUMIF(A1793:A6792,"C01792",I1793:I6792)</f>
        <v>18156.19</v>
      </c>
      <c r="S1793" s="1">
        <v>2552.92</v>
      </c>
      <c r="T1793">
        <f t="shared" si="199"/>
        <v>698.315</v>
      </c>
      <c r="U1793">
        <f t="shared" si="202"/>
        <v>130</v>
      </c>
      <c r="V1793">
        <f>U1793</f>
        <v>130</v>
      </c>
      <c r="W1793">
        <f t="shared" si="197"/>
        <v>6943.32333333333</v>
      </c>
      <c r="X1793">
        <f t="shared" si="203"/>
        <v>0.361421441345715</v>
      </c>
      <c r="AH1793" t="str">
        <f t="shared" si="200"/>
        <v>3rd Quality</v>
      </c>
      <c r="AJ1793">
        <f t="shared" si="204"/>
        <v>49.1516604618771</v>
      </c>
      <c r="AK1793">
        <f t="shared" si="198"/>
        <v>674572.29</v>
      </c>
    </row>
    <row r="1794" spans="1:37">
      <c r="A1794" t="s">
        <v>1859</v>
      </c>
      <c r="B1794">
        <v>33</v>
      </c>
      <c r="C1794" t="s">
        <v>50</v>
      </c>
      <c r="D1794" t="s">
        <v>45</v>
      </c>
      <c r="E1794">
        <v>932</v>
      </c>
      <c r="F1794">
        <v>20</v>
      </c>
      <c r="G1794">
        <v>22</v>
      </c>
      <c r="H1794">
        <v>3967.33</v>
      </c>
      <c r="I1794">
        <v>87450.77</v>
      </c>
      <c r="J1794">
        <v>163</v>
      </c>
      <c r="K1794">
        <v>2</v>
      </c>
      <c r="L1794">
        <v>14.6</v>
      </c>
      <c r="M1794">
        <v>11.9</v>
      </c>
      <c r="N1794" t="s">
        <v>78</v>
      </c>
      <c r="O1794" t="s">
        <v>47</v>
      </c>
      <c r="P1794" t="s">
        <v>58</v>
      </c>
      <c r="R1794">
        <f>SUMIF(A1794:A6793,"C01793",I1794:I6793)</f>
        <v>87450.77</v>
      </c>
      <c r="S1794" s="1">
        <v>1502.3</v>
      </c>
      <c r="T1794">
        <f t="shared" si="199"/>
        <v>536.507791411043</v>
      </c>
      <c r="U1794">
        <f t="shared" si="202"/>
        <v>1939.7</v>
      </c>
      <c r="V1794">
        <f>U1794</f>
        <v>1939.7</v>
      </c>
      <c r="W1794">
        <f t="shared" si="197"/>
        <v>30473.0333333333</v>
      </c>
      <c r="X1794">
        <f t="shared" si="203"/>
        <v>0.234918698469752</v>
      </c>
      <c r="AH1794" t="str">
        <f t="shared" si="200"/>
        <v>1st Quality</v>
      </c>
      <c r="AJ1794">
        <f t="shared" si="204"/>
        <v>37.7656952614488</v>
      </c>
      <c r="AK1794">
        <f t="shared" si="198"/>
        <v>500025.261595092</v>
      </c>
    </row>
    <row r="1795" spans="1:37">
      <c r="A1795" t="s">
        <v>1860</v>
      </c>
      <c r="B1795">
        <v>18</v>
      </c>
      <c r="C1795" t="s">
        <v>44</v>
      </c>
      <c r="D1795" t="s">
        <v>60</v>
      </c>
      <c r="E1795">
        <v>1349</v>
      </c>
      <c r="F1795">
        <v>96</v>
      </c>
      <c r="G1795">
        <v>3</v>
      </c>
      <c r="H1795">
        <v>887.93</v>
      </c>
      <c r="I1795">
        <v>2552.92</v>
      </c>
      <c r="J1795">
        <v>14</v>
      </c>
      <c r="K1795">
        <v>0</v>
      </c>
      <c r="L1795">
        <v>23.3</v>
      </c>
      <c r="M1795">
        <v>19.9</v>
      </c>
      <c r="N1795" t="s">
        <v>61</v>
      </c>
      <c r="O1795" t="s">
        <v>47</v>
      </c>
      <c r="P1795" t="s">
        <v>66</v>
      </c>
      <c r="R1795">
        <f>SUMIF(A1795:A6794,"C01794",I1795:I6794)</f>
        <v>2552.92</v>
      </c>
      <c r="S1795" s="1">
        <v>15706.71</v>
      </c>
      <c r="T1795">
        <f t="shared" si="199"/>
        <v>182.351428571429</v>
      </c>
      <c r="U1795">
        <f t="shared" si="202"/>
        <v>278.6</v>
      </c>
      <c r="V1795">
        <f t="shared" ref="V1793:V1856" si="205">U1795/12</f>
        <v>23.2166666666667</v>
      </c>
      <c r="W1795">
        <f t="shared" ref="W1795:W1858" si="206">(H1795+I1795+1)/3</f>
        <v>1147.28333333333</v>
      </c>
      <c r="X1795">
        <f t="shared" si="203"/>
        <v>1.51926390593853</v>
      </c>
      <c r="AH1795" t="str">
        <f t="shared" si="200"/>
        <v>3rd Quality</v>
      </c>
      <c r="AJ1795">
        <f t="shared" si="204"/>
        <v>12.7346594834852</v>
      </c>
      <c r="AK1795">
        <f t="shared" ref="AK1795:AK1858" si="207">I1795/J1795*E1795</f>
        <v>245992.077142857</v>
      </c>
    </row>
    <row r="1796" spans="1:37">
      <c r="A1796" t="s">
        <v>1861</v>
      </c>
      <c r="B1796">
        <v>36</v>
      </c>
      <c r="C1796" t="s">
        <v>50</v>
      </c>
      <c r="D1796" t="s">
        <v>60</v>
      </c>
      <c r="E1796">
        <v>1364</v>
      </c>
      <c r="F1796">
        <v>28</v>
      </c>
      <c r="G1796">
        <v>1</v>
      </c>
      <c r="H1796">
        <v>1583.14</v>
      </c>
      <c r="I1796">
        <v>1502.3</v>
      </c>
      <c r="J1796">
        <v>13</v>
      </c>
      <c r="K1796">
        <v>0</v>
      </c>
      <c r="L1796">
        <v>20</v>
      </c>
      <c r="M1796">
        <v>17.8</v>
      </c>
      <c r="N1796" t="s">
        <v>78</v>
      </c>
      <c r="O1796" t="s">
        <v>47</v>
      </c>
      <c r="P1796" t="s">
        <v>58</v>
      </c>
      <c r="R1796">
        <f>SUMIF(A1796:A6795,"C01795",I1796:I6795)</f>
        <v>1502.3</v>
      </c>
      <c r="S1796" s="1">
        <v>11251.88</v>
      </c>
      <c r="T1796">
        <f t="shared" si="199"/>
        <v>115.561538461538</v>
      </c>
      <c r="U1796">
        <f t="shared" si="202"/>
        <v>231.4</v>
      </c>
      <c r="V1796">
        <f t="shared" si="205"/>
        <v>19.2833333333333</v>
      </c>
      <c r="W1796">
        <f t="shared" si="206"/>
        <v>1028.81333333333</v>
      </c>
      <c r="X1796">
        <f t="shared" si="203"/>
        <v>0.861578887527319</v>
      </c>
      <c r="AH1796" t="str">
        <f t="shared" si="200"/>
        <v>3rd Quality</v>
      </c>
      <c r="AJ1796">
        <f t="shared" si="204"/>
        <v>8.07746194183174</v>
      </c>
      <c r="AK1796">
        <f t="shared" si="207"/>
        <v>157625.938461538</v>
      </c>
    </row>
    <row r="1797" spans="1:37">
      <c r="A1797" t="s">
        <v>1862</v>
      </c>
      <c r="B1797">
        <v>33</v>
      </c>
      <c r="C1797" t="s">
        <v>50</v>
      </c>
      <c r="D1797" t="s">
        <v>51</v>
      </c>
      <c r="E1797">
        <v>1352</v>
      </c>
      <c r="F1797">
        <v>58</v>
      </c>
      <c r="G1797">
        <v>11</v>
      </c>
      <c r="H1797">
        <v>1325.83</v>
      </c>
      <c r="I1797">
        <v>15706.71</v>
      </c>
      <c r="J1797">
        <v>85</v>
      </c>
      <c r="K1797">
        <v>1</v>
      </c>
      <c r="L1797">
        <v>8.3</v>
      </c>
      <c r="M1797">
        <v>48</v>
      </c>
      <c r="N1797" t="s">
        <v>46</v>
      </c>
      <c r="O1797" t="s">
        <v>75</v>
      </c>
      <c r="P1797" t="s">
        <v>68</v>
      </c>
      <c r="R1797">
        <f>SUMIF(A1797:A6796,"C01796",I1797:I6796)</f>
        <v>15706.71</v>
      </c>
      <c r="S1797" s="1">
        <v>7884.58</v>
      </c>
      <c r="T1797">
        <f t="shared" si="199"/>
        <v>184.784823529412</v>
      </c>
      <c r="U1797">
        <f t="shared" si="202"/>
        <v>4080</v>
      </c>
      <c r="V1797">
        <f>U1797</f>
        <v>4080</v>
      </c>
      <c r="W1797">
        <f t="shared" si="206"/>
        <v>5677.84666666667</v>
      </c>
      <c r="X1797">
        <f t="shared" si="203"/>
        <v>1.01973857885249</v>
      </c>
      <c r="AH1797" t="str">
        <f t="shared" si="200"/>
        <v>3rd Quality</v>
      </c>
      <c r="AJ1797">
        <f t="shared" si="204"/>
        <v>12.9412031655324</v>
      </c>
      <c r="AK1797">
        <f t="shared" si="207"/>
        <v>249829.081411765</v>
      </c>
    </row>
    <row r="1798" spans="1:37">
      <c r="A1798" t="s">
        <v>1863</v>
      </c>
      <c r="B1798">
        <v>31</v>
      </c>
      <c r="C1798" t="s">
        <v>44</v>
      </c>
      <c r="D1798" t="s">
        <v>60</v>
      </c>
      <c r="E1798">
        <v>703</v>
      </c>
      <c r="F1798">
        <v>62</v>
      </c>
      <c r="G1798">
        <v>1</v>
      </c>
      <c r="H1798">
        <v>11098.4</v>
      </c>
      <c r="I1798">
        <v>11251.88</v>
      </c>
      <c r="J1798">
        <v>11</v>
      </c>
      <c r="K1798">
        <v>0</v>
      </c>
      <c r="L1798">
        <v>10.9</v>
      </c>
      <c r="M1798">
        <v>52.4</v>
      </c>
      <c r="N1798" t="s">
        <v>78</v>
      </c>
      <c r="O1798" t="s">
        <v>53</v>
      </c>
      <c r="P1798" t="s">
        <v>54</v>
      </c>
      <c r="R1798">
        <f>SUMIF(A1798:A6797,"C01797",I1798:I6797)</f>
        <v>11251.88</v>
      </c>
      <c r="S1798" s="1">
        <v>58714.11</v>
      </c>
      <c r="T1798">
        <f t="shared" si="199"/>
        <v>1022.89818181818</v>
      </c>
      <c r="U1798">
        <f t="shared" si="202"/>
        <v>576.4</v>
      </c>
      <c r="V1798">
        <f t="shared" si="205"/>
        <v>48.0333333333333</v>
      </c>
      <c r="W1798">
        <f t="shared" si="206"/>
        <v>7450.42666666667</v>
      </c>
      <c r="X1798">
        <f t="shared" si="203"/>
        <v>0.0633424637785627</v>
      </c>
      <c r="AH1798" t="str">
        <f t="shared" si="200"/>
        <v>2nd Quality</v>
      </c>
      <c r="AJ1798">
        <f t="shared" si="204"/>
        <v>72.0306224897466</v>
      </c>
      <c r="AK1798">
        <f t="shared" si="207"/>
        <v>719097.421818182</v>
      </c>
    </row>
    <row r="1799" spans="1:37">
      <c r="A1799" t="s">
        <v>1864</v>
      </c>
      <c r="B1799">
        <v>36</v>
      </c>
      <c r="C1799" t="s">
        <v>101</v>
      </c>
      <c r="D1799" t="s">
        <v>45</v>
      </c>
      <c r="E1799">
        <v>753</v>
      </c>
      <c r="F1799">
        <v>23</v>
      </c>
      <c r="G1799">
        <v>6</v>
      </c>
      <c r="H1799">
        <v>1396.83</v>
      </c>
      <c r="I1799">
        <v>7884.58</v>
      </c>
      <c r="J1799">
        <v>46</v>
      </c>
      <c r="K1799">
        <v>0</v>
      </c>
      <c r="L1799">
        <v>10.3</v>
      </c>
      <c r="M1799">
        <v>39.9</v>
      </c>
      <c r="N1799" t="s">
        <v>46</v>
      </c>
      <c r="O1799" t="s">
        <v>47</v>
      </c>
      <c r="P1799" t="s">
        <v>58</v>
      </c>
      <c r="R1799">
        <f>SUMIF(A1799:A6798,"C01798",I1799:I6798)</f>
        <v>7884.58</v>
      </c>
      <c r="S1799" s="1">
        <v>12035.35</v>
      </c>
      <c r="T1799">
        <f t="shared" si="199"/>
        <v>171.403913043478</v>
      </c>
      <c r="U1799">
        <f t="shared" si="202"/>
        <v>1835.4</v>
      </c>
      <c r="V1799">
        <f t="shared" si="205"/>
        <v>152.95</v>
      </c>
      <c r="W1799">
        <f t="shared" si="206"/>
        <v>3094.13666666667</v>
      </c>
      <c r="X1799">
        <f t="shared" si="203"/>
        <v>0.539077768948261</v>
      </c>
      <c r="AH1799" t="str">
        <f t="shared" si="200"/>
        <v>3rd Quality</v>
      </c>
      <c r="AJ1799">
        <f t="shared" si="204"/>
        <v>12.032734878488</v>
      </c>
      <c r="AK1799">
        <f t="shared" si="207"/>
        <v>129067.146521739</v>
      </c>
    </row>
    <row r="1800" spans="1:37">
      <c r="A1800" t="s">
        <v>1865</v>
      </c>
      <c r="B1800">
        <v>37</v>
      </c>
      <c r="C1800" t="s">
        <v>44</v>
      </c>
      <c r="D1800" t="s">
        <v>60</v>
      </c>
      <c r="E1800">
        <v>467</v>
      </c>
      <c r="F1800">
        <v>30</v>
      </c>
      <c r="G1800">
        <v>4</v>
      </c>
      <c r="H1800">
        <v>13795.46</v>
      </c>
      <c r="I1800">
        <v>58714.11</v>
      </c>
      <c r="J1800">
        <v>29</v>
      </c>
      <c r="K1800">
        <v>0</v>
      </c>
      <c r="L1800">
        <v>11</v>
      </c>
      <c r="M1800">
        <v>60.7</v>
      </c>
      <c r="N1800" t="s">
        <v>57</v>
      </c>
      <c r="O1800" t="s">
        <v>47</v>
      </c>
      <c r="P1800" t="s">
        <v>66</v>
      </c>
      <c r="R1800">
        <f>SUMIF(A1800:A6799,"C01799",I1800:I6799)</f>
        <v>58714.11</v>
      </c>
      <c r="S1800" s="1">
        <v>80679.35</v>
      </c>
      <c r="T1800">
        <f t="shared" si="199"/>
        <v>2024.62448275862</v>
      </c>
      <c r="U1800">
        <f t="shared" si="202"/>
        <v>1760.3</v>
      </c>
      <c r="V1800">
        <f t="shared" si="205"/>
        <v>146.691666666667</v>
      </c>
      <c r="W1800">
        <f t="shared" si="206"/>
        <v>24170.19</v>
      </c>
      <c r="X1800">
        <f t="shared" si="203"/>
        <v>0.0338517164342472</v>
      </c>
      <c r="AH1800" t="str">
        <f t="shared" si="200"/>
        <v>2nd Quality</v>
      </c>
      <c r="AJ1800">
        <f t="shared" si="204"/>
        <v>142.576805002971</v>
      </c>
      <c r="AK1800">
        <f t="shared" si="207"/>
        <v>945499.633448276</v>
      </c>
    </row>
    <row r="1801" spans="1:37">
      <c r="A1801" t="s">
        <v>1866</v>
      </c>
      <c r="B1801">
        <v>24</v>
      </c>
      <c r="C1801" t="s">
        <v>44</v>
      </c>
      <c r="D1801" t="s">
        <v>51</v>
      </c>
      <c r="E1801">
        <v>1248</v>
      </c>
      <c r="F1801">
        <v>25</v>
      </c>
      <c r="G1801">
        <v>2</v>
      </c>
      <c r="H1801">
        <v>6701.55</v>
      </c>
      <c r="I1801">
        <v>12035.35</v>
      </c>
      <c r="J1801">
        <v>13</v>
      </c>
      <c r="K1801">
        <v>0</v>
      </c>
      <c r="L1801">
        <v>5.7</v>
      </c>
      <c r="M1801">
        <v>14.5</v>
      </c>
      <c r="N1801" t="s">
        <v>61</v>
      </c>
      <c r="O1801" t="s">
        <v>53</v>
      </c>
      <c r="P1801" t="s">
        <v>48</v>
      </c>
      <c r="R1801">
        <f>SUMIF(A1801:A6800,"C01800",I1801:I6800)</f>
        <v>12035.35</v>
      </c>
      <c r="S1801" s="1">
        <v>38862.91</v>
      </c>
      <c r="T1801">
        <f t="shared" si="199"/>
        <v>925.796153846154</v>
      </c>
      <c r="U1801">
        <f t="shared" si="202"/>
        <v>188.5</v>
      </c>
      <c r="V1801">
        <f t="shared" si="205"/>
        <v>15.7083333333333</v>
      </c>
      <c r="W1801">
        <f t="shared" si="206"/>
        <v>6245.96666666667</v>
      </c>
      <c r="X1801">
        <f t="shared" si="203"/>
        <v>0.186225574680484</v>
      </c>
      <c r="AH1801" t="str">
        <f t="shared" si="200"/>
        <v>3rd Quality</v>
      </c>
      <c r="AJ1801">
        <f t="shared" si="204"/>
        <v>65.1837977655967</v>
      </c>
      <c r="AK1801">
        <f t="shared" si="207"/>
        <v>1155393.6</v>
      </c>
    </row>
    <row r="1802" spans="1:37">
      <c r="A1802" t="s">
        <v>1867</v>
      </c>
      <c r="B1802">
        <v>23</v>
      </c>
      <c r="C1802" t="s">
        <v>50</v>
      </c>
      <c r="D1802" t="s">
        <v>60</v>
      </c>
      <c r="E1802">
        <v>1120</v>
      </c>
      <c r="F1802">
        <v>32</v>
      </c>
      <c r="G1802">
        <v>5</v>
      </c>
      <c r="H1802">
        <v>16978.76</v>
      </c>
      <c r="I1802">
        <v>80679.35</v>
      </c>
      <c r="J1802">
        <v>43</v>
      </c>
      <c r="K1802">
        <v>0</v>
      </c>
      <c r="L1802">
        <v>13</v>
      </c>
      <c r="M1802">
        <v>24.1</v>
      </c>
      <c r="N1802" t="s">
        <v>46</v>
      </c>
      <c r="O1802" t="s">
        <v>75</v>
      </c>
      <c r="P1802" t="s">
        <v>58</v>
      </c>
      <c r="R1802">
        <f>SUMIF(A1802:A6801,"C01801",I1802:I6801)</f>
        <v>80679.35</v>
      </c>
      <c r="S1802" s="1">
        <v>55592.98</v>
      </c>
      <c r="T1802">
        <f t="shared" si="199"/>
        <v>1876.26395348837</v>
      </c>
      <c r="U1802">
        <f t="shared" si="202"/>
        <v>1036.3</v>
      </c>
      <c r="V1802">
        <f t="shared" si="205"/>
        <v>86.3583333333333</v>
      </c>
      <c r="W1802">
        <f t="shared" si="206"/>
        <v>32553.0366666667</v>
      </c>
      <c r="X1802">
        <f t="shared" si="203"/>
        <v>0.0659647701009968</v>
      </c>
      <c r="AH1802" t="str">
        <f t="shared" si="200"/>
        <v>1st Quality</v>
      </c>
      <c r="AJ1802">
        <f t="shared" si="204"/>
        <v>132.126618923822</v>
      </c>
      <c r="AK1802">
        <f t="shared" si="207"/>
        <v>2101415.62790698</v>
      </c>
    </row>
    <row r="1803" spans="1:37">
      <c r="A1803" t="s">
        <v>1868</v>
      </c>
      <c r="B1803">
        <v>23</v>
      </c>
      <c r="C1803" t="s">
        <v>50</v>
      </c>
      <c r="D1803" t="s">
        <v>45</v>
      </c>
      <c r="E1803">
        <v>1441</v>
      </c>
      <c r="F1803">
        <v>24</v>
      </c>
      <c r="G1803">
        <v>5</v>
      </c>
      <c r="H1803">
        <v>8090.43</v>
      </c>
      <c r="I1803">
        <v>38862.91</v>
      </c>
      <c r="J1803">
        <v>43</v>
      </c>
      <c r="K1803">
        <v>1</v>
      </c>
      <c r="L1803">
        <v>6.3</v>
      </c>
      <c r="M1803">
        <v>22.1</v>
      </c>
      <c r="N1803" t="s">
        <v>46</v>
      </c>
      <c r="O1803" t="s">
        <v>75</v>
      </c>
      <c r="P1803" t="s">
        <v>58</v>
      </c>
      <c r="R1803">
        <f>SUMIF(A1803:A6802,"C01802",I1803:I6802)</f>
        <v>38862.91</v>
      </c>
      <c r="S1803" s="1">
        <v>6334.9</v>
      </c>
      <c r="T1803">
        <f t="shared" si="199"/>
        <v>903.788604651163</v>
      </c>
      <c r="U1803">
        <f t="shared" si="202"/>
        <v>950.3</v>
      </c>
      <c r="V1803">
        <f>U1803</f>
        <v>950.3</v>
      </c>
      <c r="W1803">
        <f t="shared" si="206"/>
        <v>15651.4466666667</v>
      </c>
      <c r="X1803">
        <f t="shared" si="203"/>
        <v>0.178111670207888</v>
      </c>
      <c r="AH1803" t="str">
        <f t="shared" si="200"/>
        <v>1st Quality</v>
      </c>
      <c r="AJ1803">
        <f t="shared" si="204"/>
        <v>63.6345417592222</v>
      </c>
      <c r="AK1803">
        <f t="shared" si="207"/>
        <v>1302359.37930233</v>
      </c>
    </row>
    <row r="1804" spans="1:37">
      <c r="A1804" t="s">
        <v>1869</v>
      </c>
      <c r="B1804">
        <v>56</v>
      </c>
      <c r="C1804" t="s">
        <v>44</v>
      </c>
      <c r="D1804" t="s">
        <v>45</v>
      </c>
      <c r="E1804">
        <v>1173</v>
      </c>
      <c r="F1804">
        <v>11</v>
      </c>
      <c r="G1804">
        <v>25</v>
      </c>
      <c r="H1804">
        <v>2410.22</v>
      </c>
      <c r="I1804">
        <v>55592.98</v>
      </c>
      <c r="J1804">
        <v>113</v>
      </c>
      <c r="K1804">
        <v>1</v>
      </c>
      <c r="L1804">
        <v>18.9</v>
      </c>
      <c r="M1804">
        <v>34.1</v>
      </c>
      <c r="N1804" t="s">
        <v>52</v>
      </c>
      <c r="O1804" t="s">
        <v>75</v>
      </c>
      <c r="P1804" t="s">
        <v>66</v>
      </c>
      <c r="R1804">
        <f>SUMIF(A1804:A6803,"C01803",I1804:I6803)</f>
        <v>55592.98</v>
      </c>
      <c r="S1804" s="1">
        <v>3123.86</v>
      </c>
      <c r="T1804">
        <f t="shared" si="199"/>
        <v>491.973274336283</v>
      </c>
      <c r="U1804">
        <f t="shared" si="202"/>
        <v>3853.3</v>
      </c>
      <c r="V1804">
        <f>U1804</f>
        <v>3853.3</v>
      </c>
      <c r="W1804">
        <f t="shared" si="206"/>
        <v>19334.7333333333</v>
      </c>
      <c r="X1804">
        <f t="shared" si="203"/>
        <v>0.486677564703637</v>
      </c>
      <c r="AH1804" t="str">
        <f t="shared" si="200"/>
        <v>3rd Quality</v>
      </c>
      <c r="AJ1804">
        <f t="shared" si="204"/>
        <v>34.6117321670126</v>
      </c>
      <c r="AK1804">
        <f t="shared" si="207"/>
        <v>577084.65079646</v>
      </c>
    </row>
    <row r="1805" spans="1:37">
      <c r="A1805" t="s">
        <v>1870</v>
      </c>
      <c r="B1805">
        <v>31</v>
      </c>
      <c r="C1805" t="s">
        <v>44</v>
      </c>
      <c r="D1805" t="s">
        <v>45</v>
      </c>
      <c r="E1805">
        <v>595</v>
      </c>
      <c r="F1805">
        <v>7</v>
      </c>
      <c r="G1805">
        <v>6</v>
      </c>
      <c r="H1805">
        <v>975.58</v>
      </c>
      <c r="I1805">
        <v>6334.9</v>
      </c>
      <c r="J1805">
        <v>58</v>
      </c>
      <c r="K1805">
        <v>0</v>
      </c>
      <c r="L1805">
        <v>33</v>
      </c>
      <c r="M1805">
        <v>22.1</v>
      </c>
      <c r="N1805" t="s">
        <v>46</v>
      </c>
      <c r="O1805" t="s">
        <v>47</v>
      </c>
      <c r="P1805" t="s">
        <v>58</v>
      </c>
      <c r="R1805">
        <f>SUMIF(A1805:A6804,"C01804",I1805:I6804)</f>
        <v>6334.9</v>
      </c>
      <c r="S1805" s="1">
        <v>1371.92</v>
      </c>
      <c r="T1805">
        <f t="shared" si="199"/>
        <v>109.222413793103</v>
      </c>
      <c r="U1805">
        <f t="shared" si="202"/>
        <v>1281.8</v>
      </c>
      <c r="V1805">
        <f t="shared" si="205"/>
        <v>106.816666666667</v>
      </c>
      <c r="W1805">
        <f t="shared" si="206"/>
        <v>2437.16</v>
      </c>
      <c r="X1805">
        <f t="shared" si="203"/>
        <v>0.609893601754854</v>
      </c>
      <c r="AH1805" t="str">
        <f t="shared" si="200"/>
        <v>3rd Quality</v>
      </c>
      <c r="AJ1805">
        <f t="shared" si="204"/>
        <v>7.64876902755973</v>
      </c>
      <c r="AK1805">
        <f t="shared" si="207"/>
        <v>64987.3362068966</v>
      </c>
    </row>
    <row r="1806" spans="1:37">
      <c r="A1806" t="s">
        <v>1871</v>
      </c>
      <c r="B1806">
        <v>46</v>
      </c>
      <c r="C1806" t="s">
        <v>44</v>
      </c>
      <c r="D1806" t="s">
        <v>60</v>
      </c>
      <c r="E1806">
        <v>691</v>
      </c>
      <c r="F1806">
        <v>58</v>
      </c>
      <c r="G1806">
        <v>3</v>
      </c>
      <c r="H1806">
        <v>999.57</v>
      </c>
      <c r="I1806">
        <v>3123.86</v>
      </c>
      <c r="J1806">
        <v>35</v>
      </c>
      <c r="K1806">
        <v>0</v>
      </c>
      <c r="L1806">
        <v>36.7</v>
      </c>
      <c r="M1806">
        <v>6.7</v>
      </c>
      <c r="N1806" t="s">
        <v>81</v>
      </c>
      <c r="O1806" t="s">
        <v>47</v>
      </c>
      <c r="P1806" t="s">
        <v>58</v>
      </c>
      <c r="R1806">
        <f>SUMIF(A1806:A6805,"C01805",I1806:I6805)</f>
        <v>3123.86</v>
      </c>
      <c r="S1806" s="1">
        <v>70840.46</v>
      </c>
      <c r="T1806">
        <f t="shared" ref="T1806:T1869" si="208">I1806/J1806</f>
        <v>89.2531428571429</v>
      </c>
      <c r="U1806">
        <f t="shared" si="202"/>
        <v>234.5</v>
      </c>
      <c r="V1806">
        <f t="shared" si="205"/>
        <v>19.5416666666667</v>
      </c>
      <c r="W1806">
        <f t="shared" si="206"/>
        <v>1374.81</v>
      </c>
      <c r="X1806">
        <f t="shared" si="203"/>
        <v>0.691297257820863</v>
      </c>
      <c r="AH1806" t="str">
        <f t="shared" ref="AH1806:AH1869" si="209">IF(AND(W1806&gt;=12550,B1806&lt;=33,E1806&gt;=915),"1st Quality",IF(AND(W1806&gt;=6275,B1806&lt;=43,E1806&gt;=457),"2nd Quality","3rd Quality"))</f>
        <v>3rd Quality</v>
      </c>
      <c r="AJ1806">
        <f t="shared" si="204"/>
        <v>6.2367496900931</v>
      </c>
      <c r="AK1806">
        <f t="shared" si="207"/>
        <v>61673.9217142857</v>
      </c>
    </row>
    <row r="1807" spans="1:37">
      <c r="A1807" t="s">
        <v>1872</v>
      </c>
      <c r="B1807">
        <v>47</v>
      </c>
      <c r="C1807" t="s">
        <v>44</v>
      </c>
      <c r="D1807" t="s">
        <v>51</v>
      </c>
      <c r="E1807">
        <v>803</v>
      </c>
      <c r="F1807">
        <v>84</v>
      </c>
      <c r="G1807">
        <v>3</v>
      </c>
      <c r="H1807">
        <v>439.35</v>
      </c>
      <c r="I1807">
        <v>1371.92</v>
      </c>
      <c r="J1807">
        <v>19</v>
      </c>
      <c r="K1807">
        <v>0</v>
      </c>
      <c r="L1807">
        <v>26.3</v>
      </c>
      <c r="M1807">
        <v>27.6</v>
      </c>
      <c r="N1807" t="s">
        <v>46</v>
      </c>
      <c r="O1807" t="s">
        <v>53</v>
      </c>
      <c r="P1807" t="s">
        <v>68</v>
      </c>
      <c r="R1807">
        <f>SUMIF(A1807:A6806,"C01806",I1807:I6806)</f>
        <v>1371.92</v>
      </c>
      <c r="S1807" s="1">
        <v>5741.16</v>
      </c>
      <c r="T1807">
        <f t="shared" si="208"/>
        <v>72.2063157894737</v>
      </c>
      <c r="U1807">
        <f t="shared" si="202"/>
        <v>524.4</v>
      </c>
      <c r="V1807">
        <f t="shared" si="205"/>
        <v>43.7</v>
      </c>
      <c r="W1807">
        <f t="shared" si="206"/>
        <v>604.09</v>
      </c>
      <c r="X1807">
        <f t="shared" si="203"/>
        <v>1.82770001138045</v>
      </c>
      <c r="AH1807" t="str">
        <f t="shared" si="209"/>
        <v>3rd Quality</v>
      </c>
      <c r="AJ1807">
        <f t="shared" si="204"/>
        <v>4.95624054775305</v>
      </c>
      <c r="AK1807">
        <f t="shared" si="207"/>
        <v>57981.6715789474</v>
      </c>
    </row>
    <row r="1808" spans="1:37">
      <c r="A1808" t="s">
        <v>1873</v>
      </c>
      <c r="B1808">
        <v>29</v>
      </c>
      <c r="C1808" t="s">
        <v>50</v>
      </c>
      <c r="D1808" t="s">
        <v>60</v>
      </c>
      <c r="E1808">
        <v>1197</v>
      </c>
      <c r="F1808">
        <v>15</v>
      </c>
      <c r="G1808">
        <v>26</v>
      </c>
      <c r="H1808">
        <v>2665.33</v>
      </c>
      <c r="I1808">
        <v>70840.46</v>
      </c>
      <c r="J1808">
        <v>167</v>
      </c>
      <c r="K1808">
        <v>4</v>
      </c>
      <c r="L1808">
        <v>5.9</v>
      </c>
      <c r="M1808">
        <v>72.6</v>
      </c>
      <c r="N1808" t="s">
        <v>63</v>
      </c>
      <c r="O1808" t="s">
        <v>75</v>
      </c>
      <c r="P1808" t="s">
        <v>58</v>
      </c>
      <c r="R1808">
        <f>SUMIF(A1808:A6807,"C01807",I1808:I6807)</f>
        <v>70840.46</v>
      </c>
      <c r="S1808" s="1">
        <v>11925.57</v>
      </c>
      <c r="T1808">
        <f t="shared" si="208"/>
        <v>424.194371257485</v>
      </c>
      <c r="U1808">
        <f t="shared" si="202"/>
        <v>12124.2</v>
      </c>
      <c r="V1808">
        <f>U1808</f>
        <v>12124.2</v>
      </c>
      <c r="W1808">
        <f t="shared" si="206"/>
        <v>24502.2633333333</v>
      </c>
      <c r="X1808">
        <f t="shared" si="203"/>
        <v>0.449100111430855</v>
      </c>
      <c r="AH1808" t="str">
        <f t="shared" si="209"/>
        <v>1st Quality</v>
      </c>
      <c r="AJ1808">
        <f t="shared" si="204"/>
        <v>29.8412162778911</v>
      </c>
      <c r="AK1808">
        <f t="shared" si="207"/>
        <v>507760.66239521</v>
      </c>
    </row>
    <row r="1809" spans="1:37">
      <c r="A1809" t="s">
        <v>1874</v>
      </c>
      <c r="B1809">
        <v>39</v>
      </c>
      <c r="C1809" t="s">
        <v>44</v>
      </c>
      <c r="D1809" t="s">
        <v>45</v>
      </c>
      <c r="E1809">
        <v>823</v>
      </c>
      <c r="F1809">
        <v>3</v>
      </c>
      <c r="G1809">
        <v>10</v>
      </c>
      <c r="H1809">
        <v>591.39</v>
      </c>
      <c r="I1809">
        <v>5741.16</v>
      </c>
      <c r="J1809">
        <v>73</v>
      </c>
      <c r="K1809">
        <v>2</v>
      </c>
      <c r="L1809">
        <v>12.2</v>
      </c>
      <c r="M1809">
        <v>43.9</v>
      </c>
      <c r="N1809" t="s">
        <v>78</v>
      </c>
      <c r="O1809" t="s">
        <v>47</v>
      </c>
      <c r="P1809" t="s">
        <v>58</v>
      </c>
      <c r="R1809">
        <f>SUMIF(A1809:A6808,"C01808",I1809:I6808)</f>
        <v>5741.16</v>
      </c>
      <c r="S1809" s="1">
        <v>53177.57</v>
      </c>
      <c r="T1809">
        <f t="shared" si="208"/>
        <v>78.6460273972603</v>
      </c>
      <c r="U1809">
        <f t="shared" si="202"/>
        <v>3204.7</v>
      </c>
      <c r="V1809">
        <f>U1809</f>
        <v>3204.7</v>
      </c>
      <c r="W1809">
        <f t="shared" si="206"/>
        <v>2111.18333333333</v>
      </c>
      <c r="X1809">
        <f t="shared" si="203"/>
        <v>1.39163665263194</v>
      </c>
      <c r="AH1809" t="str">
        <f t="shared" si="209"/>
        <v>3rd Quality</v>
      </c>
      <c r="AJ1809">
        <f t="shared" si="204"/>
        <v>5.44045005243862</v>
      </c>
      <c r="AK1809">
        <f t="shared" si="207"/>
        <v>64725.6805479452</v>
      </c>
    </row>
    <row r="1810" spans="1:37">
      <c r="A1810" t="s">
        <v>1875</v>
      </c>
      <c r="B1810">
        <v>41</v>
      </c>
      <c r="C1810" t="s">
        <v>44</v>
      </c>
      <c r="D1810" t="s">
        <v>45</v>
      </c>
      <c r="E1810">
        <v>1425</v>
      </c>
      <c r="F1810">
        <v>75</v>
      </c>
      <c r="G1810">
        <v>11</v>
      </c>
      <c r="H1810">
        <v>1044.29</v>
      </c>
      <c r="I1810">
        <v>11925.57</v>
      </c>
      <c r="J1810">
        <v>31</v>
      </c>
      <c r="K1810">
        <v>4</v>
      </c>
      <c r="L1810">
        <v>14</v>
      </c>
      <c r="M1810">
        <v>6.5</v>
      </c>
      <c r="N1810" t="s">
        <v>46</v>
      </c>
      <c r="O1810" t="s">
        <v>47</v>
      </c>
      <c r="P1810" t="s">
        <v>48</v>
      </c>
      <c r="R1810">
        <f>SUMIF(A1810:A6809,"C01809",I1810:I6809)</f>
        <v>11925.57</v>
      </c>
      <c r="S1810" s="1">
        <v>19831.76</v>
      </c>
      <c r="T1810">
        <f t="shared" si="208"/>
        <v>384.695806451613</v>
      </c>
      <c r="U1810">
        <f t="shared" si="202"/>
        <v>201.5</v>
      </c>
      <c r="V1810">
        <f>U1810</f>
        <v>201.5</v>
      </c>
      <c r="W1810">
        <f t="shared" si="206"/>
        <v>4323.62</v>
      </c>
      <c r="X1810">
        <f t="shared" si="203"/>
        <v>1.3645634833236</v>
      </c>
      <c r="AH1810" t="str">
        <f t="shared" si="209"/>
        <v>3rd Quality</v>
      </c>
      <c r="AJ1810">
        <f t="shared" si="204"/>
        <v>26.9951579555133</v>
      </c>
      <c r="AK1810">
        <f t="shared" si="207"/>
        <v>548191.524193548</v>
      </c>
    </row>
    <row r="1811" spans="1:37">
      <c r="A1811" t="s">
        <v>1876</v>
      </c>
      <c r="B1811">
        <v>24</v>
      </c>
      <c r="C1811" t="s">
        <v>50</v>
      </c>
      <c r="D1811" t="s">
        <v>60</v>
      </c>
      <c r="E1811">
        <v>1036</v>
      </c>
      <c r="F1811">
        <v>10</v>
      </c>
      <c r="G1811">
        <v>20</v>
      </c>
      <c r="H1811">
        <v>2516.19</v>
      </c>
      <c r="I1811">
        <v>53177.57</v>
      </c>
      <c r="J1811">
        <v>49</v>
      </c>
      <c r="K1811">
        <v>2</v>
      </c>
      <c r="L1811">
        <v>9.7</v>
      </c>
      <c r="M1811">
        <v>24.5</v>
      </c>
      <c r="N1811" t="s">
        <v>61</v>
      </c>
      <c r="O1811" t="s">
        <v>47</v>
      </c>
      <c r="P1811" t="s">
        <v>58</v>
      </c>
      <c r="R1811">
        <f>SUMIF(A1811:A6810,"C01810",I1811:I6810)</f>
        <v>53177.57</v>
      </c>
      <c r="S1811" s="1">
        <v>5962.25</v>
      </c>
      <c r="T1811">
        <f t="shared" si="208"/>
        <v>1085.25653061224</v>
      </c>
      <c r="U1811">
        <f t="shared" si="202"/>
        <v>1200.5</v>
      </c>
      <c r="V1811">
        <f>U1811</f>
        <v>1200.5</v>
      </c>
      <c r="W1811">
        <f t="shared" si="206"/>
        <v>18564.92</v>
      </c>
      <c r="X1811">
        <f t="shared" si="203"/>
        <v>0.411733613121426</v>
      </c>
      <c r="AH1811" t="str">
        <f t="shared" si="209"/>
        <v>1st Quality</v>
      </c>
      <c r="AJ1811">
        <f t="shared" si="204"/>
        <v>76.3975209154309</v>
      </c>
      <c r="AK1811">
        <f t="shared" si="207"/>
        <v>1124325.76571429</v>
      </c>
    </row>
    <row r="1812" spans="1:37">
      <c r="A1812" t="s">
        <v>1877</v>
      </c>
      <c r="B1812">
        <v>25</v>
      </c>
      <c r="C1812" t="s">
        <v>50</v>
      </c>
      <c r="D1812" t="s">
        <v>45</v>
      </c>
      <c r="E1812">
        <v>770</v>
      </c>
      <c r="F1812">
        <v>71</v>
      </c>
      <c r="G1812">
        <v>13</v>
      </c>
      <c r="H1812">
        <v>1511.56</v>
      </c>
      <c r="I1812">
        <v>19831.76</v>
      </c>
      <c r="J1812">
        <v>100</v>
      </c>
      <c r="K1812">
        <v>1</v>
      </c>
      <c r="L1812">
        <v>22.5</v>
      </c>
      <c r="M1812">
        <v>40.4</v>
      </c>
      <c r="N1812" t="s">
        <v>81</v>
      </c>
      <c r="O1812" t="s">
        <v>47</v>
      </c>
      <c r="P1812" t="s">
        <v>68</v>
      </c>
      <c r="R1812">
        <f>SUMIF(A1812:A6811,"C01811",I1812:I6811)</f>
        <v>19831.76</v>
      </c>
      <c r="S1812" s="1">
        <v>643.66</v>
      </c>
      <c r="T1812">
        <f t="shared" si="208"/>
        <v>198.3176</v>
      </c>
      <c r="U1812">
        <f t="shared" si="202"/>
        <v>4040</v>
      </c>
      <c r="V1812">
        <f>U1812</f>
        <v>4040</v>
      </c>
      <c r="W1812">
        <f t="shared" si="206"/>
        <v>7114.77333333333</v>
      </c>
      <c r="X1812">
        <f t="shared" si="203"/>
        <v>0.509407499536902</v>
      </c>
      <c r="AH1812" t="str">
        <f t="shared" si="209"/>
        <v>2nd Quality</v>
      </c>
      <c r="AJ1812">
        <f t="shared" si="204"/>
        <v>13.9301544014411</v>
      </c>
      <c r="AK1812">
        <f t="shared" si="207"/>
        <v>152704.552</v>
      </c>
    </row>
    <row r="1813" spans="1:37">
      <c r="A1813" t="s">
        <v>1878</v>
      </c>
      <c r="B1813">
        <v>41</v>
      </c>
      <c r="C1813" t="s">
        <v>50</v>
      </c>
      <c r="D1813" t="s">
        <v>45</v>
      </c>
      <c r="E1813">
        <v>1420</v>
      </c>
      <c r="F1813">
        <v>46</v>
      </c>
      <c r="G1813">
        <v>6</v>
      </c>
      <c r="H1813">
        <v>1000.74</v>
      </c>
      <c r="I1813">
        <v>5962.25</v>
      </c>
      <c r="J1813">
        <v>17</v>
      </c>
      <c r="K1813">
        <v>0</v>
      </c>
      <c r="L1813">
        <v>24.8</v>
      </c>
      <c r="M1813">
        <v>28.8</v>
      </c>
      <c r="N1813" t="s">
        <v>61</v>
      </c>
      <c r="O1813" t="s">
        <v>47</v>
      </c>
      <c r="P1813" t="s">
        <v>58</v>
      </c>
      <c r="R1813">
        <f>SUMIF(A1813:A6812,"C01812",I1813:I6812)</f>
        <v>5962.25</v>
      </c>
      <c r="S1813" s="1">
        <v>19945.1</v>
      </c>
      <c r="T1813">
        <f t="shared" si="208"/>
        <v>350.720588235294</v>
      </c>
      <c r="U1813">
        <f t="shared" si="202"/>
        <v>489.6</v>
      </c>
      <c r="V1813">
        <f t="shared" si="205"/>
        <v>40.8</v>
      </c>
      <c r="W1813">
        <f t="shared" si="206"/>
        <v>2321.33</v>
      </c>
      <c r="X1813">
        <f t="shared" si="203"/>
        <v>1.41894997701701</v>
      </c>
      <c r="AH1813" t="str">
        <f t="shared" si="209"/>
        <v>3rd Quality</v>
      </c>
      <c r="AJ1813">
        <f t="shared" si="204"/>
        <v>24.598706919597</v>
      </c>
      <c r="AK1813">
        <f t="shared" si="207"/>
        <v>498023.235294118</v>
      </c>
    </row>
    <row r="1814" spans="1:37">
      <c r="A1814" t="s">
        <v>1879</v>
      </c>
      <c r="B1814">
        <v>33</v>
      </c>
      <c r="C1814" t="s">
        <v>50</v>
      </c>
      <c r="D1814" t="s">
        <v>60</v>
      </c>
      <c r="E1814">
        <v>961</v>
      </c>
      <c r="F1814">
        <v>232</v>
      </c>
      <c r="G1814">
        <v>1</v>
      </c>
      <c r="H1814">
        <v>689.41</v>
      </c>
      <c r="I1814">
        <v>643.66</v>
      </c>
      <c r="J1814">
        <v>13</v>
      </c>
      <c r="K1814">
        <v>0</v>
      </c>
      <c r="L1814">
        <v>24.2</v>
      </c>
      <c r="M1814">
        <v>23.1</v>
      </c>
      <c r="N1814" t="s">
        <v>61</v>
      </c>
      <c r="O1814" t="s">
        <v>47</v>
      </c>
      <c r="P1814" t="s">
        <v>58</v>
      </c>
      <c r="R1814">
        <f>SUMIF(A1814:A6813,"C01813",I1814:I6813)</f>
        <v>643.66</v>
      </c>
      <c r="S1814" s="1">
        <v>4972.17</v>
      </c>
      <c r="T1814">
        <f t="shared" si="208"/>
        <v>49.5123076923077</v>
      </c>
      <c r="U1814">
        <f t="shared" si="202"/>
        <v>300.3</v>
      </c>
      <c r="V1814">
        <f t="shared" si="205"/>
        <v>25.025</v>
      </c>
      <c r="W1814">
        <f t="shared" si="206"/>
        <v>444.69</v>
      </c>
      <c r="X1814">
        <f t="shared" si="203"/>
        <v>1.39394554764219</v>
      </c>
      <c r="AH1814" t="str">
        <f t="shared" si="209"/>
        <v>3rd Quality</v>
      </c>
      <c r="AJ1814">
        <f>((T1814-X1814)*2)/24.2</f>
        <v>3.97672414418723</v>
      </c>
      <c r="AK1814">
        <f t="shared" si="207"/>
        <v>47581.3276923077</v>
      </c>
    </row>
    <row r="1815" spans="1:37">
      <c r="A1815" t="s">
        <v>1880</v>
      </c>
      <c r="B1815">
        <v>18</v>
      </c>
      <c r="C1815" t="s">
        <v>44</v>
      </c>
      <c r="D1815" t="s">
        <v>60</v>
      </c>
      <c r="E1815">
        <v>703</v>
      </c>
      <c r="F1815">
        <v>48</v>
      </c>
      <c r="G1815">
        <v>10</v>
      </c>
      <c r="H1815">
        <v>2215.73</v>
      </c>
      <c r="I1815">
        <v>19945.1</v>
      </c>
      <c r="J1815">
        <v>46</v>
      </c>
      <c r="K1815">
        <v>1</v>
      </c>
      <c r="L1815">
        <v>23.2</v>
      </c>
      <c r="M1815">
        <v>13.1</v>
      </c>
      <c r="N1815" t="s">
        <v>57</v>
      </c>
      <c r="O1815" t="s">
        <v>53</v>
      </c>
      <c r="P1815" t="s">
        <v>68</v>
      </c>
      <c r="R1815">
        <f>SUMIF(A1815:A6814,"C01814",I1815:I6814)</f>
        <v>19945.1</v>
      </c>
      <c r="S1815" s="1">
        <v>35195.77</v>
      </c>
      <c r="T1815">
        <f t="shared" si="208"/>
        <v>433.589130434783</v>
      </c>
      <c r="U1815">
        <f t="shared" si="202"/>
        <v>602.6</v>
      </c>
      <c r="V1815">
        <f>U1815</f>
        <v>602.6</v>
      </c>
      <c r="W1815">
        <f t="shared" si="206"/>
        <v>7387.27666666667</v>
      </c>
      <c r="X1815">
        <f t="shared" si="203"/>
        <v>0.317276924535029</v>
      </c>
      <c r="AH1815" t="str">
        <f t="shared" si="209"/>
        <v>2nd Quality</v>
      </c>
      <c r="AJ1815">
        <f>((T1815-X1815)*2)/23.2</f>
        <v>37.3510218543317</v>
      </c>
      <c r="AK1815">
        <f t="shared" si="207"/>
        <v>304813.158695652</v>
      </c>
    </row>
    <row r="1816" spans="1:37">
      <c r="A1816" t="s">
        <v>1881</v>
      </c>
      <c r="B1816">
        <v>27</v>
      </c>
      <c r="C1816" t="s">
        <v>44</v>
      </c>
      <c r="D1816" t="s">
        <v>60</v>
      </c>
      <c r="E1816">
        <v>796</v>
      </c>
      <c r="F1816">
        <v>19</v>
      </c>
      <c r="G1816">
        <v>3</v>
      </c>
      <c r="H1816">
        <v>1862.42</v>
      </c>
      <c r="I1816">
        <v>4972.17</v>
      </c>
      <c r="J1816">
        <v>32</v>
      </c>
      <c r="K1816">
        <v>0</v>
      </c>
      <c r="L1816">
        <v>38.4</v>
      </c>
      <c r="M1816">
        <v>54.2</v>
      </c>
      <c r="N1816" t="s">
        <v>57</v>
      </c>
      <c r="O1816" t="s">
        <v>75</v>
      </c>
      <c r="P1816" t="s">
        <v>68</v>
      </c>
      <c r="R1816">
        <f>SUMIF(A1816:A6815,"C01815",I1816:I6815)</f>
        <v>4972.17</v>
      </c>
      <c r="S1816" s="1">
        <v>3619.77</v>
      </c>
      <c r="T1816">
        <f t="shared" si="208"/>
        <v>155.3803125</v>
      </c>
      <c r="U1816">
        <f t="shared" si="202"/>
        <v>1734.4</v>
      </c>
      <c r="V1816">
        <f>U1816/12</f>
        <v>144.533333333333</v>
      </c>
      <c r="W1816">
        <f t="shared" si="206"/>
        <v>2278.53</v>
      </c>
      <c r="X1816">
        <f t="shared" si="203"/>
        <v>0.427400908495398</v>
      </c>
      <c r="AH1816" t="str">
        <f t="shared" si="209"/>
        <v>3rd Quality</v>
      </c>
      <c r="AJ1816">
        <f>((T1816-X1816)*2)/38.4</f>
        <v>8.07046414539086</v>
      </c>
      <c r="AK1816">
        <f t="shared" si="207"/>
        <v>123682.72875</v>
      </c>
    </row>
    <row r="1817" spans="1:37">
      <c r="A1817" t="s">
        <v>1882</v>
      </c>
      <c r="B1817">
        <v>24</v>
      </c>
      <c r="C1817" t="s">
        <v>44</v>
      </c>
      <c r="D1817" t="s">
        <v>60</v>
      </c>
      <c r="E1817">
        <v>1192</v>
      </c>
      <c r="F1817">
        <v>46</v>
      </c>
      <c r="G1817">
        <v>5</v>
      </c>
      <c r="H1817">
        <v>6694.91</v>
      </c>
      <c r="I1817">
        <v>35195.77</v>
      </c>
      <c r="J1817">
        <v>37</v>
      </c>
      <c r="K1817">
        <v>0</v>
      </c>
      <c r="L1817">
        <v>9</v>
      </c>
      <c r="M1817">
        <v>27.4</v>
      </c>
      <c r="N1817" t="s">
        <v>57</v>
      </c>
      <c r="O1817" t="s">
        <v>47</v>
      </c>
      <c r="P1817" t="s">
        <v>68</v>
      </c>
      <c r="R1817">
        <f>SUMIF(A1817:A6816,"C01816",I1817:I6816)</f>
        <v>35195.77</v>
      </c>
      <c r="S1817" s="1">
        <v>21353.74</v>
      </c>
      <c r="T1817">
        <f t="shared" si="208"/>
        <v>951.237027027027</v>
      </c>
      <c r="U1817">
        <f t="shared" si="202"/>
        <v>1013.8</v>
      </c>
      <c r="V1817">
        <f t="shared" si="205"/>
        <v>84.4833333333333</v>
      </c>
      <c r="W1817">
        <f t="shared" si="206"/>
        <v>13963.8933333333</v>
      </c>
      <c r="X1817">
        <f t="shared" si="203"/>
        <v>0.178045709352329</v>
      </c>
      <c r="AH1817" t="str">
        <f t="shared" si="209"/>
        <v>1st Quality</v>
      </c>
      <c r="AJ1817">
        <f>((T1817-X1817)*2)/9</f>
        <v>211.346440292817</v>
      </c>
      <c r="AK1817">
        <f t="shared" si="207"/>
        <v>1133874.53621622</v>
      </c>
    </row>
    <row r="1818" spans="1:37">
      <c r="A1818" t="s">
        <v>1883</v>
      </c>
      <c r="B1818">
        <v>29</v>
      </c>
      <c r="C1818" t="s">
        <v>50</v>
      </c>
      <c r="D1818" t="s">
        <v>45</v>
      </c>
      <c r="E1818">
        <v>462</v>
      </c>
      <c r="F1818">
        <v>102</v>
      </c>
      <c r="G1818">
        <v>3</v>
      </c>
      <c r="H1818">
        <v>1252.07</v>
      </c>
      <c r="I1818">
        <v>3619.77</v>
      </c>
      <c r="J1818">
        <v>17</v>
      </c>
      <c r="K1818">
        <v>1</v>
      </c>
      <c r="L1818">
        <v>29.3</v>
      </c>
      <c r="M1818">
        <v>35.7</v>
      </c>
      <c r="N1818" t="s">
        <v>61</v>
      </c>
      <c r="O1818" t="s">
        <v>53</v>
      </c>
      <c r="P1818" t="s">
        <v>58</v>
      </c>
      <c r="R1818">
        <f>SUMIF(A1818:A6817,"C01817",I1818:I6817)</f>
        <v>3619.77</v>
      </c>
      <c r="S1818" s="1">
        <v>29494.62</v>
      </c>
      <c r="T1818">
        <f t="shared" si="208"/>
        <v>212.927647058824</v>
      </c>
      <c r="U1818">
        <f t="shared" si="202"/>
        <v>606.9</v>
      </c>
      <c r="V1818">
        <f>U1818</f>
        <v>606.9</v>
      </c>
      <c r="W1818">
        <f t="shared" si="206"/>
        <v>1624.28</v>
      </c>
      <c r="X1818">
        <f t="shared" si="203"/>
        <v>0.368988954291693</v>
      </c>
      <c r="AH1818" t="str">
        <f t="shared" si="209"/>
        <v>3rd Quality</v>
      </c>
      <c r="AJ1818">
        <f>((T1818-X1818)*2)/29.3</f>
        <v>14.5091234201046</v>
      </c>
      <c r="AK1818">
        <f t="shared" si="207"/>
        <v>98372.5729411765</v>
      </c>
    </row>
    <row r="1819" spans="1:37">
      <c r="A1819" t="s">
        <v>1884</v>
      </c>
      <c r="B1819">
        <v>18</v>
      </c>
      <c r="C1819" t="s">
        <v>44</v>
      </c>
      <c r="D1819" t="s">
        <v>51</v>
      </c>
      <c r="E1819">
        <v>1219</v>
      </c>
      <c r="F1819">
        <v>20</v>
      </c>
      <c r="G1819">
        <v>13</v>
      </c>
      <c r="H1819">
        <v>1564.35</v>
      </c>
      <c r="I1819">
        <v>21353.74</v>
      </c>
      <c r="J1819">
        <v>73</v>
      </c>
      <c r="K1819">
        <v>1</v>
      </c>
      <c r="L1819">
        <v>24</v>
      </c>
      <c r="M1819">
        <v>44.1</v>
      </c>
      <c r="N1819" t="s">
        <v>81</v>
      </c>
      <c r="O1819" t="s">
        <v>47</v>
      </c>
      <c r="P1819" t="s">
        <v>58</v>
      </c>
      <c r="R1819">
        <f>SUMIF(A1819:A6818,"C01818",I1819:I6818)</f>
        <v>21353.74</v>
      </c>
      <c r="S1819" s="1">
        <v>13887.17</v>
      </c>
      <c r="T1819">
        <f t="shared" si="208"/>
        <v>292.51698630137</v>
      </c>
      <c r="U1819">
        <f t="shared" si="202"/>
        <v>3219.3</v>
      </c>
      <c r="V1819">
        <f>U1819</f>
        <v>3219.3</v>
      </c>
      <c r="W1819">
        <f t="shared" si="206"/>
        <v>7639.69666666667</v>
      </c>
      <c r="X1819">
        <f t="shared" si="203"/>
        <v>0.779237382938601</v>
      </c>
      <c r="AH1819" t="str">
        <f t="shared" si="209"/>
        <v>2nd Quality</v>
      </c>
      <c r="AJ1819">
        <f>((T1819-X1819)*2)/24</f>
        <v>24.3114790765359</v>
      </c>
      <c r="AK1819">
        <f t="shared" si="207"/>
        <v>356578.20630137</v>
      </c>
    </row>
    <row r="1820" spans="1:37">
      <c r="A1820" t="s">
        <v>1885</v>
      </c>
      <c r="B1820">
        <v>35</v>
      </c>
      <c r="C1820" t="s">
        <v>50</v>
      </c>
      <c r="D1820" t="s">
        <v>45</v>
      </c>
      <c r="E1820">
        <v>489</v>
      </c>
      <c r="F1820">
        <v>33</v>
      </c>
      <c r="G1820">
        <v>6</v>
      </c>
      <c r="H1820">
        <v>4906.46</v>
      </c>
      <c r="I1820">
        <v>29494.62</v>
      </c>
      <c r="J1820">
        <v>36</v>
      </c>
      <c r="K1820">
        <v>0</v>
      </c>
      <c r="L1820">
        <v>14.7</v>
      </c>
      <c r="M1820">
        <v>30.8</v>
      </c>
      <c r="N1820" t="s">
        <v>46</v>
      </c>
      <c r="O1820" t="s">
        <v>47</v>
      </c>
      <c r="P1820" t="s">
        <v>48</v>
      </c>
      <c r="R1820">
        <f>SUMIF(A1820:A6819,"C01819",I1820:I6819)</f>
        <v>29494.62</v>
      </c>
      <c r="S1820" s="1">
        <v>554.62</v>
      </c>
      <c r="T1820">
        <f t="shared" si="208"/>
        <v>819.295</v>
      </c>
      <c r="U1820">
        <f t="shared" si="202"/>
        <v>1108.8</v>
      </c>
      <c r="V1820">
        <f t="shared" si="205"/>
        <v>92.4</v>
      </c>
      <c r="W1820">
        <f t="shared" si="206"/>
        <v>11467.36</v>
      </c>
      <c r="X1820">
        <f t="shared" si="203"/>
        <v>0.0996645239133714</v>
      </c>
      <c r="AH1820" t="str">
        <f t="shared" si="209"/>
        <v>2nd Quality</v>
      </c>
      <c r="AJ1820">
        <f>((T1820-X1820)*2)/14.7</f>
        <v>111.455147683821</v>
      </c>
      <c r="AK1820">
        <f t="shared" si="207"/>
        <v>400635.255</v>
      </c>
    </row>
    <row r="1821" spans="1:37">
      <c r="A1821" t="s">
        <v>1886</v>
      </c>
      <c r="B1821">
        <v>36</v>
      </c>
      <c r="C1821" t="s">
        <v>44</v>
      </c>
      <c r="D1821" t="s">
        <v>60</v>
      </c>
      <c r="E1821">
        <v>1129</v>
      </c>
      <c r="F1821">
        <v>41</v>
      </c>
      <c r="G1821">
        <v>2</v>
      </c>
      <c r="H1821">
        <v>7033.24</v>
      </c>
      <c r="I1821">
        <v>13887.17</v>
      </c>
      <c r="J1821">
        <v>11</v>
      </c>
      <c r="K1821">
        <v>0</v>
      </c>
      <c r="L1821">
        <v>7.2</v>
      </c>
      <c r="M1821">
        <v>43.3</v>
      </c>
      <c r="N1821" t="s">
        <v>61</v>
      </c>
      <c r="O1821" t="s">
        <v>47</v>
      </c>
      <c r="P1821" t="s">
        <v>58</v>
      </c>
      <c r="R1821">
        <f>SUMIF(A1821:A6820,"C01820",I1821:I6820)</f>
        <v>13887.17</v>
      </c>
      <c r="S1821" s="1">
        <v>19852.54</v>
      </c>
      <c r="T1821">
        <f t="shared" si="208"/>
        <v>1262.47</v>
      </c>
      <c r="U1821">
        <f t="shared" si="202"/>
        <v>476.3</v>
      </c>
      <c r="V1821">
        <f t="shared" si="205"/>
        <v>39.6916666666667</v>
      </c>
      <c r="W1821">
        <f t="shared" si="206"/>
        <v>6973.80333333333</v>
      </c>
      <c r="X1821">
        <f t="shared" si="203"/>
        <v>0.160523457183318</v>
      </c>
      <c r="AH1821" t="str">
        <f t="shared" si="209"/>
        <v>2nd Quality</v>
      </c>
      <c r="AJ1821">
        <f>((T1821-X1821)*2)/7.2</f>
        <v>350.641521261894</v>
      </c>
      <c r="AK1821">
        <f t="shared" si="207"/>
        <v>1425328.63</v>
      </c>
    </row>
    <row r="1822" spans="1:37">
      <c r="A1822" t="s">
        <v>1887</v>
      </c>
      <c r="B1822">
        <v>32</v>
      </c>
      <c r="C1822" t="s">
        <v>44</v>
      </c>
      <c r="D1822" t="s">
        <v>45</v>
      </c>
      <c r="E1822">
        <v>1156</v>
      </c>
      <c r="F1822">
        <v>245</v>
      </c>
      <c r="G1822">
        <v>1</v>
      </c>
      <c r="H1822">
        <v>537.97</v>
      </c>
      <c r="I1822">
        <v>554.62</v>
      </c>
      <c r="J1822">
        <v>15</v>
      </c>
      <c r="K1822">
        <v>0</v>
      </c>
      <c r="L1822">
        <v>13.4</v>
      </c>
      <c r="M1822">
        <v>72.4</v>
      </c>
      <c r="N1822" t="s">
        <v>78</v>
      </c>
      <c r="O1822" t="s">
        <v>53</v>
      </c>
      <c r="P1822" t="s">
        <v>68</v>
      </c>
      <c r="R1822">
        <f>SUMIF(A1822:A6821,"C01821",I1822:I6821)</f>
        <v>554.62</v>
      </c>
      <c r="S1822" s="1">
        <v>42217.42</v>
      </c>
      <c r="T1822">
        <f t="shared" si="208"/>
        <v>36.9746666666667</v>
      </c>
      <c r="U1822">
        <f t="shared" si="202"/>
        <v>1086</v>
      </c>
      <c r="V1822">
        <f t="shared" si="205"/>
        <v>90.5</v>
      </c>
      <c r="W1822">
        <f t="shared" si="206"/>
        <v>364.53</v>
      </c>
      <c r="X1822">
        <f t="shared" si="203"/>
        <v>2.14881870736286</v>
      </c>
      <c r="AH1822" t="str">
        <f t="shared" si="209"/>
        <v>3rd Quality</v>
      </c>
      <c r="AJ1822">
        <f>((T1822-X1822)*2)/13.4</f>
        <v>5.19788775511998</v>
      </c>
      <c r="AK1822">
        <f t="shared" si="207"/>
        <v>42742.7146666667</v>
      </c>
    </row>
    <row r="1823" spans="1:37">
      <c r="A1823" t="s">
        <v>1888</v>
      </c>
      <c r="B1823">
        <v>29</v>
      </c>
      <c r="C1823" t="s">
        <v>44</v>
      </c>
      <c r="D1823" t="s">
        <v>45</v>
      </c>
      <c r="E1823">
        <v>1011</v>
      </c>
      <c r="F1823">
        <v>7</v>
      </c>
      <c r="G1823">
        <v>2</v>
      </c>
      <c r="H1823">
        <v>10742.92</v>
      </c>
      <c r="I1823">
        <v>19852.54</v>
      </c>
      <c r="J1823">
        <v>20</v>
      </c>
      <c r="K1823">
        <v>0</v>
      </c>
      <c r="L1823">
        <v>2.4</v>
      </c>
      <c r="M1823">
        <v>33.4</v>
      </c>
      <c r="N1823" t="s">
        <v>52</v>
      </c>
      <c r="O1823" t="s">
        <v>47</v>
      </c>
      <c r="P1823" t="s">
        <v>58</v>
      </c>
      <c r="R1823">
        <f>SUMIF(A1823:A6822,"C01822",I1823:I6822)</f>
        <v>19852.54</v>
      </c>
      <c r="S1823" s="1">
        <v>28766.09</v>
      </c>
      <c r="T1823">
        <f t="shared" si="208"/>
        <v>992.627</v>
      </c>
      <c r="U1823">
        <f t="shared" si="202"/>
        <v>668</v>
      </c>
      <c r="V1823">
        <f t="shared" si="205"/>
        <v>55.6666666666667</v>
      </c>
      <c r="W1823">
        <f t="shared" si="206"/>
        <v>10198.82</v>
      </c>
      <c r="X1823">
        <f t="shared" si="203"/>
        <v>0.0941084919183983</v>
      </c>
      <c r="AH1823" t="str">
        <f t="shared" si="209"/>
        <v>2nd Quality</v>
      </c>
      <c r="AJ1823">
        <f>((T1823-X1823)*2)/2.4</f>
        <v>827.110742923401</v>
      </c>
      <c r="AK1823">
        <f t="shared" si="207"/>
        <v>1003545.897</v>
      </c>
    </row>
    <row r="1824" spans="1:37">
      <c r="A1824" t="s">
        <v>1889</v>
      </c>
      <c r="B1824">
        <v>26</v>
      </c>
      <c r="C1824" t="s">
        <v>50</v>
      </c>
      <c r="D1824" t="s">
        <v>60</v>
      </c>
      <c r="E1824">
        <v>571</v>
      </c>
      <c r="F1824">
        <v>78</v>
      </c>
      <c r="G1824">
        <v>6</v>
      </c>
      <c r="H1824">
        <v>6309.85</v>
      </c>
      <c r="I1824">
        <v>42217.42</v>
      </c>
      <c r="J1824">
        <v>18</v>
      </c>
      <c r="K1824">
        <v>0</v>
      </c>
      <c r="L1824">
        <v>2.2</v>
      </c>
      <c r="M1824">
        <v>17.3</v>
      </c>
      <c r="N1824" t="s">
        <v>46</v>
      </c>
      <c r="O1824" t="s">
        <v>47</v>
      </c>
      <c r="P1824" t="s">
        <v>66</v>
      </c>
      <c r="R1824">
        <f>SUMIF(A1824:A6823,"C01823",I1824:I6823)</f>
        <v>42217.42</v>
      </c>
      <c r="S1824" s="1">
        <v>12018.96</v>
      </c>
      <c r="T1824">
        <f t="shared" si="208"/>
        <v>2345.41222222222</v>
      </c>
      <c r="U1824">
        <f t="shared" si="202"/>
        <v>311.4</v>
      </c>
      <c r="V1824">
        <f t="shared" si="205"/>
        <v>25.95</v>
      </c>
      <c r="W1824">
        <f t="shared" si="206"/>
        <v>16176.09</v>
      </c>
      <c r="X1824">
        <f t="shared" si="203"/>
        <v>0.0904934348677068</v>
      </c>
      <c r="AH1824" t="str">
        <f t="shared" si="209"/>
        <v>2nd Quality</v>
      </c>
      <c r="AJ1824">
        <f>((T1824-X1824)*2)/2.2</f>
        <v>2132.11066253396</v>
      </c>
      <c r="AK1824">
        <f t="shared" si="207"/>
        <v>1339230.37888889</v>
      </c>
    </row>
    <row r="1825" spans="1:37">
      <c r="A1825" t="s">
        <v>1890</v>
      </c>
      <c r="B1825">
        <v>37</v>
      </c>
      <c r="C1825" t="s">
        <v>50</v>
      </c>
      <c r="D1825" t="s">
        <v>45</v>
      </c>
      <c r="E1825">
        <v>993</v>
      </c>
      <c r="F1825">
        <v>51</v>
      </c>
      <c r="G1825">
        <v>3</v>
      </c>
      <c r="H1825">
        <v>9995.99</v>
      </c>
      <c r="I1825">
        <v>28766.09</v>
      </c>
      <c r="J1825">
        <v>28</v>
      </c>
      <c r="K1825">
        <v>0</v>
      </c>
      <c r="L1825">
        <v>2</v>
      </c>
      <c r="M1825">
        <v>15.6</v>
      </c>
      <c r="N1825" t="s">
        <v>52</v>
      </c>
      <c r="O1825" t="s">
        <v>53</v>
      </c>
      <c r="P1825" t="s">
        <v>66</v>
      </c>
      <c r="R1825">
        <f>SUMIF(A1825:A6824,"C01824",I1825:I6824)</f>
        <v>28766.09</v>
      </c>
      <c r="S1825" s="1">
        <v>148704.42</v>
      </c>
      <c r="T1825">
        <f t="shared" si="208"/>
        <v>1027.36035714286</v>
      </c>
      <c r="U1825">
        <f t="shared" si="202"/>
        <v>436.8</v>
      </c>
      <c r="V1825">
        <f t="shared" si="205"/>
        <v>36.4</v>
      </c>
      <c r="W1825">
        <f t="shared" si="206"/>
        <v>12921.0266666667</v>
      </c>
      <c r="X1825">
        <f t="shared" si="203"/>
        <v>0.0993398352739449</v>
      </c>
      <c r="AH1825" t="str">
        <f t="shared" si="209"/>
        <v>2nd Quality</v>
      </c>
      <c r="AJ1825">
        <f>((T1825-X1825)*2)/2</f>
        <v>1027.26101730759</v>
      </c>
      <c r="AK1825">
        <f t="shared" si="207"/>
        <v>1020168.83464286</v>
      </c>
    </row>
    <row r="1826" spans="1:37">
      <c r="A1826" t="s">
        <v>1891</v>
      </c>
      <c r="B1826">
        <v>18</v>
      </c>
      <c r="C1826" t="s">
        <v>50</v>
      </c>
      <c r="D1826" t="s">
        <v>60</v>
      </c>
      <c r="E1826">
        <v>1275</v>
      </c>
      <c r="F1826">
        <v>90</v>
      </c>
      <c r="G1826">
        <v>5</v>
      </c>
      <c r="H1826">
        <v>2257.92</v>
      </c>
      <c r="I1826">
        <v>12018.96</v>
      </c>
      <c r="J1826">
        <v>40</v>
      </c>
      <c r="K1826">
        <v>0</v>
      </c>
      <c r="L1826">
        <v>34.5</v>
      </c>
      <c r="M1826">
        <v>57.9</v>
      </c>
      <c r="N1826" t="s">
        <v>57</v>
      </c>
      <c r="O1826" t="s">
        <v>53</v>
      </c>
      <c r="P1826" t="s">
        <v>48</v>
      </c>
      <c r="R1826">
        <f>SUMIF(A1826:A6825,"C01825",I1826:I6825)</f>
        <v>12018.96</v>
      </c>
      <c r="S1826" s="1">
        <v>14086.98</v>
      </c>
      <c r="T1826">
        <f t="shared" si="208"/>
        <v>300.474</v>
      </c>
      <c r="U1826">
        <f t="shared" ref="U1826:U1889" si="210">J1826*M1826</f>
        <v>2316</v>
      </c>
      <c r="V1826">
        <f t="shared" si="205"/>
        <v>193</v>
      </c>
      <c r="W1826">
        <f t="shared" si="206"/>
        <v>4759.29333333333</v>
      </c>
      <c r="X1826">
        <f t="shared" si="203"/>
        <v>0.564678996598639</v>
      </c>
      <c r="AH1826" t="str">
        <f t="shared" si="209"/>
        <v>3rd Quality</v>
      </c>
      <c r="AJ1826">
        <f>((T1826-X1826)*2)/34.5</f>
        <v>17.3860475944001</v>
      </c>
      <c r="AK1826">
        <f t="shared" si="207"/>
        <v>383104.35</v>
      </c>
    </row>
    <row r="1827" spans="1:37">
      <c r="A1827" t="s">
        <v>1892</v>
      </c>
      <c r="B1827">
        <v>54</v>
      </c>
      <c r="C1827" t="s">
        <v>44</v>
      </c>
      <c r="D1827" t="s">
        <v>60</v>
      </c>
      <c r="E1827">
        <v>677</v>
      </c>
      <c r="F1827">
        <v>7</v>
      </c>
      <c r="G1827">
        <v>27</v>
      </c>
      <c r="H1827">
        <v>5862.31</v>
      </c>
      <c r="I1827">
        <v>148704.42</v>
      </c>
      <c r="J1827">
        <v>192</v>
      </c>
      <c r="K1827">
        <v>2</v>
      </c>
      <c r="L1827">
        <v>20.9</v>
      </c>
      <c r="M1827">
        <v>48.3</v>
      </c>
      <c r="N1827" t="s">
        <v>63</v>
      </c>
      <c r="O1827" t="s">
        <v>47</v>
      </c>
      <c r="P1827" t="s">
        <v>58</v>
      </c>
      <c r="R1827">
        <f>SUMIF(A1827:A6826,"C01826",I1827:I6826)</f>
        <v>148704.42</v>
      </c>
      <c r="S1827" s="1">
        <v>8279.89</v>
      </c>
      <c r="T1827">
        <f t="shared" si="208"/>
        <v>774.5021875</v>
      </c>
      <c r="U1827">
        <f t="shared" si="210"/>
        <v>9273.6</v>
      </c>
      <c r="V1827">
        <f>U1827</f>
        <v>9273.6</v>
      </c>
      <c r="W1827">
        <f t="shared" si="206"/>
        <v>51522.5766666667</v>
      </c>
      <c r="X1827">
        <f t="shared" si="203"/>
        <v>0.115483486884863</v>
      </c>
      <c r="AH1827" t="str">
        <f t="shared" si="209"/>
        <v>3rd Quality</v>
      </c>
      <c r="AJ1827">
        <f>((T1827-X1827)*2)/20.9</f>
        <v>74.1039908146522</v>
      </c>
      <c r="AK1827">
        <f t="shared" si="207"/>
        <v>524337.9809375</v>
      </c>
    </row>
    <row r="1828" spans="1:37">
      <c r="A1828" t="s">
        <v>1893</v>
      </c>
      <c r="B1828">
        <v>46</v>
      </c>
      <c r="C1828" t="s">
        <v>101</v>
      </c>
      <c r="D1828" t="s">
        <v>60</v>
      </c>
      <c r="E1828">
        <v>1373</v>
      </c>
      <c r="F1828">
        <v>75</v>
      </c>
      <c r="G1828">
        <v>2</v>
      </c>
      <c r="H1828">
        <v>7098.12</v>
      </c>
      <c r="I1828">
        <v>14086.98</v>
      </c>
      <c r="J1828">
        <v>19</v>
      </c>
      <c r="K1828">
        <v>1</v>
      </c>
      <c r="L1828">
        <v>3.1</v>
      </c>
      <c r="M1828">
        <v>6.2</v>
      </c>
      <c r="N1828" t="s">
        <v>57</v>
      </c>
      <c r="O1828" t="s">
        <v>47</v>
      </c>
      <c r="P1828" t="s">
        <v>68</v>
      </c>
      <c r="R1828">
        <f>SUMIF(A1828:A6827,"C01827",I1828:I6827)</f>
        <v>14086.98</v>
      </c>
      <c r="S1828" s="1">
        <v>5299.41</v>
      </c>
      <c r="T1828">
        <f t="shared" si="208"/>
        <v>741.42</v>
      </c>
      <c r="U1828">
        <f t="shared" si="210"/>
        <v>117.8</v>
      </c>
      <c r="V1828">
        <f>U1828</f>
        <v>117.8</v>
      </c>
      <c r="W1828">
        <f t="shared" si="206"/>
        <v>7062.03333333333</v>
      </c>
      <c r="X1828">
        <f t="shared" si="203"/>
        <v>0.193431500171876</v>
      </c>
      <c r="AH1828" t="str">
        <f t="shared" si="209"/>
        <v>3rd Quality</v>
      </c>
      <c r="AJ1828">
        <f>((T1828-X1828)*2)/3.1</f>
        <v>478.210689354728</v>
      </c>
      <c r="AK1828">
        <f t="shared" si="207"/>
        <v>1017969.66</v>
      </c>
    </row>
    <row r="1829" spans="1:37">
      <c r="A1829" t="s">
        <v>1894</v>
      </c>
      <c r="B1829">
        <v>18</v>
      </c>
      <c r="C1829" t="s">
        <v>44</v>
      </c>
      <c r="D1829" t="s">
        <v>60</v>
      </c>
      <c r="E1829">
        <v>519</v>
      </c>
      <c r="F1829">
        <v>41</v>
      </c>
      <c r="G1829">
        <v>9</v>
      </c>
      <c r="H1829">
        <v>920.14</v>
      </c>
      <c r="I1829">
        <v>8279.89</v>
      </c>
      <c r="J1829">
        <v>38</v>
      </c>
      <c r="K1829">
        <v>0</v>
      </c>
      <c r="L1829">
        <v>15.7</v>
      </c>
      <c r="M1829">
        <v>25.9</v>
      </c>
      <c r="N1829" t="s">
        <v>63</v>
      </c>
      <c r="O1829" t="s">
        <v>53</v>
      </c>
      <c r="P1829" t="s">
        <v>58</v>
      </c>
      <c r="R1829">
        <f>SUMIF(A1829:A6828,"C01828",I1829:I6828)</f>
        <v>8279.89</v>
      </c>
      <c r="S1829" s="1">
        <v>12498.48</v>
      </c>
      <c r="T1829">
        <f t="shared" si="208"/>
        <v>217.891842105263</v>
      </c>
      <c r="U1829">
        <f t="shared" si="210"/>
        <v>984.2</v>
      </c>
      <c r="V1829">
        <f>U1829/12</f>
        <v>82.0166666666667</v>
      </c>
      <c r="W1829">
        <f t="shared" si="206"/>
        <v>3067.01</v>
      </c>
      <c r="X1829">
        <f t="shared" si="203"/>
        <v>0.564044601908405</v>
      </c>
      <c r="AH1829" t="str">
        <f t="shared" si="209"/>
        <v>3rd Quality</v>
      </c>
      <c r="AJ1829">
        <f>((T1829-X1829)*2)/15.7</f>
        <v>27.6850697456503</v>
      </c>
      <c r="AK1829">
        <f t="shared" si="207"/>
        <v>113085.866052632</v>
      </c>
    </row>
    <row r="1830" spans="1:37">
      <c r="A1830" t="s">
        <v>1895</v>
      </c>
      <c r="B1830">
        <v>50</v>
      </c>
      <c r="C1830" t="s">
        <v>44</v>
      </c>
      <c r="D1830" t="s">
        <v>45</v>
      </c>
      <c r="E1830">
        <v>1344</v>
      </c>
      <c r="F1830">
        <v>57</v>
      </c>
      <c r="G1830">
        <v>2</v>
      </c>
      <c r="H1830">
        <v>2778.64</v>
      </c>
      <c r="I1830">
        <v>5299.41</v>
      </c>
      <c r="J1830">
        <v>19</v>
      </c>
      <c r="K1830">
        <v>0</v>
      </c>
      <c r="L1830">
        <v>8.1</v>
      </c>
      <c r="M1830">
        <v>52.7</v>
      </c>
      <c r="N1830" t="s">
        <v>63</v>
      </c>
      <c r="O1830" t="s">
        <v>47</v>
      </c>
      <c r="P1830" t="s">
        <v>58</v>
      </c>
      <c r="R1830">
        <f>SUMIF(A1830:A6829,"C01829",I1830:I6829)</f>
        <v>5299.41</v>
      </c>
      <c r="S1830" s="1">
        <v>19368.84</v>
      </c>
      <c r="T1830">
        <f t="shared" si="208"/>
        <v>278.916315789474</v>
      </c>
      <c r="U1830">
        <f t="shared" si="210"/>
        <v>1001.3</v>
      </c>
      <c r="V1830">
        <f t="shared" si="205"/>
        <v>83.4416666666667</v>
      </c>
      <c r="W1830">
        <f t="shared" si="206"/>
        <v>2693.01666666667</v>
      </c>
      <c r="X1830">
        <f t="shared" si="203"/>
        <v>0.483689862666628</v>
      </c>
      <c r="AH1830" t="str">
        <f t="shared" si="209"/>
        <v>3rd Quality</v>
      </c>
      <c r="AJ1830">
        <f>((T1830-X1830)*2)/8.1</f>
        <v>68.7487965251376</v>
      </c>
      <c r="AK1830">
        <f t="shared" si="207"/>
        <v>374863.528421053</v>
      </c>
    </row>
    <row r="1831" spans="1:37">
      <c r="A1831" t="s">
        <v>1896</v>
      </c>
      <c r="B1831">
        <v>37</v>
      </c>
      <c r="C1831" t="s">
        <v>44</v>
      </c>
      <c r="D1831" t="s">
        <v>60</v>
      </c>
      <c r="E1831">
        <v>734</v>
      </c>
      <c r="F1831">
        <v>75</v>
      </c>
      <c r="G1831">
        <v>2</v>
      </c>
      <c r="H1831">
        <v>6484.84</v>
      </c>
      <c r="I1831">
        <v>12498.48</v>
      </c>
      <c r="J1831">
        <v>23</v>
      </c>
      <c r="K1831">
        <v>0</v>
      </c>
      <c r="L1831">
        <v>18.1</v>
      </c>
      <c r="M1831">
        <v>19.6</v>
      </c>
      <c r="N1831" t="s">
        <v>46</v>
      </c>
      <c r="O1831" t="s">
        <v>47</v>
      </c>
      <c r="P1831" t="s">
        <v>68</v>
      </c>
      <c r="R1831">
        <f>SUMIF(A1831:A6830,"C01830",I1831:I6830)</f>
        <v>12498.48</v>
      </c>
      <c r="S1831" s="1">
        <v>5195.81</v>
      </c>
      <c r="T1831">
        <f t="shared" si="208"/>
        <v>543.412173913043</v>
      </c>
      <c r="U1831">
        <f t="shared" si="210"/>
        <v>450.8</v>
      </c>
      <c r="V1831">
        <f t="shared" si="205"/>
        <v>37.5666666666667</v>
      </c>
      <c r="W1831">
        <f t="shared" si="206"/>
        <v>6328.10666666667</v>
      </c>
      <c r="X1831">
        <f t="shared" si="203"/>
        <v>0.113187063983074</v>
      </c>
      <c r="AH1831" t="str">
        <f t="shared" si="209"/>
        <v>2nd Quality</v>
      </c>
      <c r="AJ1831">
        <f>((T1831-X1831)*2)/18.1</f>
        <v>60.0330372208906</v>
      </c>
      <c r="AK1831">
        <f t="shared" si="207"/>
        <v>398864.535652174</v>
      </c>
    </row>
    <row r="1832" spans="1:37">
      <c r="A1832" t="s">
        <v>1897</v>
      </c>
      <c r="B1832">
        <v>37</v>
      </c>
      <c r="C1832" t="s">
        <v>44</v>
      </c>
      <c r="D1832" t="s">
        <v>45</v>
      </c>
      <c r="E1832">
        <v>1133</v>
      </c>
      <c r="F1832">
        <v>24</v>
      </c>
      <c r="G1832">
        <v>10</v>
      </c>
      <c r="H1832">
        <v>1967.44</v>
      </c>
      <c r="I1832">
        <v>19368.84</v>
      </c>
      <c r="J1832">
        <v>34</v>
      </c>
      <c r="K1832">
        <v>0</v>
      </c>
      <c r="L1832">
        <v>28.8</v>
      </c>
      <c r="M1832">
        <v>9.7</v>
      </c>
      <c r="N1832" t="s">
        <v>52</v>
      </c>
      <c r="O1832" t="s">
        <v>47</v>
      </c>
      <c r="P1832" t="s">
        <v>58</v>
      </c>
      <c r="R1832">
        <f>SUMIF(A1832:A6831,"C01831",I1832:I6831)</f>
        <v>19368.84</v>
      </c>
      <c r="S1832" s="1">
        <v>19195.45</v>
      </c>
      <c r="T1832">
        <f t="shared" si="208"/>
        <v>569.671764705882</v>
      </c>
      <c r="U1832">
        <f t="shared" si="210"/>
        <v>329.8</v>
      </c>
      <c r="V1832">
        <f t="shared" si="205"/>
        <v>27.4833333333333</v>
      </c>
      <c r="W1832">
        <f t="shared" si="206"/>
        <v>7112.42666666667</v>
      </c>
      <c r="X1832">
        <f t="shared" si="203"/>
        <v>0.575875249054609</v>
      </c>
      <c r="AH1832" t="str">
        <f t="shared" si="209"/>
        <v>2nd Quality</v>
      </c>
      <c r="AJ1832">
        <f>((T1832-X1832)*2)/28.8</f>
        <v>39.5205478789463</v>
      </c>
      <c r="AK1832">
        <f t="shared" si="207"/>
        <v>645438.109411765</v>
      </c>
    </row>
    <row r="1833" spans="1:37">
      <c r="A1833" t="s">
        <v>1898</v>
      </c>
      <c r="B1833">
        <v>29</v>
      </c>
      <c r="C1833" t="s">
        <v>50</v>
      </c>
      <c r="D1833" t="s">
        <v>60</v>
      </c>
      <c r="E1833">
        <v>620</v>
      </c>
      <c r="F1833">
        <v>57</v>
      </c>
      <c r="G1833">
        <v>1</v>
      </c>
      <c r="H1833">
        <v>4807.88</v>
      </c>
      <c r="I1833">
        <v>5195.81</v>
      </c>
      <c r="J1833">
        <v>18</v>
      </c>
      <c r="K1833">
        <v>0</v>
      </c>
      <c r="L1833">
        <v>12.2</v>
      </c>
      <c r="M1833">
        <v>26.9</v>
      </c>
      <c r="N1833" t="s">
        <v>81</v>
      </c>
      <c r="O1833" t="s">
        <v>53</v>
      </c>
      <c r="P1833" t="s">
        <v>68</v>
      </c>
      <c r="R1833">
        <f>SUMIF(A1833:A6832,"C01832",I1833:I6832)</f>
        <v>5195.81</v>
      </c>
      <c r="S1833" s="1">
        <v>117590.49</v>
      </c>
      <c r="T1833">
        <f t="shared" si="208"/>
        <v>288.656111111111</v>
      </c>
      <c r="U1833">
        <f t="shared" si="210"/>
        <v>484.2</v>
      </c>
      <c r="V1833">
        <f t="shared" si="205"/>
        <v>40.35</v>
      </c>
      <c r="W1833">
        <f t="shared" si="206"/>
        <v>3334.89666666667</v>
      </c>
      <c r="X1833">
        <f t="shared" si="203"/>
        <v>0.128954965598143</v>
      </c>
      <c r="AH1833" t="str">
        <f t="shared" si="209"/>
        <v>3rd Quality</v>
      </c>
      <c r="AJ1833">
        <f>((T1833-X1833)*2)/12.2</f>
        <v>47.2995337943464</v>
      </c>
      <c r="AK1833">
        <f t="shared" si="207"/>
        <v>178966.788888889</v>
      </c>
    </row>
    <row r="1834" spans="1:37">
      <c r="A1834" t="s">
        <v>1899</v>
      </c>
      <c r="B1834">
        <v>41</v>
      </c>
      <c r="C1834" t="s">
        <v>44</v>
      </c>
      <c r="D1834" t="s">
        <v>45</v>
      </c>
      <c r="E1834">
        <v>1046</v>
      </c>
      <c r="F1834">
        <v>42</v>
      </c>
      <c r="G1834">
        <v>11</v>
      </c>
      <c r="H1834">
        <v>1745.02</v>
      </c>
      <c r="I1834">
        <v>19195.45</v>
      </c>
      <c r="J1834">
        <v>95</v>
      </c>
      <c r="K1834">
        <v>0</v>
      </c>
      <c r="L1834">
        <v>23</v>
      </c>
      <c r="M1834">
        <v>14.5</v>
      </c>
      <c r="N1834" t="s">
        <v>57</v>
      </c>
      <c r="O1834" t="s">
        <v>47</v>
      </c>
      <c r="P1834" t="s">
        <v>54</v>
      </c>
      <c r="R1834">
        <f>SUMIF(A1834:A6833,"C01833",I1834:I6833)</f>
        <v>19195.45</v>
      </c>
      <c r="S1834" s="1">
        <v>89506.72</v>
      </c>
      <c r="T1834">
        <f t="shared" si="208"/>
        <v>202.057368421053</v>
      </c>
      <c r="U1834">
        <f t="shared" si="210"/>
        <v>1377.5</v>
      </c>
      <c r="V1834">
        <f t="shared" si="205"/>
        <v>114.791666666667</v>
      </c>
      <c r="W1834">
        <f t="shared" si="206"/>
        <v>6980.49</v>
      </c>
      <c r="X1834">
        <f t="shared" si="203"/>
        <v>0.599420063953422</v>
      </c>
      <c r="AH1834" t="str">
        <f t="shared" si="209"/>
        <v>2nd Quality</v>
      </c>
      <c r="AJ1834">
        <f>((T1834-X1834)*2)/23</f>
        <v>17.5180824658347</v>
      </c>
      <c r="AK1834">
        <f t="shared" si="207"/>
        <v>211352.007368421</v>
      </c>
    </row>
    <row r="1835" spans="1:37">
      <c r="A1835" t="s">
        <v>1900</v>
      </c>
      <c r="B1835">
        <v>29</v>
      </c>
      <c r="C1835" t="s">
        <v>50</v>
      </c>
      <c r="D1835" t="s">
        <v>60</v>
      </c>
      <c r="E1835">
        <v>1082</v>
      </c>
      <c r="F1835">
        <v>5</v>
      </c>
      <c r="G1835">
        <v>26</v>
      </c>
      <c r="H1835">
        <v>5018.22</v>
      </c>
      <c r="I1835">
        <v>117590.49</v>
      </c>
      <c r="J1835">
        <v>213</v>
      </c>
      <c r="K1835">
        <v>1</v>
      </c>
      <c r="L1835">
        <v>18.8</v>
      </c>
      <c r="M1835">
        <v>41.8</v>
      </c>
      <c r="N1835" t="s">
        <v>63</v>
      </c>
      <c r="O1835" t="s">
        <v>47</v>
      </c>
      <c r="P1835" t="s">
        <v>58</v>
      </c>
      <c r="R1835">
        <f>SUMIF(A1835:A6834,"C01834",I1835:I6834)</f>
        <v>117590.49</v>
      </c>
      <c r="S1835" s="1">
        <v>60721.93</v>
      </c>
      <c r="T1835">
        <f t="shared" si="208"/>
        <v>552.068028169014</v>
      </c>
      <c r="U1835">
        <f t="shared" si="210"/>
        <v>8903.4</v>
      </c>
      <c r="V1835">
        <f>U1835</f>
        <v>8903.4</v>
      </c>
      <c r="W1835">
        <f t="shared" si="206"/>
        <v>40869.9033333333</v>
      </c>
      <c r="X1835">
        <f t="shared" si="203"/>
        <v>0.215614301485387</v>
      </c>
      <c r="AH1835" t="str">
        <f t="shared" si="209"/>
        <v>1st Quality</v>
      </c>
      <c r="AJ1835">
        <f>((T1835-X1835)*2)/18.8</f>
        <v>58.7077036029286</v>
      </c>
      <c r="AK1835">
        <f t="shared" si="207"/>
        <v>597337.606478873</v>
      </c>
    </row>
    <row r="1836" spans="1:37">
      <c r="A1836" t="s">
        <v>1901</v>
      </c>
      <c r="B1836">
        <v>25</v>
      </c>
      <c r="C1836" t="s">
        <v>50</v>
      </c>
      <c r="D1836" t="s">
        <v>51</v>
      </c>
      <c r="E1836">
        <v>905</v>
      </c>
      <c r="F1836">
        <v>9</v>
      </c>
      <c r="G1836">
        <v>20</v>
      </c>
      <c r="H1836">
        <v>4801.85</v>
      </c>
      <c r="I1836">
        <v>89506.72</v>
      </c>
      <c r="J1836">
        <v>168</v>
      </c>
      <c r="K1836">
        <v>3</v>
      </c>
      <c r="L1836">
        <v>8.6</v>
      </c>
      <c r="M1836">
        <v>58</v>
      </c>
      <c r="N1836" t="s">
        <v>57</v>
      </c>
      <c r="O1836" t="s">
        <v>47</v>
      </c>
      <c r="P1836" t="s">
        <v>58</v>
      </c>
      <c r="R1836">
        <f>SUMIF(A1836:A6835,"C01835",I1836:I6835)</f>
        <v>89506.72</v>
      </c>
      <c r="S1836" s="1">
        <v>74091.31</v>
      </c>
      <c r="T1836">
        <f t="shared" si="208"/>
        <v>532.778095238095</v>
      </c>
      <c r="U1836">
        <f t="shared" si="210"/>
        <v>9744</v>
      </c>
      <c r="V1836">
        <f>U1836</f>
        <v>9744</v>
      </c>
      <c r="W1836">
        <f t="shared" si="206"/>
        <v>31436.5233333333</v>
      </c>
      <c r="X1836">
        <f t="shared" si="203"/>
        <v>0.188469027562294</v>
      </c>
      <c r="AH1836" t="str">
        <f t="shared" si="209"/>
        <v>2nd Quality</v>
      </c>
      <c r="AJ1836">
        <f>((T1836-X1836)*2)/8.6</f>
        <v>123.858052607101</v>
      </c>
      <c r="AK1836">
        <f t="shared" si="207"/>
        <v>482164.176190476</v>
      </c>
    </row>
    <row r="1837" spans="1:37">
      <c r="A1837" t="s">
        <v>1902</v>
      </c>
      <c r="B1837">
        <v>29</v>
      </c>
      <c r="C1837" t="s">
        <v>50</v>
      </c>
      <c r="D1837" t="s">
        <v>45</v>
      </c>
      <c r="E1837">
        <v>1300</v>
      </c>
      <c r="F1837">
        <v>13</v>
      </c>
      <c r="G1837">
        <v>21</v>
      </c>
      <c r="H1837">
        <v>2589.47</v>
      </c>
      <c r="I1837">
        <v>60721.93</v>
      </c>
      <c r="J1837">
        <v>52</v>
      </c>
      <c r="K1837">
        <v>0</v>
      </c>
      <c r="L1837">
        <v>15</v>
      </c>
      <c r="M1837">
        <v>47.4</v>
      </c>
      <c r="N1837" t="s">
        <v>52</v>
      </c>
      <c r="O1837" t="s">
        <v>75</v>
      </c>
      <c r="P1837" t="s">
        <v>58</v>
      </c>
      <c r="R1837">
        <f>SUMIF(A1837:A6836,"C01836",I1837:I6836)</f>
        <v>60721.93</v>
      </c>
      <c r="S1837" s="1">
        <v>9718.99</v>
      </c>
      <c r="T1837">
        <f t="shared" si="208"/>
        <v>1167.72942307692</v>
      </c>
      <c r="U1837">
        <f t="shared" si="210"/>
        <v>2464.8</v>
      </c>
      <c r="V1837">
        <f t="shared" si="205"/>
        <v>205.4</v>
      </c>
      <c r="W1837">
        <f t="shared" si="206"/>
        <v>21104.1333333333</v>
      </c>
      <c r="X1837">
        <f t="shared" si="203"/>
        <v>0.502033234600131</v>
      </c>
      <c r="AH1837" t="str">
        <f t="shared" si="209"/>
        <v>1st Quality</v>
      </c>
      <c r="AJ1837">
        <f>((T1837-X1837)*2)/15</f>
        <v>155.630318645643</v>
      </c>
      <c r="AK1837">
        <f t="shared" si="207"/>
        <v>1518048.25</v>
      </c>
    </row>
    <row r="1838" spans="1:37">
      <c r="A1838" t="s">
        <v>1903</v>
      </c>
      <c r="B1838">
        <v>28</v>
      </c>
      <c r="C1838" t="s">
        <v>44</v>
      </c>
      <c r="D1838" t="s">
        <v>45</v>
      </c>
      <c r="E1838">
        <v>1360</v>
      </c>
      <c r="F1838">
        <v>1</v>
      </c>
      <c r="G1838">
        <v>23</v>
      </c>
      <c r="H1838">
        <v>3573.06</v>
      </c>
      <c r="I1838">
        <v>74091.31</v>
      </c>
      <c r="J1838">
        <v>53</v>
      </c>
      <c r="K1838">
        <v>0</v>
      </c>
      <c r="L1838">
        <v>7.9</v>
      </c>
      <c r="M1838">
        <v>15.6</v>
      </c>
      <c r="N1838" t="s">
        <v>57</v>
      </c>
      <c r="O1838" t="s">
        <v>53</v>
      </c>
      <c r="P1838" t="s">
        <v>66</v>
      </c>
      <c r="R1838">
        <f>SUMIF(A1838:A6837,"C01837",I1838:I6837)</f>
        <v>74091.31</v>
      </c>
      <c r="S1838" s="1">
        <v>1291.51</v>
      </c>
      <c r="T1838">
        <f t="shared" si="208"/>
        <v>1397.94924528302</v>
      </c>
      <c r="U1838">
        <f t="shared" si="210"/>
        <v>826.8</v>
      </c>
      <c r="V1838">
        <f t="shared" si="205"/>
        <v>68.9</v>
      </c>
      <c r="W1838">
        <f t="shared" si="206"/>
        <v>25888.4566666667</v>
      </c>
      <c r="X1838">
        <f t="shared" si="203"/>
        <v>0.380626129983823</v>
      </c>
      <c r="AH1838" t="str">
        <f t="shared" si="209"/>
        <v>1st Quality</v>
      </c>
      <c r="AJ1838" s="3" t="s">
        <v>1904</v>
      </c>
      <c r="AK1838">
        <f t="shared" si="207"/>
        <v>1901210.97358491</v>
      </c>
    </row>
    <row r="1839" spans="1:37">
      <c r="A1839" t="s">
        <v>1905</v>
      </c>
      <c r="B1839">
        <v>33</v>
      </c>
      <c r="C1839" t="s">
        <v>50</v>
      </c>
      <c r="D1839" t="s">
        <v>45</v>
      </c>
      <c r="E1839">
        <v>543</v>
      </c>
      <c r="F1839">
        <v>38</v>
      </c>
      <c r="G1839">
        <v>10</v>
      </c>
      <c r="H1839">
        <v>938.62</v>
      </c>
      <c r="I1839">
        <v>9718.99</v>
      </c>
      <c r="J1839">
        <v>89</v>
      </c>
      <c r="K1839">
        <v>2</v>
      </c>
      <c r="L1839">
        <v>19.9</v>
      </c>
      <c r="M1839">
        <v>16.9</v>
      </c>
      <c r="N1839" t="s">
        <v>78</v>
      </c>
      <c r="O1839" t="s">
        <v>47</v>
      </c>
      <c r="P1839" t="s">
        <v>48</v>
      </c>
      <c r="R1839">
        <f>SUMIF(A1839:A6838,"C01838",I1839:I6838)</f>
        <v>9718.99</v>
      </c>
      <c r="S1839" s="1">
        <v>2214.34</v>
      </c>
      <c r="T1839">
        <f t="shared" si="208"/>
        <v>109.202134831461</v>
      </c>
      <c r="U1839">
        <f t="shared" si="210"/>
        <v>1504.1</v>
      </c>
      <c r="V1839">
        <f>U1839</f>
        <v>1504.1</v>
      </c>
      <c r="W1839">
        <f t="shared" si="206"/>
        <v>3552.87</v>
      </c>
      <c r="X1839">
        <f t="shared" ref="X1839:X1902" si="211">E1839/H1839</f>
        <v>0.578508874730988</v>
      </c>
      <c r="AH1839" t="str">
        <f t="shared" si="209"/>
        <v>3rd Quality</v>
      </c>
      <c r="AJ1839">
        <f t="shared" ref="AJ1839:AJ1860" si="212">((T1839-X1839)*2)/28.4</f>
        <v>7.64955112371338</v>
      </c>
      <c r="AK1839">
        <f t="shared" si="207"/>
        <v>59296.7592134831</v>
      </c>
    </row>
    <row r="1840" spans="1:37">
      <c r="A1840" t="s">
        <v>1906</v>
      </c>
      <c r="B1840">
        <v>36</v>
      </c>
      <c r="C1840" t="s">
        <v>44</v>
      </c>
      <c r="D1840" t="s">
        <v>45</v>
      </c>
      <c r="E1840">
        <v>1260</v>
      </c>
      <c r="F1840">
        <v>203</v>
      </c>
      <c r="G1840">
        <v>1</v>
      </c>
      <c r="H1840">
        <v>1387.71</v>
      </c>
      <c r="I1840">
        <v>1291.51</v>
      </c>
      <c r="J1840">
        <v>15</v>
      </c>
      <c r="K1840">
        <v>0</v>
      </c>
      <c r="L1840">
        <v>10.5</v>
      </c>
      <c r="M1840">
        <v>23.8</v>
      </c>
      <c r="N1840" t="s">
        <v>46</v>
      </c>
      <c r="O1840" t="s">
        <v>47</v>
      </c>
      <c r="P1840" t="s">
        <v>66</v>
      </c>
      <c r="R1840">
        <f>SUMIF(A1840:A6839,"C01839",I1840:I6839)</f>
        <v>1291.51</v>
      </c>
      <c r="S1840" s="1">
        <v>96801.47</v>
      </c>
      <c r="T1840">
        <f t="shared" si="208"/>
        <v>86.1006666666667</v>
      </c>
      <c r="U1840">
        <f t="shared" si="210"/>
        <v>357</v>
      </c>
      <c r="V1840">
        <f t="shared" si="205"/>
        <v>29.75</v>
      </c>
      <c r="W1840">
        <f t="shared" si="206"/>
        <v>893.406666666667</v>
      </c>
      <c r="X1840">
        <f t="shared" si="211"/>
        <v>0.907970685517868</v>
      </c>
      <c r="AH1840" t="str">
        <f t="shared" si="209"/>
        <v>3rd Quality</v>
      </c>
      <c r="AJ1840">
        <f t="shared" si="212"/>
        <v>5.99948563247527</v>
      </c>
      <c r="AK1840">
        <f t="shared" si="207"/>
        <v>108486.84</v>
      </c>
    </row>
    <row r="1841" spans="1:37">
      <c r="A1841" t="s">
        <v>1907</v>
      </c>
      <c r="B1841">
        <v>18</v>
      </c>
      <c r="C1841" t="s">
        <v>44</v>
      </c>
      <c r="D1841" t="s">
        <v>51</v>
      </c>
      <c r="E1841">
        <v>1089</v>
      </c>
      <c r="F1841">
        <v>28</v>
      </c>
      <c r="G1841">
        <v>4</v>
      </c>
      <c r="H1841">
        <v>562.78</v>
      </c>
      <c r="I1841">
        <v>2214.34</v>
      </c>
      <c r="J1841">
        <v>21</v>
      </c>
      <c r="K1841">
        <v>0</v>
      </c>
      <c r="L1841">
        <v>26.2</v>
      </c>
      <c r="M1841">
        <v>12.4</v>
      </c>
      <c r="N1841" t="s">
        <v>61</v>
      </c>
      <c r="O1841" t="s">
        <v>53</v>
      </c>
      <c r="P1841" t="s">
        <v>68</v>
      </c>
      <c r="R1841">
        <f>SUMIF(A1841:A6840,"C01840",I1841:I6840)</f>
        <v>2214.34</v>
      </c>
      <c r="S1841" s="1">
        <v>81386.45</v>
      </c>
      <c r="T1841">
        <f t="shared" si="208"/>
        <v>105.444761904762</v>
      </c>
      <c r="U1841">
        <f t="shared" si="210"/>
        <v>260.4</v>
      </c>
      <c r="V1841">
        <f t="shared" si="205"/>
        <v>21.7</v>
      </c>
      <c r="W1841">
        <f t="shared" si="206"/>
        <v>926.04</v>
      </c>
      <c r="X1841">
        <f t="shared" si="211"/>
        <v>1.93503678169089</v>
      </c>
      <c r="AH1841" t="str">
        <f t="shared" si="209"/>
        <v>3rd Quality</v>
      </c>
      <c r="AJ1841">
        <f t="shared" si="212"/>
        <v>7.28941726218811</v>
      </c>
      <c r="AK1841">
        <f t="shared" si="207"/>
        <v>114829.345714286</v>
      </c>
    </row>
    <row r="1842" spans="1:37">
      <c r="A1842" t="s">
        <v>1908</v>
      </c>
      <c r="B1842">
        <v>39</v>
      </c>
      <c r="C1842" t="s">
        <v>44</v>
      </c>
      <c r="D1842" t="s">
        <v>60</v>
      </c>
      <c r="E1842">
        <v>941</v>
      </c>
      <c r="F1842">
        <v>1</v>
      </c>
      <c r="G1842">
        <v>24</v>
      </c>
      <c r="H1842">
        <v>4176.72</v>
      </c>
      <c r="I1842">
        <v>96801.47</v>
      </c>
      <c r="J1842">
        <v>103</v>
      </c>
      <c r="K1842">
        <v>2</v>
      </c>
      <c r="L1842">
        <v>5.2</v>
      </c>
      <c r="M1842">
        <v>18.2</v>
      </c>
      <c r="N1842" t="s">
        <v>63</v>
      </c>
      <c r="O1842" t="s">
        <v>47</v>
      </c>
      <c r="P1842" t="s">
        <v>58</v>
      </c>
      <c r="R1842">
        <f>SUMIF(A1842:A6841,"C01841",I1842:I6841)</f>
        <v>96801.47</v>
      </c>
      <c r="S1842" s="1">
        <v>80620.71</v>
      </c>
      <c r="T1842">
        <f t="shared" si="208"/>
        <v>939.820097087379</v>
      </c>
      <c r="U1842">
        <f t="shared" si="210"/>
        <v>1874.6</v>
      </c>
      <c r="V1842">
        <f>U1842</f>
        <v>1874.6</v>
      </c>
      <c r="W1842">
        <f t="shared" si="206"/>
        <v>33659.73</v>
      </c>
      <c r="X1842">
        <f t="shared" si="211"/>
        <v>0.225296404834416</v>
      </c>
      <c r="AH1842" t="str">
        <f t="shared" si="209"/>
        <v>2nd Quality</v>
      </c>
      <c r="AJ1842">
        <f t="shared" si="212"/>
        <v>66.1686479353905</v>
      </c>
      <c r="AK1842">
        <f t="shared" si="207"/>
        <v>884370.711359223</v>
      </c>
    </row>
    <row r="1843" spans="1:37">
      <c r="A1843" t="s">
        <v>1909</v>
      </c>
      <c r="B1843">
        <v>32</v>
      </c>
      <c r="C1843" t="s">
        <v>50</v>
      </c>
      <c r="D1843" t="s">
        <v>45</v>
      </c>
      <c r="E1843">
        <v>502</v>
      </c>
      <c r="F1843">
        <v>52</v>
      </c>
      <c r="G1843">
        <v>5</v>
      </c>
      <c r="H1843">
        <v>14604.72</v>
      </c>
      <c r="I1843">
        <v>81386.45</v>
      </c>
      <c r="J1843">
        <v>30</v>
      </c>
      <c r="K1843">
        <v>2</v>
      </c>
      <c r="L1843">
        <v>9.6</v>
      </c>
      <c r="M1843">
        <v>22</v>
      </c>
      <c r="N1843" t="s">
        <v>46</v>
      </c>
      <c r="O1843" t="s">
        <v>47</v>
      </c>
      <c r="P1843" t="s">
        <v>58</v>
      </c>
      <c r="R1843">
        <f>SUMIF(A1843:A6842,"C01842",I1843:I6842)</f>
        <v>81386.45</v>
      </c>
      <c r="S1843" s="1">
        <v>1215.01</v>
      </c>
      <c r="T1843">
        <f t="shared" si="208"/>
        <v>2712.88166666667</v>
      </c>
      <c r="U1843">
        <f t="shared" si="210"/>
        <v>660</v>
      </c>
      <c r="V1843">
        <f>U1843</f>
        <v>660</v>
      </c>
      <c r="W1843">
        <f t="shared" si="206"/>
        <v>31997.39</v>
      </c>
      <c r="X1843">
        <f t="shared" si="211"/>
        <v>0.0343724494546968</v>
      </c>
      <c r="AH1843" t="str">
        <f t="shared" si="209"/>
        <v>2nd Quality</v>
      </c>
      <c r="AJ1843">
        <f t="shared" si="212"/>
        <v>191.045584099804</v>
      </c>
      <c r="AK1843">
        <f t="shared" si="207"/>
        <v>1361866.59666667</v>
      </c>
    </row>
    <row r="1844" spans="1:37">
      <c r="A1844" t="s">
        <v>1910</v>
      </c>
      <c r="B1844">
        <v>41</v>
      </c>
      <c r="C1844" t="s">
        <v>44</v>
      </c>
      <c r="D1844" t="s">
        <v>60</v>
      </c>
      <c r="E1844">
        <v>1030</v>
      </c>
      <c r="F1844">
        <v>10</v>
      </c>
      <c r="G1844">
        <v>30</v>
      </c>
      <c r="H1844">
        <v>2654.69</v>
      </c>
      <c r="I1844">
        <v>80620.71</v>
      </c>
      <c r="J1844">
        <v>70</v>
      </c>
      <c r="K1844">
        <v>1</v>
      </c>
      <c r="L1844">
        <v>10.7</v>
      </c>
      <c r="M1844">
        <v>47.9</v>
      </c>
      <c r="N1844" t="s">
        <v>52</v>
      </c>
      <c r="O1844" t="s">
        <v>47</v>
      </c>
      <c r="P1844" t="s">
        <v>58</v>
      </c>
      <c r="R1844">
        <f>SUMIF(A1844:A6843,"C01843",I1844:I6843)</f>
        <v>80620.71</v>
      </c>
      <c r="S1844" s="1">
        <v>89167.71</v>
      </c>
      <c r="T1844">
        <f t="shared" si="208"/>
        <v>1151.72442857143</v>
      </c>
      <c r="U1844">
        <f t="shared" si="210"/>
        <v>3353</v>
      </c>
      <c r="V1844">
        <f>U1844</f>
        <v>3353</v>
      </c>
      <c r="W1844">
        <f t="shared" si="206"/>
        <v>27758.8</v>
      </c>
      <c r="X1844">
        <f t="shared" si="211"/>
        <v>0.387992571637366</v>
      </c>
      <c r="AH1844" t="str">
        <f t="shared" si="209"/>
        <v>2nd Quality</v>
      </c>
      <c r="AJ1844">
        <f t="shared" si="212"/>
        <v>81.0800307042108</v>
      </c>
      <c r="AK1844">
        <f t="shared" si="207"/>
        <v>1186276.16142857</v>
      </c>
    </row>
    <row r="1845" spans="1:37">
      <c r="A1845" t="s">
        <v>1911</v>
      </c>
      <c r="B1845">
        <v>36</v>
      </c>
      <c r="C1845" t="s">
        <v>44</v>
      </c>
      <c r="D1845" t="s">
        <v>45</v>
      </c>
      <c r="E1845">
        <v>784</v>
      </c>
      <c r="F1845">
        <v>302</v>
      </c>
      <c r="G1845">
        <v>1</v>
      </c>
      <c r="H1845">
        <v>1292.59</v>
      </c>
      <c r="I1845">
        <v>1215.01</v>
      </c>
      <c r="J1845">
        <v>18</v>
      </c>
      <c r="K1845">
        <v>0</v>
      </c>
      <c r="L1845">
        <v>18.4</v>
      </c>
      <c r="M1845">
        <v>23.5</v>
      </c>
      <c r="N1845" t="s">
        <v>52</v>
      </c>
      <c r="O1845" t="s">
        <v>75</v>
      </c>
      <c r="P1845" t="s">
        <v>58</v>
      </c>
      <c r="R1845">
        <f>SUMIF(A1845:A6844,"C01844",I1845:I6844)</f>
        <v>1215.01</v>
      </c>
      <c r="S1845" s="1">
        <v>36429.47</v>
      </c>
      <c r="T1845">
        <f t="shared" si="208"/>
        <v>67.5005555555556</v>
      </c>
      <c r="U1845">
        <f t="shared" si="210"/>
        <v>423</v>
      </c>
      <c r="V1845">
        <f t="shared" si="205"/>
        <v>35.25</v>
      </c>
      <c r="W1845">
        <f t="shared" si="206"/>
        <v>836.2</v>
      </c>
      <c r="X1845">
        <f t="shared" si="211"/>
        <v>0.606534167833574</v>
      </c>
      <c r="AH1845" t="str">
        <f t="shared" si="209"/>
        <v>3rd Quality</v>
      </c>
      <c r="AJ1845">
        <f t="shared" si="212"/>
        <v>4.71084657660014</v>
      </c>
      <c r="AK1845">
        <f t="shared" si="207"/>
        <v>52920.4355555556</v>
      </c>
    </row>
    <row r="1846" spans="1:37">
      <c r="A1846" t="s">
        <v>1912</v>
      </c>
      <c r="B1846">
        <v>18</v>
      </c>
      <c r="C1846" t="s">
        <v>44</v>
      </c>
      <c r="D1846" t="s">
        <v>60</v>
      </c>
      <c r="E1846">
        <v>411</v>
      </c>
      <c r="F1846">
        <v>7</v>
      </c>
      <c r="G1846">
        <v>29</v>
      </c>
      <c r="H1846">
        <v>3000.17</v>
      </c>
      <c r="I1846">
        <v>89167.71</v>
      </c>
      <c r="J1846">
        <v>240</v>
      </c>
      <c r="K1846">
        <v>3</v>
      </c>
      <c r="L1846">
        <v>15.7</v>
      </c>
      <c r="M1846">
        <v>32.9</v>
      </c>
      <c r="N1846" t="s">
        <v>81</v>
      </c>
      <c r="O1846" t="s">
        <v>75</v>
      </c>
      <c r="P1846" t="s">
        <v>58</v>
      </c>
      <c r="R1846">
        <f>SUMIF(A1846:A6845,"C01845",I1846:I6845)</f>
        <v>89167.71</v>
      </c>
      <c r="S1846" s="1">
        <v>23690.37</v>
      </c>
      <c r="T1846">
        <f t="shared" si="208"/>
        <v>371.532125</v>
      </c>
      <c r="U1846">
        <f t="shared" si="210"/>
        <v>7896</v>
      </c>
      <c r="V1846">
        <f>U1846</f>
        <v>7896</v>
      </c>
      <c r="W1846">
        <f t="shared" si="206"/>
        <v>30722.96</v>
      </c>
      <c r="X1846">
        <f t="shared" si="211"/>
        <v>0.136992237106564</v>
      </c>
      <c r="AH1846" t="str">
        <f t="shared" si="209"/>
        <v>3rd Quality</v>
      </c>
      <c r="AJ1846">
        <f t="shared" si="212"/>
        <v>26.1545868142883</v>
      </c>
      <c r="AK1846">
        <f t="shared" si="207"/>
        <v>152699.703375</v>
      </c>
    </row>
    <row r="1847" spans="1:37">
      <c r="A1847" t="s">
        <v>1913</v>
      </c>
      <c r="B1847">
        <v>36</v>
      </c>
      <c r="C1847" t="s">
        <v>50</v>
      </c>
      <c r="D1847" t="s">
        <v>51</v>
      </c>
      <c r="E1847">
        <v>558</v>
      </c>
      <c r="F1847">
        <v>34</v>
      </c>
      <c r="G1847">
        <v>6</v>
      </c>
      <c r="H1847">
        <v>6767.74</v>
      </c>
      <c r="I1847">
        <v>36429.47</v>
      </c>
      <c r="J1847">
        <v>48</v>
      </c>
      <c r="K1847">
        <v>0</v>
      </c>
      <c r="L1847">
        <v>0</v>
      </c>
      <c r="M1847">
        <v>28.6</v>
      </c>
      <c r="N1847" t="s">
        <v>52</v>
      </c>
      <c r="O1847" t="s">
        <v>75</v>
      </c>
      <c r="P1847" t="s">
        <v>66</v>
      </c>
      <c r="R1847">
        <f>SUMIF(A1847:A6846,"C01846",I1847:I6846)</f>
        <v>36429.47</v>
      </c>
      <c r="S1847" s="1">
        <v>12908.58</v>
      </c>
      <c r="T1847">
        <f t="shared" si="208"/>
        <v>758.947291666667</v>
      </c>
      <c r="U1847">
        <f t="shared" si="210"/>
        <v>1372.8</v>
      </c>
      <c r="V1847">
        <f t="shared" si="205"/>
        <v>114.4</v>
      </c>
      <c r="W1847">
        <f t="shared" si="206"/>
        <v>14399.4033333333</v>
      </c>
      <c r="X1847">
        <f t="shared" si="211"/>
        <v>0.0824499759151504</v>
      </c>
      <c r="AH1847" t="str">
        <f t="shared" si="209"/>
        <v>2nd Quality</v>
      </c>
      <c r="AJ1847">
        <f t="shared" si="212"/>
        <v>53.44118603456</v>
      </c>
      <c r="AK1847">
        <f t="shared" si="207"/>
        <v>423492.58875</v>
      </c>
    </row>
    <row r="1848" spans="1:37">
      <c r="A1848" t="s">
        <v>1914</v>
      </c>
      <c r="B1848">
        <v>28</v>
      </c>
      <c r="C1848" t="s">
        <v>50</v>
      </c>
      <c r="D1848" t="s">
        <v>60</v>
      </c>
      <c r="E1848">
        <v>467</v>
      </c>
      <c r="F1848">
        <v>91</v>
      </c>
      <c r="G1848">
        <v>15</v>
      </c>
      <c r="H1848">
        <v>1432.66</v>
      </c>
      <c r="I1848">
        <v>23690.37</v>
      </c>
      <c r="J1848">
        <v>52</v>
      </c>
      <c r="K1848">
        <v>2</v>
      </c>
      <c r="L1848">
        <v>21.7</v>
      </c>
      <c r="M1848">
        <v>18.6</v>
      </c>
      <c r="N1848" t="s">
        <v>81</v>
      </c>
      <c r="O1848" t="s">
        <v>47</v>
      </c>
      <c r="P1848" t="s">
        <v>66</v>
      </c>
      <c r="R1848">
        <f>SUMIF(A1848:A6847,"C01847",I1848:I6847)</f>
        <v>23690.37</v>
      </c>
      <c r="S1848" s="1">
        <v>10695.03</v>
      </c>
      <c r="T1848">
        <f t="shared" si="208"/>
        <v>455.584038461538</v>
      </c>
      <c r="U1848">
        <f t="shared" si="210"/>
        <v>967.2</v>
      </c>
      <c r="V1848">
        <f>U1848</f>
        <v>967.2</v>
      </c>
      <c r="W1848">
        <f t="shared" si="206"/>
        <v>8374.67666666667</v>
      </c>
      <c r="X1848">
        <f t="shared" si="211"/>
        <v>0.325967082210713</v>
      </c>
      <c r="AH1848" t="str">
        <f t="shared" si="209"/>
        <v>2nd Quality</v>
      </c>
      <c r="AJ1848">
        <f t="shared" si="212"/>
        <v>32.0604275619245</v>
      </c>
      <c r="AK1848">
        <f t="shared" si="207"/>
        <v>212757.745961538</v>
      </c>
    </row>
    <row r="1849" spans="1:37">
      <c r="A1849" t="s">
        <v>1915</v>
      </c>
      <c r="B1849">
        <v>18</v>
      </c>
      <c r="C1849" t="s">
        <v>44</v>
      </c>
      <c r="D1849" t="s">
        <v>45</v>
      </c>
      <c r="E1849">
        <v>696</v>
      </c>
      <c r="F1849">
        <v>43</v>
      </c>
      <c r="G1849">
        <v>2</v>
      </c>
      <c r="H1849">
        <v>6704.93</v>
      </c>
      <c r="I1849">
        <v>12908.58</v>
      </c>
      <c r="J1849">
        <v>16</v>
      </c>
      <c r="K1849">
        <v>0</v>
      </c>
      <c r="L1849">
        <v>0</v>
      </c>
      <c r="M1849">
        <v>46.6</v>
      </c>
      <c r="N1849" t="s">
        <v>46</v>
      </c>
      <c r="O1849" t="s">
        <v>47</v>
      </c>
      <c r="P1849" t="s">
        <v>66</v>
      </c>
      <c r="R1849">
        <f>SUMIF(A1849:A6848,"C01848",I1849:I6848)</f>
        <v>12908.58</v>
      </c>
      <c r="S1849" s="1">
        <v>1124</v>
      </c>
      <c r="T1849">
        <f t="shared" si="208"/>
        <v>806.78625</v>
      </c>
      <c r="U1849">
        <f t="shared" si="210"/>
        <v>745.6</v>
      </c>
      <c r="V1849">
        <f t="shared" si="205"/>
        <v>62.1333333333333</v>
      </c>
      <c r="W1849">
        <f t="shared" si="206"/>
        <v>6538.17</v>
      </c>
      <c r="X1849">
        <f t="shared" si="211"/>
        <v>0.103804215703967</v>
      </c>
      <c r="AH1849" t="str">
        <f t="shared" si="209"/>
        <v>2nd Quality</v>
      </c>
      <c r="AJ1849">
        <f t="shared" si="212"/>
        <v>56.8086229425561</v>
      </c>
      <c r="AK1849">
        <f t="shared" si="207"/>
        <v>561523.23</v>
      </c>
    </row>
    <row r="1850" spans="1:37">
      <c r="A1850" t="s">
        <v>1916</v>
      </c>
      <c r="B1850">
        <v>26</v>
      </c>
      <c r="C1850" t="s">
        <v>50</v>
      </c>
      <c r="D1850" t="s">
        <v>51</v>
      </c>
      <c r="E1850">
        <v>561</v>
      </c>
      <c r="F1850">
        <v>12</v>
      </c>
      <c r="G1850">
        <v>10</v>
      </c>
      <c r="H1850">
        <v>979.39</v>
      </c>
      <c r="I1850">
        <v>10695.03</v>
      </c>
      <c r="J1850">
        <v>48</v>
      </c>
      <c r="K1850">
        <v>1</v>
      </c>
      <c r="L1850">
        <v>13.2</v>
      </c>
      <c r="M1850">
        <v>23.5</v>
      </c>
      <c r="N1850" t="s">
        <v>81</v>
      </c>
      <c r="O1850" t="s">
        <v>47</v>
      </c>
      <c r="P1850" t="s">
        <v>54</v>
      </c>
      <c r="R1850">
        <f>SUMIF(A1850:A6849,"C01849",I1850:I6849)</f>
        <v>10695.03</v>
      </c>
      <c r="S1850" s="1">
        <v>20523.73</v>
      </c>
      <c r="T1850">
        <f t="shared" si="208"/>
        <v>222.813125</v>
      </c>
      <c r="U1850">
        <f t="shared" si="210"/>
        <v>1128</v>
      </c>
      <c r="V1850">
        <f>U1850</f>
        <v>1128</v>
      </c>
      <c r="W1850">
        <f t="shared" si="206"/>
        <v>3891.80666666667</v>
      </c>
      <c r="X1850">
        <f t="shared" si="211"/>
        <v>0.572805521804388</v>
      </c>
      <c r="AH1850" t="str">
        <f t="shared" si="209"/>
        <v>3rd Quality</v>
      </c>
      <c r="AJ1850">
        <f t="shared" si="212"/>
        <v>15.6507267238166</v>
      </c>
      <c r="AK1850">
        <f t="shared" si="207"/>
        <v>124998.163125</v>
      </c>
    </row>
    <row r="1851" spans="1:37">
      <c r="A1851" t="s">
        <v>1917</v>
      </c>
      <c r="B1851">
        <v>21</v>
      </c>
      <c r="C1851" t="s">
        <v>50</v>
      </c>
      <c r="D1851" t="s">
        <v>60</v>
      </c>
      <c r="E1851">
        <v>1306</v>
      </c>
      <c r="F1851">
        <v>191</v>
      </c>
      <c r="G1851">
        <v>1</v>
      </c>
      <c r="H1851">
        <v>1046.35</v>
      </c>
      <c r="I1851">
        <v>1124</v>
      </c>
      <c r="J1851">
        <v>15</v>
      </c>
      <c r="K1851">
        <v>0</v>
      </c>
      <c r="L1851">
        <v>27</v>
      </c>
      <c r="M1851">
        <v>21.5</v>
      </c>
      <c r="N1851" t="s">
        <v>46</v>
      </c>
      <c r="O1851" t="s">
        <v>47</v>
      </c>
      <c r="P1851" t="s">
        <v>68</v>
      </c>
      <c r="R1851">
        <f>SUMIF(A1851:A6850,"C01850",I1851:I6850)</f>
        <v>1124</v>
      </c>
      <c r="S1851" s="1">
        <v>1689.29</v>
      </c>
      <c r="T1851">
        <f t="shared" si="208"/>
        <v>74.9333333333333</v>
      </c>
      <c r="U1851">
        <f t="shared" si="210"/>
        <v>322.5</v>
      </c>
      <c r="V1851">
        <f t="shared" si="205"/>
        <v>26.875</v>
      </c>
      <c r="W1851">
        <f t="shared" si="206"/>
        <v>723.783333333333</v>
      </c>
      <c r="X1851">
        <f t="shared" si="211"/>
        <v>1.24814832513021</v>
      </c>
      <c r="AH1851" t="str">
        <f t="shared" si="209"/>
        <v>3rd Quality</v>
      </c>
      <c r="AJ1851">
        <f t="shared" si="212"/>
        <v>5.18909753578895</v>
      </c>
      <c r="AK1851">
        <f t="shared" si="207"/>
        <v>97862.9333333333</v>
      </c>
    </row>
    <row r="1852" spans="1:37">
      <c r="A1852" t="s">
        <v>1918</v>
      </c>
      <c r="B1852">
        <v>40</v>
      </c>
      <c r="C1852" t="s">
        <v>50</v>
      </c>
      <c r="D1852" t="s">
        <v>60</v>
      </c>
      <c r="E1852">
        <v>682</v>
      </c>
      <c r="F1852">
        <v>33</v>
      </c>
      <c r="G1852">
        <v>13</v>
      </c>
      <c r="H1852">
        <v>1707.07</v>
      </c>
      <c r="I1852">
        <v>20523.73</v>
      </c>
      <c r="J1852">
        <v>30</v>
      </c>
      <c r="K1852">
        <v>1</v>
      </c>
      <c r="L1852">
        <v>22.2</v>
      </c>
      <c r="M1852">
        <v>21.6</v>
      </c>
      <c r="N1852" t="s">
        <v>57</v>
      </c>
      <c r="O1852" t="s">
        <v>53</v>
      </c>
      <c r="P1852" t="s">
        <v>66</v>
      </c>
      <c r="R1852">
        <f>SUMIF(A1852:A6851,"C01851",I1852:I6851)</f>
        <v>20523.73</v>
      </c>
      <c r="S1852" s="1">
        <v>5681.38</v>
      </c>
      <c r="T1852">
        <f t="shared" si="208"/>
        <v>684.124333333333</v>
      </c>
      <c r="U1852">
        <f t="shared" si="210"/>
        <v>648</v>
      </c>
      <c r="V1852">
        <f>U1852</f>
        <v>648</v>
      </c>
      <c r="W1852">
        <f t="shared" si="206"/>
        <v>7410.6</v>
      </c>
      <c r="X1852">
        <f t="shared" si="211"/>
        <v>0.399514958378977</v>
      </c>
      <c r="AH1852" t="str">
        <f t="shared" si="209"/>
        <v>2nd Quality</v>
      </c>
      <c r="AJ1852">
        <f t="shared" si="212"/>
        <v>48.1496350968278</v>
      </c>
      <c r="AK1852">
        <f t="shared" si="207"/>
        <v>466572.795333333</v>
      </c>
    </row>
    <row r="1853" spans="1:37">
      <c r="A1853" t="s">
        <v>1919</v>
      </c>
      <c r="B1853">
        <v>48</v>
      </c>
      <c r="C1853" t="s">
        <v>44</v>
      </c>
      <c r="D1853" t="s">
        <v>60</v>
      </c>
      <c r="E1853">
        <v>827</v>
      </c>
      <c r="F1853">
        <v>20</v>
      </c>
      <c r="G1853">
        <v>1</v>
      </c>
      <c r="H1853">
        <v>1520.58</v>
      </c>
      <c r="I1853">
        <v>1689.29</v>
      </c>
      <c r="J1853">
        <v>10</v>
      </c>
      <c r="K1853">
        <v>0</v>
      </c>
      <c r="L1853">
        <v>20.5</v>
      </c>
      <c r="M1853">
        <v>18.1</v>
      </c>
      <c r="N1853" t="s">
        <v>52</v>
      </c>
      <c r="O1853" t="s">
        <v>75</v>
      </c>
      <c r="P1853" t="s">
        <v>58</v>
      </c>
      <c r="R1853">
        <f>SUMIF(A1853:A6852,"C01852",I1853:I6852)</f>
        <v>1689.29</v>
      </c>
      <c r="S1853" s="1">
        <v>1423.5</v>
      </c>
      <c r="T1853">
        <f t="shared" si="208"/>
        <v>168.929</v>
      </c>
      <c r="U1853">
        <f t="shared" si="210"/>
        <v>181</v>
      </c>
      <c r="V1853">
        <f t="shared" si="205"/>
        <v>15.0833333333333</v>
      </c>
      <c r="W1853">
        <f t="shared" si="206"/>
        <v>1070.29</v>
      </c>
      <c r="X1853">
        <f t="shared" si="211"/>
        <v>0.543871417485433</v>
      </c>
      <c r="AH1853" t="str">
        <f t="shared" si="209"/>
        <v>3rd Quality</v>
      </c>
      <c r="AJ1853">
        <f t="shared" si="212"/>
        <v>11.858107646656</v>
      </c>
      <c r="AK1853">
        <f t="shared" si="207"/>
        <v>139704.283</v>
      </c>
    </row>
    <row r="1854" spans="1:37">
      <c r="A1854" t="s">
        <v>1920</v>
      </c>
      <c r="B1854">
        <v>37</v>
      </c>
      <c r="C1854" t="s">
        <v>44</v>
      </c>
      <c r="D1854" t="s">
        <v>60</v>
      </c>
      <c r="E1854">
        <v>1180</v>
      </c>
      <c r="F1854">
        <v>14</v>
      </c>
      <c r="G1854">
        <v>1</v>
      </c>
      <c r="H1854">
        <v>5081.72</v>
      </c>
      <c r="I1854">
        <v>5681.38</v>
      </c>
      <c r="J1854">
        <v>12</v>
      </c>
      <c r="K1854">
        <v>0</v>
      </c>
      <c r="L1854">
        <v>9.1</v>
      </c>
      <c r="M1854">
        <v>16.9</v>
      </c>
      <c r="N1854" t="s">
        <v>57</v>
      </c>
      <c r="O1854" t="s">
        <v>47</v>
      </c>
      <c r="P1854" t="s">
        <v>58</v>
      </c>
      <c r="R1854">
        <f>SUMIF(A1854:A6853,"C01853",I1854:I6853)</f>
        <v>5681.38</v>
      </c>
      <c r="S1854" s="1">
        <v>708.49</v>
      </c>
      <c r="T1854">
        <f t="shared" si="208"/>
        <v>473.448333333333</v>
      </c>
      <c r="U1854">
        <f t="shared" si="210"/>
        <v>202.8</v>
      </c>
      <c r="V1854">
        <f t="shared" si="205"/>
        <v>16.9</v>
      </c>
      <c r="W1854">
        <f t="shared" si="206"/>
        <v>3588.03333333333</v>
      </c>
      <c r="X1854">
        <f t="shared" si="211"/>
        <v>0.232204844029187</v>
      </c>
      <c r="AH1854" t="str">
        <f t="shared" si="209"/>
        <v>3rd Quality</v>
      </c>
      <c r="AJ1854">
        <f t="shared" si="212"/>
        <v>33.3250794710777</v>
      </c>
      <c r="AK1854">
        <f t="shared" si="207"/>
        <v>558669.033333333</v>
      </c>
    </row>
    <row r="1855" spans="1:37">
      <c r="A1855" t="s">
        <v>1921</v>
      </c>
      <c r="B1855">
        <v>41</v>
      </c>
      <c r="C1855" t="s">
        <v>44</v>
      </c>
      <c r="D1855" t="s">
        <v>51</v>
      </c>
      <c r="E1855">
        <v>488</v>
      </c>
      <c r="F1855">
        <v>35</v>
      </c>
      <c r="G1855">
        <v>1</v>
      </c>
      <c r="H1855">
        <v>1326.32</v>
      </c>
      <c r="I1855">
        <v>1423.5</v>
      </c>
      <c r="J1855">
        <v>14</v>
      </c>
      <c r="K1855">
        <v>0</v>
      </c>
      <c r="L1855">
        <v>23.2</v>
      </c>
      <c r="M1855">
        <v>26.5</v>
      </c>
      <c r="N1855" t="s">
        <v>52</v>
      </c>
      <c r="O1855" t="s">
        <v>53</v>
      </c>
      <c r="P1855" t="s">
        <v>58</v>
      </c>
      <c r="R1855">
        <f>SUMIF(A1855:A6854,"C01854",I1855:I6854)</f>
        <v>1423.5</v>
      </c>
      <c r="S1855" s="1">
        <v>3876.31</v>
      </c>
      <c r="T1855">
        <f t="shared" si="208"/>
        <v>101.678571428571</v>
      </c>
      <c r="U1855">
        <f t="shared" si="210"/>
        <v>371</v>
      </c>
      <c r="V1855">
        <f t="shared" si="205"/>
        <v>30.9166666666667</v>
      </c>
      <c r="W1855">
        <f t="shared" si="206"/>
        <v>916.94</v>
      </c>
      <c r="X1855">
        <f t="shared" si="211"/>
        <v>0.36793533988781</v>
      </c>
      <c r="AH1855" t="str">
        <f t="shared" si="209"/>
        <v>3rd Quality</v>
      </c>
      <c r="AJ1855">
        <f t="shared" si="212"/>
        <v>7.13455183723121</v>
      </c>
      <c r="AK1855">
        <f t="shared" si="207"/>
        <v>49619.1428571429</v>
      </c>
    </row>
    <row r="1856" spans="1:37">
      <c r="A1856" t="s">
        <v>1922</v>
      </c>
      <c r="B1856">
        <v>23</v>
      </c>
      <c r="C1856" t="s">
        <v>44</v>
      </c>
      <c r="D1856" t="s">
        <v>45</v>
      </c>
      <c r="E1856">
        <v>757</v>
      </c>
      <c r="F1856">
        <v>83</v>
      </c>
      <c r="G1856">
        <v>1</v>
      </c>
      <c r="H1856">
        <v>716.83</v>
      </c>
      <c r="I1856">
        <v>708.49</v>
      </c>
      <c r="J1856">
        <v>12</v>
      </c>
      <c r="K1856">
        <v>0</v>
      </c>
      <c r="L1856">
        <v>27.6</v>
      </c>
      <c r="M1856">
        <v>29.9</v>
      </c>
      <c r="N1856" t="s">
        <v>81</v>
      </c>
      <c r="O1856" t="s">
        <v>47</v>
      </c>
      <c r="P1856" t="s">
        <v>68</v>
      </c>
      <c r="R1856">
        <f>SUMIF(A1856:A6855,"C01855",I1856:I6855)</f>
        <v>708.49</v>
      </c>
      <c r="S1856" s="1">
        <v>12700.14</v>
      </c>
      <c r="T1856">
        <f t="shared" si="208"/>
        <v>59.0408333333333</v>
      </c>
      <c r="U1856">
        <f t="shared" si="210"/>
        <v>358.8</v>
      </c>
      <c r="V1856">
        <f t="shared" si="205"/>
        <v>29.9</v>
      </c>
      <c r="W1856">
        <f t="shared" si="206"/>
        <v>475.44</v>
      </c>
      <c r="X1856">
        <f t="shared" si="211"/>
        <v>1.05603839125037</v>
      </c>
      <c r="AH1856" t="str">
        <f t="shared" si="209"/>
        <v>3rd Quality</v>
      </c>
      <c r="AJ1856">
        <f t="shared" si="212"/>
        <v>4.08343626352697</v>
      </c>
      <c r="AK1856">
        <f t="shared" si="207"/>
        <v>44693.9108333333</v>
      </c>
    </row>
    <row r="1857" spans="1:37">
      <c r="A1857" t="s">
        <v>1923</v>
      </c>
      <c r="B1857">
        <v>40</v>
      </c>
      <c r="C1857" t="s">
        <v>44</v>
      </c>
      <c r="D1857" t="s">
        <v>60</v>
      </c>
      <c r="E1857">
        <v>587</v>
      </c>
      <c r="F1857">
        <v>365</v>
      </c>
      <c r="G1857">
        <v>1</v>
      </c>
      <c r="H1857">
        <v>3722.17</v>
      </c>
      <c r="I1857">
        <v>3876.31</v>
      </c>
      <c r="J1857">
        <v>12</v>
      </c>
      <c r="K1857">
        <v>0</v>
      </c>
      <c r="L1857">
        <v>27.1</v>
      </c>
      <c r="M1857">
        <v>31.4</v>
      </c>
      <c r="N1857" t="s">
        <v>46</v>
      </c>
      <c r="O1857" t="s">
        <v>53</v>
      </c>
      <c r="P1857" t="s">
        <v>58</v>
      </c>
      <c r="R1857">
        <f>SUMIF(A1857:A6856,"C01856",I1857:I6856)</f>
        <v>3876.31</v>
      </c>
      <c r="S1857" s="1">
        <v>14086.32</v>
      </c>
      <c r="T1857">
        <f t="shared" si="208"/>
        <v>323.025833333333</v>
      </c>
      <c r="U1857">
        <f t="shared" si="210"/>
        <v>376.8</v>
      </c>
      <c r="V1857">
        <f t="shared" ref="V1857:V1920" si="213">U1857/12</f>
        <v>31.4</v>
      </c>
      <c r="W1857">
        <f t="shared" si="206"/>
        <v>2533.16</v>
      </c>
      <c r="X1857">
        <f t="shared" si="211"/>
        <v>0.157703705096758</v>
      </c>
      <c r="AH1857" t="str">
        <f t="shared" si="209"/>
        <v>3rd Quality</v>
      </c>
      <c r="AJ1857">
        <f t="shared" si="212"/>
        <v>22.7371922273406</v>
      </c>
      <c r="AK1857">
        <f t="shared" si="207"/>
        <v>189616.164166667</v>
      </c>
    </row>
    <row r="1858" spans="1:37">
      <c r="A1858" t="s">
        <v>1924</v>
      </c>
      <c r="B1858">
        <v>28</v>
      </c>
      <c r="C1858" t="s">
        <v>50</v>
      </c>
      <c r="D1858" t="s">
        <v>60</v>
      </c>
      <c r="E1858">
        <v>934</v>
      </c>
      <c r="F1858">
        <v>61</v>
      </c>
      <c r="G1858">
        <v>11</v>
      </c>
      <c r="H1858">
        <v>1283.76</v>
      </c>
      <c r="I1858">
        <v>12700.14</v>
      </c>
      <c r="J1858">
        <v>28</v>
      </c>
      <c r="K1858">
        <v>2</v>
      </c>
      <c r="L1858">
        <v>33.3</v>
      </c>
      <c r="M1858">
        <v>21.3</v>
      </c>
      <c r="N1858" t="s">
        <v>63</v>
      </c>
      <c r="O1858" t="s">
        <v>47</v>
      </c>
      <c r="P1858" t="s">
        <v>48</v>
      </c>
      <c r="R1858">
        <f>SUMIF(A1858:A6857,"C01857",I1858:I6857)</f>
        <v>12700.14</v>
      </c>
      <c r="S1858" s="1">
        <v>7484.54</v>
      </c>
      <c r="T1858">
        <f t="shared" si="208"/>
        <v>453.576428571429</v>
      </c>
      <c r="U1858">
        <f t="shared" si="210"/>
        <v>596.4</v>
      </c>
      <c r="V1858">
        <f>U1858</f>
        <v>596.4</v>
      </c>
      <c r="W1858">
        <f t="shared" si="206"/>
        <v>4661.63333333333</v>
      </c>
      <c r="X1858">
        <f t="shared" si="211"/>
        <v>0.727550320932261</v>
      </c>
      <c r="AH1858" t="str">
        <f t="shared" si="209"/>
        <v>3rd Quality</v>
      </c>
      <c r="AJ1858">
        <f t="shared" si="212"/>
        <v>31.8907660739786</v>
      </c>
      <c r="AK1858">
        <f t="shared" si="207"/>
        <v>423640.384285714</v>
      </c>
    </row>
    <row r="1859" spans="1:37">
      <c r="A1859" t="s">
        <v>1925</v>
      </c>
      <c r="B1859">
        <v>18</v>
      </c>
      <c r="C1859" t="s">
        <v>44</v>
      </c>
      <c r="D1859" t="s">
        <v>51</v>
      </c>
      <c r="E1859">
        <v>1290</v>
      </c>
      <c r="F1859">
        <v>20</v>
      </c>
      <c r="G1859">
        <v>9</v>
      </c>
      <c r="H1859">
        <v>1421.48</v>
      </c>
      <c r="I1859">
        <v>14086.32</v>
      </c>
      <c r="J1859">
        <v>64</v>
      </c>
      <c r="K1859">
        <v>0</v>
      </c>
      <c r="L1859">
        <v>19.9</v>
      </c>
      <c r="M1859">
        <v>23.6</v>
      </c>
      <c r="N1859" t="s">
        <v>57</v>
      </c>
      <c r="O1859" t="s">
        <v>47</v>
      </c>
      <c r="P1859" t="s">
        <v>58</v>
      </c>
      <c r="R1859">
        <f>SUMIF(A1859:A6858,"C01858",I1859:I6858)</f>
        <v>14086.32</v>
      </c>
      <c r="S1859" s="1">
        <v>20252.02</v>
      </c>
      <c r="T1859">
        <f t="shared" si="208"/>
        <v>220.09875</v>
      </c>
      <c r="U1859">
        <f t="shared" si="210"/>
        <v>1510.4</v>
      </c>
      <c r="V1859">
        <f t="shared" si="213"/>
        <v>125.866666666667</v>
      </c>
      <c r="W1859">
        <f t="shared" ref="W1859:W1922" si="214">(H1859+I1859+1)/3</f>
        <v>5169.6</v>
      </c>
      <c r="X1859">
        <f t="shared" si="211"/>
        <v>0.907504854095731</v>
      </c>
      <c r="AH1859" t="str">
        <f t="shared" si="209"/>
        <v>3rd Quality</v>
      </c>
      <c r="AJ1859">
        <f t="shared" si="212"/>
        <v>15.436003179289</v>
      </c>
      <c r="AK1859">
        <f t="shared" ref="AK1859:AK1922" si="215">I1859/J1859*E1859</f>
        <v>283927.3875</v>
      </c>
    </row>
    <row r="1860" spans="1:37">
      <c r="A1860" t="s">
        <v>1926</v>
      </c>
      <c r="B1860">
        <v>32</v>
      </c>
      <c r="C1860" t="s">
        <v>50</v>
      </c>
      <c r="D1860" t="s">
        <v>60</v>
      </c>
      <c r="E1860">
        <v>965</v>
      </c>
      <c r="F1860">
        <v>48</v>
      </c>
      <c r="G1860">
        <v>7</v>
      </c>
      <c r="H1860">
        <v>1145.73</v>
      </c>
      <c r="I1860">
        <v>7484.54</v>
      </c>
      <c r="J1860">
        <v>49</v>
      </c>
      <c r="K1860">
        <v>0</v>
      </c>
      <c r="L1860">
        <v>22.6</v>
      </c>
      <c r="M1860">
        <v>54.7</v>
      </c>
      <c r="N1860" t="s">
        <v>78</v>
      </c>
      <c r="O1860" t="s">
        <v>47</v>
      </c>
      <c r="P1860" t="s">
        <v>58</v>
      </c>
      <c r="R1860">
        <f>SUMIF(A1860:A6859,"C01859",I1860:I6859)</f>
        <v>7484.54</v>
      </c>
      <c r="S1860" s="1">
        <v>343600.95</v>
      </c>
      <c r="T1860">
        <f t="shared" si="208"/>
        <v>152.745714285714</v>
      </c>
      <c r="U1860">
        <f t="shared" si="210"/>
        <v>2680.3</v>
      </c>
      <c r="V1860">
        <f t="shared" si="213"/>
        <v>223.358333333333</v>
      </c>
      <c r="W1860">
        <f t="shared" si="214"/>
        <v>2877.09</v>
      </c>
      <c r="X1860">
        <f t="shared" si="211"/>
        <v>0.842257774519302</v>
      </c>
      <c r="AH1860" t="str">
        <f t="shared" si="209"/>
        <v>3rd Quality</v>
      </c>
      <c r="AJ1860">
        <f t="shared" si="212"/>
        <v>10.6974265148729</v>
      </c>
      <c r="AK1860">
        <f t="shared" si="215"/>
        <v>147399.614285714</v>
      </c>
    </row>
    <row r="1861" spans="1:37">
      <c r="A1861" t="s">
        <v>1927</v>
      </c>
      <c r="B1861">
        <v>36</v>
      </c>
      <c r="C1861" t="s">
        <v>50</v>
      </c>
      <c r="D1861" t="s">
        <v>60</v>
      </c>
      <c r="E1861">
        <v>817</v>
      </c>
      <c r="F1861">
        <v>23</v>
      </c>
      <c r="G1861">
        <v>13</v>
      </c>
      <c r="H1861">
        <v>1480.83</v>
      </c>
      <c r="I1861">
        <v>20252.02</v>
      </c>
      <c r="J1861">
        <v>36</v>
      </c>
      <c r="K1861">
        <v>0</v>
      </c>
      <c r="L1861">
        <v>15.7</v>
      </c>
      <c r="M1861">
        <v>39.4</v>
      </c>
      <c r="N1861" t="s">
        <v>63</v>
      </c>
      <c r="O1861" t="s">
        <v>47</v>
      </c>
      <c r="P1861" t="s">
        <v>58</v>
      </c>
      <c r="R1861">
        <f>SUMIF(A1861:A6860,"C01860",I1861:I6860)</f>
        <v>20252.02</v>
      </c>
      <c r="S1861" s="1">
        <v>3313.33</v>
      </c>
      <c r="T1861">
        <f t="shared" si="208"/>
        <v>562.556111111111</v>
      </c>
      <c r="U1861">
        <f t="shared" si="210"/>
        <v>1418.4</v>
      </c>
      <c r="V1861">
        <f t="shared" si="213"/>
        <v>118.2</v>
      </c>
      <c r="W1861">
        <f t="shared" si="214"/>
        <v>7244.61666666667</v>
      </c>
      <c r="X1861">
        <f t="shared" si="211"/>
        <v>0.551717617822437</v>
      </c>
      <c r="AH1861" t="str">
        <f t="shared" si="209"/>
        <v>2nd Quality</v>
      </c>
      <c r="AJ1861">
        <f>((T1861-X1861)*2)/15.7</f>
        <v>71.5929163685718</v>
      </c>
      <c r="AK1861">
        <f t="shared" si="215"/>
        <v>459608.342777778</v>
      </c>
    </row>
    <row r="1862" spans="1:37">
      <c r="A1862" t="s">
        <v>1928</v>
      </c>
      <c r="B1862">
        <v>46</v>
      </c>
      <c r="C1862" t="s">
        <v>50</v>
      </c>
      <c r="D1862" t="s">
        <v>45</v>
      </c>
      <c r="E1862">
        <v>463</v>
      </c>
      <c r="F1862">
        <v>22</v>
      </c>
      <c r="G1862">
        <v>9</v>
      </c>
      <c r="H1862">
        <v>35601.49</v>
      </c>
      <c r="I1862">
        <v>343600.95</v>
      </c>
      <c r="J1862">
        <v>53</v>
      </c>
      <c r="K1862">
        <v>1</v>
      </c>
      <c r="L1862">
        <v>13.2</v>
      </c>
      <c r="M1862">
        <v>19.4</v>
      </c>
      <c r="N1862" t="s">
        <v>61</v>
      </c>
      <c r="O1862" t="s">
        <v>75</v>
      </c>
      <c r="P1862" t="s">
        <v>58</v>
      </c>
      <c r="R1862">
        <f>SUMIF(A1862:A6861,"C01861",I1862:I6861)</f>
        <v>343600.95</v>
      </c>
      <c r="S1862" s="1">
        <v>2975.69</v>
      </c>
      <c r="T1862">
        <f t="shared" si="208"/>
        <v>6483.03679245283</v>
      </c>
      <c r="U1862">
        <f t="shared" si="210"/>
        <v>1028.2</v>
      </c>
      <c r="V1862">
        <f>U1862</f>
        <v>1028.2</v>
      </c>
      <c r="W1862">
        <f t="shared" si="214"/>
        <v>126401.146666667</v>
      </c>
      <c r="X1862">
        <f t="shared" si="211"/>
        <v>0.0130050736640517</v>
      </c>
      <c r="AH1862" t="str">
        <f t="shared" si="209"/>
        <v>3rd Quality</v>
      </c>
      <c r="AJ1862">
        <f>((T1862-X1862)*2)/13.2</f>
        <v>982.276331421086</v>
      </c>
      <c r="AK1862">
        <f t="shared" si="215"/>
        <v>3001646.03490566</v>
      </c>
    </row>
    <row r="1863" spans="1:37">
      <c r="A1863" t="s">
        <v>1929</v>
      </c>
      <c r="B1863">
        <v>30</v>
      </c>
      <c r="C1863" t="s">
        <v>50</v>
      </c>
      <c r="D1863" t="s">
        <v>60</v>
      </c>
      <c r="E1863">
        <v>1391</v>
      </c>
      <c r="F1863">
        <v>257</v>
      </c>
      <c r="G1863">
        <v>2</v>
      </c>
      <c r="H1863">
        <v>1488.87</v>
      </c>
      <c r="I1863">
        <v>3313.33</v>
      </c>
      <c r="J1863">
        <v>15</v>
      </c>
      <c r="K1863">
        <v>0</v>
      </c>
      <c r="L1863">
        <v>33.2</v>
      </c>
      <c r="M1863">
        <v>18.1</v>
      </c>
      <c r="N1863" t="s">
        <v>63</v>
      </c>
      <c r="O1863" t="s">
        <v>47</v>
      </c>
      <c r="P1863" t="s">
        <v>66</v>
      </c>
      <c r="R1863">
        <f>SUMIF(A1863:A6862,"C01862",I1863:I6862)</f>
        <v>3313.33</v>
      </c>
      <c r="S1863" s="1">
        <v>31750.31</v>
      </c>
      <c r="T1863">
        <f t="shared" si="208"/>
        <v>220.888666666667</v>
      </c>
      <c r="U1863">
        <f t="shared" si="210"/>
        <v>271.5</v>
      </c>
      <c r="V1863">
        <f t="shared" si="213"/>
        <v>22.625</v>
      </c>
      <c r="W1863">
        <f t="shared" si="214"/>
        <v>1601.06666666667</v>
      </c>
      <c r="X1863">
        <f t="shared" si="211"/>
        <v>0.934265583966364</v>
      </c>
      <c r="AH1863" t="str">
        <f t="shared" si="209"/>
        <v>3rd Quality</v>
      </c>
      <c r="AJ1863">
        <f>((T1863-X1863)*2)/33.2</f>
        <v>13.2502651254639</v>
      </c>
      <c r="AK1863">
        <f t="shared" si="215"/>
        <v>307256.135333333</v>
      </c>
    </row>
    <row r="1864" spans="1:37">
      <c r="A1864" t="s">
        <v>1930</v>
      </c>
      <c r="B1864">
        <v>22</v>
      </c>
      <c r="C1864" t="s">
        <v>50</v>
      </c>
      <c r="D1864" t="s">
        <v>60</v>
      </c>
      <c r="E1864">
        <v>875</v>
      </c>
      <c r="F1864">
        <v>62</v>
      </c>
      <c r="G1864">
        <v>1</v>
      </c>
      <c r="H1864">
        <v>2761.11</v>
      </c>
      <c r="I1864">
        <v>2975.69</v>
      </c>
      <c r="J1864">
        <v>11</v>
      </c>
      <c r="K1864">
        <v>0</v>
      </c>
      <c r="L1864">
        <v>13.3</v>
      </c>
      <c r="M1864">
        <v>14.1</v>
      </c>
      <c r="N1864" t="s">
        <v>57</v>
      </c>
      <c r="O1864" t="s">
        <v>47</v>
      </c>
      <c r="P1864" t="s">
        <v>68</v>
      </c>
      <c r="R1864">
        <f>SUMIF(A1864:A6863,"C01863",I1864:I6863)</f>
        <v>2975.69</v>
      </c>
      <c r="S1864" s="1">
        <v>46714.8</v>
      </c>
      <c r="T1864">
        <f t="shared" si="208"/>
        <v>270.517272727273</v>
      </c>
      <c r="U1864">
        <f t="shared" si="210"/>
        <v>155.1</v>
      </c>
      <c r="V1864">
        <f t="shared" si="213"/>
        <v>12.925</v>
      </c>
      <c r="W1864">
        <f t="shared" si="214"/>
        <v>1912.6</v>
      </c>
      <c r="X1864">
        <f t="shared" si="211"/>
        <v>0.316901535976473</v>
      </c>
      <c r="AH1864" t="str">
        <f t="shared" si="209"/>
        <v>3rd Quality</v>
      </c>
      <c r="AJ1864">
        <f>((T1864-X1864)*2)/13.3</f>
        <v>40.6316347656085</v>
      </c>
      <c r="AK1864">
        <f t="shared" si="215"/>
        <v>236702.613636364</v>
      </c>
    </row>
    <row r="1865" spans="1:37">
      <c r="A1865" t="s">
        <v>1931</v>
      </c>
      <c r="B1865">
        <v>37</v>
      </c>
      <c r="C1865" t="s">
        <v>50</v>
      </c>
      <c r="D1865" t="s">
        <v>60</v>
      </c>
      <c r="E1865">
        <v>982</v>
      </c>
      <c r="F1865">
        <v>24</v>
      </c>
      <c r="G1865">
        <v>3</v>
      </c>
      <c r="H1865">
        <v>9832.89</v>
      </c>
      <c r="I1865">
        <v>31750.31</v>
      </c>
      <c r="J1865">
        <v>14</v>
      </c>
      <c r="K1865">
        <v>1</v>
      </c>
      <c r="L1865">
        <v>14.2</v>
      </c>
      <c r="M1865">
        <v>9.9</v>
      </c>
      <c r="N1865" t="s">
        <v>52</v>
      </c>
      <c r="O1865" t="s">
        <v>47</v>
      </c>
      <c r="P1865" t="s">
        <v>58</v>
      </c>
      <c r="R1865">
        <f>SUMIF(A1865:A6864,"C01864",I1865:I6864)</f>
        <v>31750.31</v>
      </c>
      <c r="S1865" s="1">
        <v>2077.22</v>
      </c>
      <c r="T1865">
        <f t="shared" si="208"/>
        <v>2267.87928571429</v>
      </c>
      <c r="U1865">
        <f t="shared" si="210"/>
        <v>138.6</v>
      </c>
      <c r="V1865">
        <f>U1865</f>
        <v>138.6</v>
      </c>
      <c r="W1865">
        <f t="shared" si="214"/>
        <v>13861.4</v>
      </c>
      <c r="X1865">
        <f t="shared" si="211"/>
        <v>0.0998689093440484</v>
      </c>
      <c r="AH1865" t="str">
        <f t="shared" si="209"/>
        <v>2nd Quality</v>
      </c>
      <c r="AJ1865">
        <f>((T1865-X1865)*2)/14.2</f>
        <v>319.405551662668</v>
      </c>
      <c r="AK1865">
        <f t="shared" si="215"/>
        <v>2227057.45857143</v>
      </c>
    </row>
    <row r="1866" spans="1:37">
      <c r="A1866" t="s">
        <v>1932</v>
      </c>
      <c r="B1866">
        <v>32</v>
      </c>
      <c r="C1866" t="s">
        <v>44</v>
      </c>
      <c r="D1866" t="s">
        <v>60</v>
      </c>
      <c r="E1866">
        <v>917</v>
      </c>
      <c r="F1866">
        <v>24</v>
      </c>
      <c r="G1866">
        <v>3</v>
      </c>
      <c r="H1866">
        <v>14840.1</v>
      </c>
      <c r="I1866">
        <v>46714.8</v>
      </c>
      <c r="J1866">
        <v>13</v>
      </c>
      <c r="K1866">
        <v>0</v>
      </c>
      <c r="L1866">
        <v>11.2</v>
      </c>
      <c r="M1866">
        <v>27.1</v>
      </c>
      <c r="N1866" t="s">
        <v>46</v>
      </c>
      <c r="O1866" t="s">
        <v>47</v>
      </c>
      <c r="P1866" t="s">
        <v>58</v>
      </c>
      <c r="R1866">
        <f>SUMIF(A1866:A6865,"C01865",I1866:I6865)</f>
        <v>46714.8</v>
      </c>
      <c r="S1866" s="1">
        <v>6336.69</v>
      </c>
      <c r="T1866">
        <f t="shared" si="208"/>
        <v>3593.44615384615</v>
      </c>
      <c r="U1866">
        <f t="shared" si="210"/>
        <v>352.3</v>
      </c>
      <c r="V1866">
        <f t="shared" si="213"/>
        <v>29.3583333333333</v>
      </c>
      <c r="W1866">
        <f t="shared" si="214"/>
        <v>20518.6333333333</v>
      </c>
      <c r="X1866">
        <f t="shared" si="211"/>
        <v>0.0617920364418029</v>
      </c>
      <c r="AH1866" t="str">
        <f t="shared" si="209"/>
        <v>1st Quality</v>
      </c>
      <c r="AJ1866">
        <f>((T1866-X1866)*2)/11.2</f>
        <v>641.675778894591</v>
      </c>
      <c r="AK1866">
        <f t="shared" si="215"/>
        <v>3295190.12307692</v>
      </c>
    </row>
    <row r="1867" spans="1:37">
      <c r="A1867" t="s">
        <v>1933</v>
      </c>
      <c r="B1867">
        <v>27</v>
      </c>
      <c r="C1867" t="s">
        <v>44</v>
      </c>
      <c r="D1867" t="s">
        <v>45</v>
      </c>
      <c r="E1867">
        <v>923</v>
      </c>
      <c r="F1867">
        <v>48</v>
      </c>
      <c r="G1867">
        <v>5</v>
      </c>
      <c r="H1867">
        <v>407.94</v>
      </c>
      <c r="I1867">
        <v>2077.22</v>
      </c>
      <c r="J1867">
        <v>30</v>
      </c>
      <c r="K1867">
        <v>0</v>
      </c>
      <c r="L1867">
        <v>27.8</v>
      </c>
      <c r="M1867">
        <v>55.5</v>
      </c>
      <c r="N1867" t="s">
        <v>81</v>
      </c>
      <c r="O1867" t="s">
        <v>53</v>
      </c>
      <c r="P1867" t="s">
        <v>58</v>
      </c>
      <c r="R1867">
        <f>SUMIF(A1867:A6866,"C01866",I1867:I6866)</f>
        <v>2077.22</v>
      </c>
      <c r="S1867" s="1">
        <v>97344.64</v>
      </c>
      <c r="T1867">
        <f t="shared" si="208"/>
        <v>69.2406666666667</v>
      </c>
      <c r="U1867">
        <f t="shared" si="210"/>
        <v>1665</v>
      </c>
      <c r="V1867">
        <f t="shared" si="213"/>
        <v>138.75</v>
      </c>
      <c r="W1867">
        <f t="shared" si="214"/>
        <v>828.72</v>
      </c>
      <c r="X1867">
        <f t="shared" si="211"/>
        <v>2.26258763543658</v>
      </c>
      <c r="AH1867" t="str">
        <f t="shared" si="209"/>
        <v>3rd Quality</v>
      </c>
      <c r="AJ1867">
        <f>((T1867-X1867)*2)/27.8</f>
        <v>4.81856683677915</v>
      </c>
      <c r="AK1867">
        <f t="shared" si="215"/>
        <v>63909.1353333333</v>
      </c>
    </row>
    <row r="1868" spans="1:37">
      <c r="A1868" t="s">
        <v>1934</v>
      </c>
      <c r="B1868">
        <v>36</v>
      </c>
      <c r="C1868" t="s">
        <v>50</v>
      </c>
      <c r="D1868" t="s">
        <v>45</v>
      </c>
      <c r="E1868">
        <v>479</v>
      </c>
      <c r="F1868">
        <v>281</v>
      </c>
      <c r="G1868">
        <v>2</v>
      </c>
      <c r="H1868">
        <v>3559.73</v>
      </c>
      <c r="I1868">
        <v>6336.69</v>
      </c>
      <c r="J1868">
        <v>24</v>
      </c>
      <c r="K1868">
        <v>0</v>
      </c>
      <c r="L1868">
        <v>12.1</v>
      </c>
      <c r="M1868">
        <v>35.1</v>
      </c>
      <c r="N1868" t="s">
        <v>81</v>
      </c>
      <c r="O1868" t="s">
        <v>47</v>
      </c>
      <c r="P1868" t="s">
        <v>58</v>
      </c>
      <c r="R1868">
        <f>SUMIF(A1868:A6867,"C01867",I1868:I6867)</f>
        <v>6336.69</v>
      </c>
      <c r="S1868" s="1">
        <v>25427.58</v>
      </c>
      <c r="T1868">
        <f t="shared" si="208"/>
        <v>264.02875</v>
      </c>
      <c r="U1868">
        <f t="shared" si="210"/>
        <v>842.4</v>
      </c>
      <c r="V1868">
        <f t="shared" si="213"/>
        <v>70.2</v>
      </c>
      <c r="W1868">
        <f t="shared" si="214"/>
        <v>3299.14</v>
      </c>
      <c r="X1868">
        <f t="shared" si="211"/>
        <v>0.134560767249201</v>
      </c>
      <c r="AH1868" t="str">
        <f t="shared" si="209"/>
        <v>3rd Quality</v>
      </c>
      <c r="AJ1868">
        <f>((T1868-X1868)*2)/12.1</f>
        <v>43.6188742533472</v>
      </c>
      <c r="AK1868">
        <f t="shared" si="215"/>
        <v>126469.77125</v>
      </c>
    </row>
    <row r="1869" spans="1:37">
      <c r="A1869" t="s">
        <v>1935</v>
      </c>
      <c r="B1869">
        <v>45</v>
      </c>
      <c r="C1869" t="s">
        <v>44</v>
      </c>
      <c r="D1869" t="s">
        <v>45</v>
      </c>
      <c r="E1869">
        <v>867</v>
      </c>
      <c r="F1869">
        <v>13</v>
      </c>
      <c r="G1869">
        <v>24</v>
      </c>
      <c r="H1869">
        <v>3642.76</v>
      </c>
      <c r="I1869">
        <v>97344.64</v>
      </c>
      <c r="J1869">
        <v>81</v>
      </c>
      <c r="K1869">
        <v>0</v>
      </c>
      <c r="L1869">
        <v>26.3</v>
      </c>
      <c r="M1869">
        <v>75.7</v>
      </c>
      <c r="N1869" t="s">
        <v>61</v>
      </c>
      <c r="O1869" t="s">
        <v>75</v>
      </c>
      <c r="P1869" t="s">
        <v>48</v>
      </c>
      <c r="R1869">
        <f>SUMIF(A1869:A6868,"C01868",I1869:I6868)</f>
        <v>97344.64</v>
      </c>
      <c r="S1869" s="1">
        <v>6417.2</v>
      </c>
      <c r="T1869">
        <f t="shared" si="208"/>
        <v>1201.78567901235</v>
      </c>
      <c r="U1869">
        <f t="shared" si="210"/>
        <v>6131.7</v>
      </c>
      <c r="V1869">
        <f t="shared" si="213"/>
        <v>510.975</v>
      </c>
      <c r="W1869">
        <f t="shared" si="214"/>
        <v>33662.8</v>
      </c>
      <c r="X1869">
        <f t="shared" si="211"/>
        <v>0.238006346835916</v>
      </c>
      <c r="AH1869" t="str">
        <f t="shared" si="209"/>
        <v>3rd Quality</v>
      </c>
      <c r="AJ1869">
        <f>((T1869-X1869)*2)/26.3</f>
        <v>91.3724465905334</v>
      </c>
      <c r="AK1869">
        <f t="shared" si="215"/>
        <v>1041948.1837037</v>
      </c>
    </row>
    <row r="1870" spans="1:37">
      <c r="A1870" t="s">
        <v>1936</v>
      </c>
      <c r="B1870">
        <v>32</v>
      </c>
      <c r="C1870" t="s">
        <v>44</v>
      </c>
      <c r="D1870" t="s">
        <v>51</v>
      </c>
      <c r="E1870">
        <v>828</v>
      </c>
      <c r="F1870">
        <v>12</v>
      </c>
      <c r="G1870">
        <v>3</v>
      </c>
      <c r="H1870">
        <v>8580.95</v>
      </c>
      <c r="I1870">
        <v>25427.58</v>
      </c>
      <c r="J1870">
        <v>31</v>
      </c>
      <c r="K1870">
        <v>0</v>
      </c>
      <c r="L1870">
        <v>11.4</v>
      </c>
      <c r="M1870">
        <v>17.6</v>
      </c>
      <c r="N1870" t="s">
        <v>63</v>
      </c>
      <c r="O1870" t="s">
        <v>53</v>
      </c>
      <c r="P1870" t="s">
        <v>58</v>
      </c>
      <c r="R1870">
        <f>SUMIF(A1870:A6869,"C01869",I1870:I6869)</f>
        <v>25427.58</v>
      </c>
      <c r="S1870" s="1">
        <v>16606.63</v>
      </c>
      <c r="T1870">
        <f t="shared" ref="T1870:T1933" si="216">I1870/J1870</f>
        <v>820.244516129032</v>
      </c>
      <c r="U1870">
        <f t="shared" si="210"/>
        <v>545.6</v>
      </c>
      <c r="V1870">
        <f t="shared" si="213"/>
        <v>45.4666666666667</v>
      </c>
      <c r="W1870">
        <f t="shared" si="214"/>
        <v>11336.51</v>
      </c>
      <c r="X1870">
        <f t="shared" si="211"/>
        <v>0.0964928125673731</v>
      </c>
      <c r="AH1870" t="str">
        <f t="shared" ref="AH1870:AH1933" si="217">IF(AND(W1870&gt;=12550,B1870&lt;=33,E1870&gt;=915),"1st Quality",IF(AND(W1870&gt;=6275,B1870&lt;=43,E1870&gt;=457),"2nd Quality","3rd Quality"))</f>
        <v>2nd Quality</v>
      </c>
      <c r="AJ1870">
        <f>((T1870-X1870)*2)/11.4</f>
        <v>143.885618125696</v>
      </c>
      <c r="AK1870">
        <f t="shared" si="215"/>
        <v>679162.459354839</v>
      </c>
    </row>
    <row r="1871" spans="1:37">
      <c r="A1871" t="s">
        <v>1937</v>
      </c>
      <c r="B1871">
        <v>65</v>
      </c>
      <c r="C1871" t="s">
        <v>44</v>
      </c>
      <c r="D1871" t="s">
        <v>60</v>
      </c>
      <c r="E1871">
        <v>1213</v>
      </c>
      <c r="F1871">
        <v>27</v>
      </c>
      <c r="G1871">
        <v>5</v>
      </c>
      <c r="H1871">
        <v>1198.1</v>
      </c>
      <c r="I1871">
        <v>6417.2</v>
      </c>
      <c r="J1871">
        <v>21</v>
      </c>
      <c r="K1871">
        <v>0</v>
      </c>
      <c r="L1871">
        <v>35.7</v>
      </c>
      <c r="M1871">
        <v>15.7</v>
      </c>
      <c r="N1871" t="s">
        <v>78</v>
      </c>
      <c r="O1871" t="s">
        <v>75</v>
      </c>
      <c r="P1871" t="s">
        <v>58</v>
      </c>
      <c r="R1871">
        <f>SUMIF(A1871:A6870,"C01870",I1871:I6870)</f>
        <v>6417.2</v>
      </c>
      <c r="S1871" s="1">
        <v>6044.96</v>
      </c>
      <c r="T1871">
        <f t="shared" si="216"/>
        <v>305.580952380952</v>
      </c>
      <c r="U1871">
        <f t="shared" si="210"/>
        <v>329.7</v>
      </c>
      <c r="V1871">
        <f t="shared" si="213"/>
        <v>27.475</v>
      </c>
      <c r="W1871">
        <f t="shared" si="214"/>
        <v>2538.76666666667</v>
      </c>
      <c r="X1871">
        <f t="shared" si="211"/>
        <v>1.01243635756615</v>
      </c>
      <c r="AH1871" t="str">
        <f t="shared" si="217"/>
        <v>3rd Quality</v>
      </c>
      <c r="AJ1871">
        <f>((T1871-X1871)*2)/35.7</f>
        <v>17.0626619620944</v>
      </c>
      <c r="AK1871">
        <f t="shared" si="215"/>
        <v>370669.695238095</v>
      </c>
    </row>
    <row r="1872" spans="1:37">
      <c r="A1872" t="s">
        <v>1938</v>
      </c>
      <c r="B1872">
        <v>20</v>
      </c>
      <c r="C1872" t="s">
        <v>50</v>
      </c>
      <c r="D1872" t="s">
        <v>51</v>
      </c>
      <c r="E1872">
        <v>836</v>
      </c>
      <c r="F1872">
        <v>33</v>
      </c>
      <c r="G1872">
        <v>12</v>
      </c>
      <c r="H1872">
        <v>1425.88</v>
      </c>
      <c r="I1872">
        <v>16606.63</v>
      </c>
      <c r="J1872">
        <v>105</v>
      </c>
      <c r="K1872">
        <v>1</v>
      </c>
      <c r="L1872">
        <v>20.5</v>
      </c>
      <c r="M1872">
        <v>14.8</v>
      </c>
      <c r="N1872" t="s">
        <v>46</v>
      </c>
      <c r="O1872" t="s">
        <v>47</v>
      </c>
      <c r="P1872" t="s">
        <v>58</v>
      </c>
      <c r="R1872">
        <f>SUMIF(A1872:A6871,"C01871",I1872:I6871)</f>
        <v>16606.63</v>
      </c>
      <c r="S1872" s="1">
        <v>1341.59</v>
      </c>
      <c r="T1872">
        <f t="shared" si="216"/>
        <v>158.158380952381</v>
      </c>
      <c r="U1872">
        <f t="shared" si="210"/>
        <v>1554</v>
      </c>
      <c r="V1872">
        <f>U1872</f>
        <v>1554</v>
      </c>
      <c r="W1872">
        <f t="shared" si="214"/>
        <v>6011.17</v>
      </c>
      <c r="X1872">
        <f t="shared" si="211"/>
        <v>0.586304597862373</v>
      </c>
      <c r="AH1872" t="str">
        <f t="shared" si="217"/>
        <v>3rd Quality</v>
      </c>
      <c r="AJ1872">
        <f>((T1872-X1872)*2)/20.5</f>
        <v>15.3728854980018</v>
      </c>
      <c r="AK1872">
        <f t="shared" si="215"/>
        <v>132220.40647619</v>
      </c>
    </row>
    <row r="1873" spans="1:37">
      <c r="A1873" t="s">
        <v>1939</v>
      </c>
      <c r="B1873">
        <v>35</v>
      </c>
      <c r="C1873" t="s">
        <v>50</v>
      </c>
      <c r="D1873" t="s">
        <v>60</v>
      </c>
      <c r="E1873">
        <v>1281</v>
      </c>
      <c r="F1873">
        <v>16</v>
      </c>
      <c r="G1873">
        <v>7</v>
      </c>
      <c r="H1873">
        <v>872.77</v>
      </c>
      <c r="I1873">
        <v>6044.96</v>
      </c>
      <c r="J1873">
        <v>43</v>
      </c>
      <c r="K1873">
        <v>0</v>
      </c>
      <c r="L1873">
        <v>22.4</v>
      </c>
      <c r="M1873">
        <v>11.2</v>
      </c>
      <c r="N1873" t="s">
        <v>61</v>
      </c>
      <c r="O1873" t="s">
        <v>47</v>
      </c>
      <c r="P1873" t="s">
        <v>68</v>
      </c>
      <c r="R1873">
        <f>SUMIF(A1873:A6872,"C01872",I1873:I6872)</f>
        <v>6044.96</v>
      </c>
      <c r="S1873" s="1">
        <v>3802.72</v>
      </c>
      <c r="T1873">
        <f t="shared" si="216"/>
        <v>140.580465116279</v>
      </c>
      <c r="U1873">
        <f t="shared" si="210"/>
        <v>481.6</v>
      </c>
      <c r="V1873">
        <f t="shared" si="213"/>
        <v>40.1333333333333</v>
      </c>
      <c r="W1873">
        <f t="shared" si="214"/>
        <v>2306.24333333333</v>
      </c>
      <c r="X1873">
        <f t="shared" si="211"/>
        <v>1.46774064186441</v>
      </c>
      <c r="AH1873" t="str">
        <f t="shared" si="217"/>
        <v>3rd Quality</v>
      </c>
      <c r="AJ1873">
        <f>((T1873-X1873)*2)/22.4</f>
        <v>12.4207789709299</v>
      </c>
      <c r="AK1873">
        <f t="shared" si="215"/>
        <v>180083.575813954</v>
      </c>
    </row>
    <row r="1874" spans="1:37">
      <c r="A1874" t="s">
        <v>1940</v>
      </c>
      <c r="B1874">
        <v>39</v>
      </c>
      <c r="C1874" t="s">
        <v>44</v>
      </c>
      <c r="D1874" t="s">
        <v>60</v>
      </c>
      <c r="E1874">
        <v>1085</v>
      </c>
      <c r="F1874">
        <v>145</v>
      </c>
      <c r="G1874">
        <v>2</v>
      </c>
      <c r="H1874">
        <v>676.91</v>
      </c>
      <c r="I1874">
        <v>1341.59</v>
      </c>
      <c r="J1874">
        <v>16</v>
      </c>
      <c r="K1874">
        <v>0</v>
      </c>
      <c r="L1874">
        <v>8.5</v>
      </c>
      <c r="M1874">
        <v>38.8</v>
      </c>
      <c r="N1874" t="s">
        <v>81</v>
      </c>
      <c r="O1874" t="s">
        <v>47</v>
      </c>
      <c r="P1874" t="s">
        <v>58</v>
      </c>
      <c r="R1874">
        <f>SUMIF(A1874:A6873,"C01873",I1874:I6873)</f>
        <v>1341.59</v>
      </c>
      <c r="S1874" s="1">
        <v>1453.76</v>
      </c>
      <c r="T1874">
        <f t="shared" si="216"/>
        <v>83.849375</v>
      </c>
      <c r="U1874">
        <f t="shared" si="210"/>
        <v>620.8</v>
      </c>
      <c r="V1874">
        <f t="shared" si="213"/>
        <v>51.7333333333333</v>
      </c>
      <c r="W1874">
        <f t="shared" si="214"/>
        <v>673.166666666667</v>
      </c>
      <c r="X1874">
        <f t="shared" si="211"/>
        <v>1.6028718736612</v>
      </c>
      <c r="AH1874" t="str">
        <f t="shared" si="217"/>
        <v>3rd Quality</v>
      </c>
      <c r="AJ1874">
        <f>((T1874-X1874)*2)/8.5</f>
        <v>19.352118382668</v>
      </c>
      <c r="AK1874">
        <f t="shared" si="215"/>
        <v>90976.571875</v>
      </c>
    </row>
    <row r="1875" spans="1:37">
      <c r="A1875" t="s">
        <v>1941</v>
      </c>
      <c r="B1875">
        <v>18</v>
      </c>
      <c r="C1875" t="s">
        <v>50</v>
      </c>
      <c r="D1875" t="s">
        <v>60</v>
      </c>
      <c r="E1875">
        <v>508</v>
      </c>
      <c r="F1875">
        <v>4</v>
      </c>
      <c r="G1875">
        <v>1</v>
      </c>
      <c r="H1875">
        <v>3402.57</v>
      </c>
      <c r="I1875">
        <v>3802.72</v>
      </c>
      <c r="J1875">
        <v>12</v>
      </c>
      <c r="K1875">
        <v>0</v>
      </c>
      <c r="L1875">
        <v>22.3</v>
      </c>
      <c r="M1875">
        <v>60.4</v>
      </c>
      <c r="N1875" t="s">
        <v>78</v>
      </c>
      <c r="O1875" t="s">
        <v>47</v>
      </c>
      <c r="P1875" t="s">
        <v>68</v>
      </c>
      <c r="R1875">
        <f>SUMIF(A1875:A6874,"C01874",I1875:I6874)</f>
        <v>3802.72</v>
      </c>
      <c r="S1875" s="1">
        <v>1347.35</v>
      </c>
      <c r="T1875">
        <f t="shared" si="216"/>
        <v>316.893333333333</v>
      </c>
      <c r="U1875">
        <f t="shared" si="210"/>
        <v>724.8</v>
      </c>
      <c r="V1875">
        <f t="shared" si="213"/>
        <v>60.4</v>
      </c>
      <c r="W1875">
        <f t="shared" si="214"/>
        <v>2402.09666666667</v>
      </c>
      <c r="X1875">
        <f t="shared" si="211"/>
        <v>0.149298912292767</v>
      </c>
      <c r="AH1875" t="str">
        <f t="shared" si="217"/>
        <v>3rd Quality</v>
      </c>
      <c r="AJ1875">
        <f>((T1875-X1875)*2)/22.3</f>
        <v>28.4075367193758</v>
      </c>
      <c r="AK1875">
        <f t="shared" si="215"/>
        <v>160981.813333333</v>
      </c>
    </row>
    <row r="1876" spans="1:37">
      <c r="A1876" t="s">
        <v>1942</v>
      </c>
      <c r="B1876">
        <v>34</v>
      </c>
      <c r="C1876" t="s">
        <v>44</v>
      </c>
      <c r="D1876" t="s">
        <v>60</v>
      </c>
      <c r="E1876">
        <v>1333</v>
      </c>
      <c r="F1876">
        <v>172</v>
      </c>
      <c r="G1876">
        <v>1</v>
      </c>
      <c r="H1876">
        <v>1561.97</v>
      </c>
      <c r="I1876">
        <v>1453.76</v>
      </c>
      <c r="J1876">
        <v>13</v>
      </c>
      <c r="K1876">
        <v>0</v>
      </c>
      <c r="L1876">
        <v>14.4</v>
      </c>
      <c r="M1876">
        <v>22.5</v>
      </c>
      <c r="N1876" t="s">
        <v>57</v>
      </c>
      <c r="O1876" t="s">
        <v>47</v>
      </c>
      <c r="P1876" t="s">
        <v>58</v>
      </c>
      <c r="R1876">
        <f>SUMIF(A1876:A6875,"C01875",I1876:I6875)</f>
        <v>1453.76</v>
      </c>
      <c r="S1876" s="1">
        <v>13133.38</v>
      </c>
      <c r="T1876">
        <f t="shared" si="216"/>
        <v>111.827692307692</v>
      </c>
      <c r="U1876">
        <f t="shared" si="210"/>
        <v>292.5</v>
      </c>
      <c r="V1876">
        <f t="shared" si="213"/>
        <v>24.375</v>
      </c>
      <c r="W1876">
        <f t="shared" si="214"/>
        <v>1005.57666666667</v>
      </c>
      <c r="X1876">
        <f t="shared" si="211"/>
        <v>0.853409476494427</v>
      </c>
      <c r="AH1876" t="str">
        <f t="shared" si="217"/>
        <v>3rd Quality</v>
      </c>
      <c r="AJ1876">
        <f>((T1876-X1876)*2)/14.4</f>
        <v>15.4130948376663</v>
      </c>
      <c r="AK1876">
        <f t="shared" si="215"/>
        <v>149066.313846154</v>
      </c>
    </row>
    <row r="1877" spans="1:37">
      <c r="A1877" t="s">
        <v>1943</v>
      </c>
      <c r="B1877">
        <v>18</v>
      </c>
      <c r="C1877" t="s">
        <v>44</v>
      </c>
      <c r="D1877" t="s">
        <v>45</v>
      </c>
      <c r="E1877">
        <v>815</v>
      </c>
      <c r="F1877">
        <v>67</v>
      </c>
      <c r="G1877">
        <v>2</v>
      </c>
      <c r="H1877">
        <v>673.39</v>
      </c>
      <c r="I1877">
        <v>1347.35</v>
      </c>
      <c r="J1877">
        <v>15</v>
      </c>
      <c r="K1877">
        <v>1</v>
      </c>
      <c r="L1877">
        <v>21.8</v>
      </c>
      <c r="M1877">
        <v>12.7</v>
      </c>
      <c r="N1877" t="s">
        <v>63</v>
      </c>
      <c r="O1877" t="s">
        <v>47</v>
      </c>
      <c r="P1877" t="s">
        <v>66</v>
      </c>
      <c r="R1877">
        <f>SUMIF(A1877:A6876,"C01876",I1877:I6876)</f>
        <v>1347.35</v>
      </c>
      <c r="S1877" s="1">
        <v>23518.28</v>
      </c>
      <c r="T1877">
        <f t="shared" si="216"/>
        <v>89.8233333333333</v>
      </c>
      <c r="U1877">
        <f t="shared" si="210"/>
        <v>190.5</v>
      </c>
      <c r="V1877">
        <f>U1877</f>
        <v>190.5</v>
      </c>
      <c r="W1877">
        <f t="shared" si="214"/>
        <v>673.913333333333</v>
      </c>
      <c r="X1877">
        <f t="shared" si="211"/>
        <v>1.2102941831628</v>
      </c>
      <c r="AH1877" t="str">
        <f t="shared" si="217"/>
        <v>3rd Quality</v>
      </c>
      <c r="AJ1877">
        <f>((T1877-X1877)*2)/21.8</f>
        <v>8.1296366192817</v>
      </c>
      <c r="AK1877">
        <f t="shared" si="215"/>
        <v>73206.0166666667</v>
      </c>
    </row>
    <row r="1878" spans="1:37">
      <c r="A1878" t="s">
        <v>1944</v>
      </c>
      <c r="B1878">
        <v>26</v>
      </c>
      <c r="C1878" t="s">
        <v>56</v>
      </c>
      <c r="D1878" t="s">
        <v>45</v>
      </c>
      <c r="E1878">
        <v>1139</v>
      </c>
      <c r="F1878">
        <v>11</v>
      </c>
      <c r="G1878">
        <v>13</v>
      </c>
      <c r="H1878">
        <v>1101.55</v>
      </c>
      <c r="I1878">
        <v>13133.38</v>
      </c>
      <c r="J1878">
        <v>63</v>
      </c>
      <c r="K1878">
        <v>4</v>
      </c>
      <c r="L1878">
        <v>16</v>
      </c>
      <c r="M1878">
        <v>14.2</v>
      </c>
      <c r="N1878" t="s">
        <v>61</v>
      </c>
      <c r="O1878" t="s">
        <v>53</v>
      </c>
      <c r="P1878" t="s">
        <v>68</v>
      </c>
      <c r="R1878">
        <f>SUMIF(A1878:A6877,"C01877",I1878:I6877)</f>
        <v>13133.38</v>
      </c>
      <c r="S1878" s="1">
        <v>47836.09</v>
      </c>
      <c r="T1878">
        <f t="shared" si="216"/>
        <v>208.466349206349</v>
      </c>
      <c r="U1878">
        <f t="shared" si="210"/>
        <v>894.6</v>
      </c>
      <c r="V1878">
        <f>U1878</f>
        <v>894.6</v>
      </c>
      <c r="W1878">
        <f t="shared" si="214"/>
        <v>4745.31</v>
      </c>
      <c r="X1878">
        <f t="shared" si="211"/>
        <v>1.03399754890836</v>
      </c>
      <c r="AH1878" t="str">
        <f t="shared" si="217"/>
        <v>3rd Quality</v>
      </c>
      <c r="AJ1878">
        <f>((T1878-X1878)*2)/16</f>
        <v>25.9290439571801</v>
      </c>
      <c r="AK1878">
        <f t="shared" si="215"/>
        <v>237443.171746032</v>
      </c>
    </row>
    <row r="1879" spans="1:37">
      <c r="A1879" t="s">
        <v>1945</v>
      </c>
      <c r="B1879">
        <v>25</v>
      </c>
      <c r="C1879" t="s">
        <v>44</v>
      </c>
      <c r="D1879" t="s">
        <v>60</v>
      </c>
      <c r="E1879">
        <v>678</v>
      </c>
      <c r="F1879">
        <v>58</v>
      </c>
      <c r="G1879">
        <v>10</v>
      </c>
      <c r="H1879">
        <v>2355.15</v>
      </c>
      <c r="I1879">
        <v>23518.28</v>
      </c>
      <c r="J1879">
        <v>37</v>
      </c>
      <c r="K1879">
        <v>0</v>
      </c>
      <c r="L1879">
        <v>38.9</v>
      </c>
      <c r="M1879">
        <v>21.5</v>
      </c>
      <c r="N1879" t="s">
        <v>61</v>
      </c>
      <c r="O1879" t="s">
        <v>47</v>
      </c>
      <c r="P1879" t="s">
        <v>58</v>
      </c>
      <c r="R1879">
        <f>SUMIF(A1879:A6878,"C01878",I1879:I6878)</f>
        <v>23518.28</v>
      </c>
      <c r="S1879" s="1">
        <v>11077.41</v>
      </c>
      <c r="T1879">
        <f t="shared" si="216"/>
        <v>635.629189189189</v>
      </c>
      <c r="U1879">
        <f t="shared" si="210"/>
        <v>795.5</v>
      </c>
      <c r="V1879">
        <f t="shared" si="213"/>
        <v>66.2916666666667</v>
      </c>
      <c r="W1879">
        <f t="shared" si="214"/>
        <v>8624.81</v>
      </c>
      <c r="X1879">
        <f t="shared" si="211"/>
        <v>0.287879752881982</v>
      </c>
      <c r="AH1879" t="str">
        <f t="shared" si="217"/>
        <v>2nd Quality</v>
      </c>
      <c r="AJ1879">
        <f>((T1879-X1879)*2)/38.9</f>
        <v>32.6653629530235</v>
      </c>
      <c r="AK1879">
        <f t="shared" si="215"/>
        <v>430956.59027027</v>
      </c>
    </row>
    <row r="1880" spans="1:37">
      <c r="A1880" t="s">
        <v>1946</v>
      </c>
      <c r="B1880">
        <v>25</v>
      </c>
      <c r="C1880" t="s">
        <v>50</v>
      </c>
      <c r="D1880" t="s">
        <v>45</v>
      </c>
      <c r="E1880">
        <v>1189</v>
      </c>
      <c r="F1880">
        <v>21</v>
      </c>
      <c r="G1880">
        <v>6</v>
      </c>
      <c r="H1880">
        <v>7885.69</v>
      </c>
      <c r="I1880">
        <v>47836.09</v>
      </c>
      <c r="J1880">
        <v>39</v>
      </c>
      <c r="K1880">
        <v>1</v>
      </c>
      <c r="L1880">
        <v>3.9</v>
      </c>
      <c r="M1880">
        <v>35.7</v>
      </c>
      <c r="N1880" t="s">
        <v>63</v>
      </c>
      <c r="O1880" t="s">
        <v>47</v>
      </c>
      <c r="P1880" t="s">
        <v>66</v>
      </c>
      <c r="R1880">
        <f>SUMIF(A1880:A6879,"C01879",I1880:I6879)</f>
        <v>47836.09</v>
      </c>
      <c r="S1880" s="1">
        <v>35054.75</v>
      </c>
      <c r="T1880">
        <f t="shared" si="216"/>
        <v>1226.56641025641</v>
      </c>
      <c r="U1880">
        <f t="shared" si="210"/>
        <v>1392.3</v>
      </c>
      <c r="V1880">
        <f>U1880</f>
        <v>1392.3</v>
      </c>
      <c r="W1880">
        <f t="shared" si="214"/>
        <v>18574.26</v>
      </c>
      <c r="X1880">
        <f t="shared" si="211"/>
        <v>0.150779449864248</v>
      </c>
      <c r="AH1880" t="str">
        <f t="shared" si="217"/>
        <v>1st Quality</v>
      </c>
      <c r="AJ1880">
        <f>((T1880-X1880)*2)/3.9</f>
        <v>628.931092721306</v>
      </c>
      <c r="AK1880">
        <f t="shared" si="215"/>
        <v>1458387.46179487</v>
      </c>
    </row>
    <row r="1881" spans="1:37">
      <c r="A1881" t="s">
        <v>1947</v>
      </c>
      <c r="B1881">
        <v>63</v>
      </c>
      <c r="C1881" t="s">
        <v>44</v>
      </c>
      <c r="D1881" t="s">
        <v>60</v>
      </c>
      <c r="E1881">
        <v>1351</v>
      </c>
      <c r="F1881">
        <v>30</v>
      </c>
      <c r="G1881">
        <v>1</v>
      </c>
      <c r="H1881">
        <v>12135.69</v>
      </c>
      <c r="I1881">
        <v>11077.41</v>
      </c>
      <c r="J1881">
        <v>9</v>
      </c>
      <c r="K1881">
        <v>0</v>
      </c>
      <c r="L1881">
        <v>8.6</v>
      </c>
      <c r="M1881">
        <v>56.1</v>
      </c>
      <c r="N1881" t="s">
        <v>46</v>
      </c>
      <c r="O1881" t="s">
        <v>53</v>
      </c>
      <c r="P1881" t="s">
        <v>66</v>
      </c>
      <c r="R1881">
        <f>SUMIF(A1881:A6880,"C01880",I1881:I6880)</f>
        <v>11077.41</v>
      </c>
      <c r="S1881" s="1">
        <v>25445.29</v>
      </c>
      <c r="T1881">
        <f t="shared" si="216"/>
        <v>1230.82333333333</v>
      </c>
      <c r="U1881">
        <f t="shared" si="210"/>
        <v>504.9</v>
      </c>
      <c r="V1881">
        <f t="shared" si="213"/>
        <v>42.075</v>
      </c>
      <c r="W1881">
        <f t="shared" si="214"/>
        <v>7738.03333333333</v>
      </c>
      <c r="X1881">
        <f t="shared" si="211"/>
        <v>0.111324531196825</v>
      </c>
      <c r="AH1881" t="str">
        <f t="shared" si="217"/>
        <v>3rd Quality</v>
      </c>
      <c r="AJ1881">
        <f>((T1881-X1881)*2)/8.6</f>
        <v>286.212095070264</v>
      </c>
      <c r="AK1881">
        <f t="shared" si="215"/>
        <v>1662842.32333333</v>
      </c>
    </row>
    <row r="1882" spans="1:37">
      <c r="A1882" t="s">
        <v>1948</v>
      </c>
      <c r="B1882">
        <v>31</v>
      </c>
      <c r="C1882" t="s">
        <v>101</v>
      </c>
      <c r="D1882" t="s">
        <v>60</v>
      </c>
      <c r="E1882">
        <v>400</v>
      </c>
      <c r="F1882">
        <v>47</v>
      </c>
      <c r="G1882">
        <v>4</v>
      </c>
      <c r="H1882">
        <v>8365.64</v>
      </c>
      <c r="I1882">
        <v>35054.75</v>
      </c>
      <c r="J1882">
        <v>28</v>
      </c>
      <c r="K1882">
        <v>0</v>
      </c>
      <c r="L1882">
        <v>0</v>
      </c>
      <c r="M1882">
        <v>79.5</v>
      </c>
      <c r="N1882" t="s">
        <v>81</v>
      </c>
      <c r="O1882" t="s">
        <v>47</v>
      </c>
      <c r="P1882" t="s">
        <v>66</v>
      </c>
      <c r="R1882">
        <f>SUMIF(A1882:A6881,"C01881",I1882:I6881)</f>
        <v>35054.75</v>
      </c>
      <c r="S1882" s="1">
        <v>16364.92</v>
      </c>
      <c r="T1882">
        <f t="shared" si="216"/>
        <v>1251.95535714286</v>
      </c>
      <c r="U1882">
        <f t="shared" si="210"/>
        <v>2226</v>
      </c>
      <c r="V1882">
        <f t="shared" si="213"/>
        <v>185.5</v>
      </c>
      <c r="W1882">
        <f t="shared" si="214"/>
        <v>14473.7966666667</v>
      </c>
      <c r="X1882">
        <f t="shared" si="211"/>
        <v>0.0478146322337562</v>
      </c>
      <c r="AH1882" t="str">
        <f t="shared" si="217"/>
        <v>3rd Quality</v>
      </c>
      <c r="AJ1882">
        <f>((T1882-X1882)*2)</f>
        <v>2503.81508502125</v>
      </c>
      <c r="AK1882">
        <f t="shared" si="215"/>
        <v>500782.142857143</v>
      </c>
    </row>
    <row r="1883" spans="1:37">
      <c r="A1883" t="s">
        <v>1949</v>
      </c>
      <c r="B1883">
        <v>41</v>
      </c>
      <c r="C1883" t="s">
        <v>50</v>
      </c>
      <c r="D1883" t="s">
        <v>60</v>
      </c>
      <c r="E1883">
        <v>1171</v>
      </c>
      <c r="F1883">
        <v>42</v>
      </c>
      <c r="G1883">
        <v>4</v>
      </c>
      <c r="H1883">
        <v>5897.12</v>
      </c>
      <c r="I1883">
        <v>25445.29</v>
      </c>
      <c r="J1883">
        <v>26</v>
      </c>
      <c r="K1883">
        <v>0</v>
      </c>
      <c r="L1883">
        <v>4.7</v>
      </c>
      <c r="M1883">
        <v>2.7</v>
      </c>
      <c r="N1883" t="s">
        <v>61</v>
      </c>
      <c r="O1883" t="s">
        <v>47</v>
      </c>
      <c r="P1883" t="s">
        <v>54</v>
      </c>
      <c r="R1883">
        <f>SUMIF(A1883:A6882,"C01882",I1883:I6882)</f>
        <v>25445.29</v>
      </c>
      <c r="S1883" s="1">
        <v>2727.34</v>
      </c>
      <c r="T1883">
        <f t="shared" si="216"/>
        <v>978.665</v>
      </c>
      <c r="U1883">
        <f t="shared" si="210"/>
        <v>70.2</v>
      </c>
      <c r="V1883">
        <f t="shared" si="213"/>
        <v>5.85</v>
      </c>
      <c r="W1883">
        <f t="shared" si="214"/>
        <v>10447.8033333333</v>
      </c>
      <c r="X1883">
        <f t="shared" si="211"/>
        <v>0.198571506091109</v>
      </c>
      <c r="AH1883" t="str">
        <f t="shared" si="217"/>
        <v>2nd Quality</v>
      </c>
      <c r="AJ1883">
        <f>((T1883-X1883)*2)/4.7</f>
        <v>416.368692976131</v>
      </c>
      <c r="AK1883">
        <f t="shared" si="215"/>
        <v>1146016.715</v>
      </c>
    </row>
    <row r="1884" spans="1:37">
      <c r="A1884" t="s">
        <v>1950</v>
      </c>
      <c r="B1884">
        <v>22</v>
      </c>
      <c r="C1884" t="s">
        <v>50</v>
      </c>
      <c r="D1884" t="s">
        <v>45</v>
      </c>
      <c r="E1884">
        <v>1187</v>
      </c>
      <c r="F1884">
        <v>8</v>
      </c>
      <c r="G1884">
        <v>8</v>
      </c>
      <c r="H1884">
        <v>1901.4</v>
      </c>
      <c r="I1884">
        <v>16364.92</v>
      </c>
      <c r="J1884">
        <v>28</v>
      </c>
      <c r="K1884">
        <v>0</v>
      </c>
      <c r="L1884">
        <v>12.4</v>
      </c>
      <c r="M1884">
        <v>36.6</v>
      </c>
      <c r="N1884" t="s">
        <v>63</v>
      </c>
      <c r="O1884" t="s">
        <v>47</v>
      </c>
      <c r="P1884" t="s">
        <v>66</v>
      </c>
      <c r="R1884">
        <f>SUMIF(A1884:A6883,"C01883",I1884:I6883)</f>
        <v>16364.92</v>
      </c>
      <c r="S1884" s="1">
        <v>11435.74</v>
      </c>
      <c r="T1884">
        <f t="shared" si="216"/>
        <v>584.461428571429</v>
      </c>
      <c r="U1884">
        <f t="shared" si="210"/>
        <v>1024.8</v>
      </c>
      <c r="V1884">
        <f t="shared" si="213"/>
        <v>85.4</v>
      </c>
      <c r="W1884">
        <f t="shared" si="214"/>
        <v>6089.10666666667</v>
      </c>
      <c r="X1884">
        <f t="shared" si="211"/>
        <v>0.624276848637846</v>
      </c>
      <c r="AH1884" t="str">
        <f t="shared" si="217"/>
        <v>3rd Quality</v>
      </c>
      <c r="AJ1884">
        <f>((T1884-X1884)*2)/12.4</f>
        <v>94.1672825359341</v>
      </c>
      <c r="AK1884">
        <f t="shared" si="215"/>
        <v>693755.715714286</v>
      </c>
    </row>
    <row r="1885" spans="1:37">
      <c r="A1885" t="s">
        <v>1951</v>
      </c>
      <c r="B1885">
        <v>37</v>
      </c>
      <c r="C1885" t="s">
        <v>44</v>
      </c>
      <c r="D1885" t="s">
        <v>45</v>
      </c>
      <c r="E1885">
        <v>688</v>
      </c>
      <c r="F1885">
        <v>99</v>
      </c>
      <c r="G1885">
        <v>2</v>
      </c>
      <c r="H1885">
        <v>1292.56</v>
      </c>
      <c r="I1885">
        <v>2727.34</v>
      </c>
      <c r="J1885">
        <v>25</v>
      </c>
      <c r="K1885">
        <v>0</v>
      </c>
      <c r="L1885">
        <v>31.6</v>
      </c>
      <c r="M1885">
        <v>18.1</v>
      </c>
      <c r="N1885" t="s">
        <v>57</v>
      </c>
      <c r="O1885" t="s">
        <v>47</v>
      </c>
      <c r="P1885" t="s">
        <v>58</v>
      </c>
      <c r="R1885">
        <f>SUMIF(A1885:A6884,"C01884",I1885:I6884)</f>
        <v>2727.34</v>
      </c>
      <c r="S1885" s="1">
        <v>20543.47</v>
      </c>
      <c r="T1885">
        <f t="shared" si="216"/>
        <v>109.0936</v>
      </c>
      <c r="U1885">
        <f t="shared" si="210"/>
        <v>452.5</v>
      </c>
      <c r="V1885">
        <f t="shared" si="213"/>
        <v>37.7083333333333</v>
      </c>
      <c r="W1885">
        <f t="shared" si="214"/>
        <v>1340.3</v>
      </c>
      <c r="X1885">
        <f t="shared" si="211"/>
        <v>0.532277031627159</v>
      </c>
      <c r="AH1885" t="str">
        <f t="shared" si="217"/>
        <v>3rd Quality</v>
      </c>
      <c r="AJ1885">
        <f>((T1885-X1885)*2)/31.6</f>
        <v>6.87096980812486</v>
      </c>
      <c r="AK1885">
        <f t="shared" si="215"/>
        <v>75056.3968</v>
      </c>
    </row>
    <row r="1886" spans="1:37">
      <c r="A1886" t="s">
        <v>1952</v>
      </c>
      <c r="B1886">
        <v>18</v>
      </c>
      <c r="C1886" t="s">
        <v>50</v>
      </c>
      <c r="D1886" t="s">
        <v>45</v>
      </c>
      <c r="E1886">
        <v>802</v>
      </c>
      <c r="F1886">
        <v>18</v>
      </c>
      <c r="G1886">
        <v>12</v>
      </c>
      <c r="H1886">
        <v>1042.86</v>
      </c>
      <c r="I1886">
        <v>11435.74</v>
      </c>
      <c r="J1886">
        <v>93</v>
      </c>
      <c r="K1886">
        <v>0</v>
      </c>
      <c r="L1886">
        <v>15.6</v>
      </c>
      <c r="M1886">
        <v>5.6</v>
      </c>
      <c r="N1886" t="s">
        <v>78</v>
      </c>
      <c r="O1886" t="s">
        <v>47</v>
      </c>
      <c r="P1886" t="s">
        <v>58</v>
      </c>
      <c r="R1886">
        <f>SUMIF(A1886:A6885,"C01885",I1886:I6885)</f>
        <v>11435.74</v>
      </c>
      <c r="S1886" s="1">
        <v>111303</v>
      </c>
      <c r="T1886">
        <f t="shared" si="216"/>
        <v>122.964946236559</v>
      </c>
      <c r="U1886">
        <f t="shared" si="210"/>
        <v>520.8</v>
      </c>
      <c r="V1886">
        <f t="shared" si="213"/>
        <v>43.4</v>
      </c>
      <c r="W1886">
        <f t="shared" si="214"/>
        <v>4159.86666666667</v>
      </c>
      <c r="X1886">
        <f t="shared" si="211"/>
        <v>0.769038988934277</v>
      </c>
      <c r="AH1886" t="str">
        <f t="shared" si="217"/>
        <v>3rd Quality</v>
      </c>
      <c r="AJ1886">
        <f>((T1886-X1886)*2)/15.6</f>
        <v>15.6661419548237</v>
      </c>
      <c r="AK1886">
        <f t="shared" si="215"/>
        <v>98617.8868817204</v>
      </c>
    </row>
    <row r="1887" spans="1:37">
      <c r="A1887" t="s">
        <v>1953</v>
      </c>
      <c r="B1887">
        <v>57</v>
      </c>
      <c r="C1887" t="s">
        <v>50</v>
      </c>
      <c r="D1887" t="s">
        <v>45</v>
      </c>
      <c r="E1887">
        <v>815</v>
      </c>
      <c r="F1887">
        <v>70</v>
      </c>
      <c r="G1887">
        <v>15</v>
      </c>
      <c r="H1887">
        <v>1330.77</v>
      </c>
      <c r="I1887">
        <v>20543.47</v>
      </c>
      <c r="J1887">
        <v>114</v>
      </c>
      <c r="K1887">
        <v>0</v>
      </c>
      <c r="L1887">
        <v>27.6</v>
      </c>
      <c r="M1887">
        <v>24.1</v>
      </c>
      <c r="N1887" t="s">
        <v>81</v>
      </c>
      <c r="O1887" t="s">
        <v>47</v>
      </c>
      <c r="P1887" t="s">
        <v>68</v>
      </c>
      <c r="R1887">
        <f>SUMIF(A1887:A6886,"C01886",I1887:I6886)</f>
        <v>20543.47</v>
      </c>
      <c r="S1887" s="1">
        <v>96615.18</v>
      </c>
      <c r="T1887">
        <f t="shared" si="216"/>
        <v>180.205877192982</v>
      </c>
      <c r="U1887">
        <f t="shared" si="210"/>
        <v>2747.4</v>
      </c>
      <c r="V1887">
        <f t="shared" si="213"/>
        <v>228.95</v>
      </c>
      <c r="W1887">
        <f t="shared" si="214"/>
        <v>7291.74666666667</v>
      </c>
      <c r="X1887">
        <f t="shared" si="211"/>
        <v>0.612427391660467</v>
      </c>
      <c r="AH1887" t="str">
        <f t="shared" si="217"/>
        <v>3rd Quality</v>
      </c>
      <c r="AJ1887">
        <f>((T1887-X1887)*2)/27.6</f>
        <v>13.014018101545</v>
      </c>
      <c r="AK1887">
        <f t="shared" si="215"/>
        <v>146867.789912281</v>
      </c>
    </row>
    <row r="1888" spans="1:37">
      <c r="A1888" t="s">
        <v>1954</v>
      </c>
      <c r="B1888">
        <v>40</v>
      </c>
      <c r="C1888" t="s">
        <v>50</v>
      </c>
      <c r="D1888" t="s">
        <v>45</v>
      </c>
      <c r="E1888">
        <v>857</v>
      </c>
      <c r="F1888">
        <v>30</v>
      </c>
      <c r="G1888">
        <v>32</v>
      </c>
      <c r="H1888">
        <v>3320.16</v>
      </c>
      <c r="I1888">
        <v>111303</v>
      </c>
      <c r="J1888">
        <v>134</v>
      </c>
      <c r="K1888">
        <v>3</v>
      </c>
      <c r="L1888">
        <v>0</v>
      </c>
      <c r="M1888">
        <v>32</v>
      </c>
      <c r="N1888" t="s">
        <v>78</v>
      </c>
      <c r="O1888" t="s">
        <v>53</v>
      </c>
      <c r="P1888" t="s">
        <v>66</v>
      </c>
      <c r="R1888">
        <f>SUMIF(A1888:A6887,"C01887",I1888:I6887)</f>
        <v>111303</v>
      </c>
      <c r="S1888" s="1">
        <v>5664.48</v>
      </c>
      <c r="T1888">
        <f t="shared" si="216"/>
        <v>830.619402985075</v>
      </c>
      <c r="U1888">
        <f t="shared" si="210"/>
        <v>4288</v>
      </c>
      <c r="V1888">
        <f>U1888</f>
        <v>4288</v>
      </c>
      <c r="W1888">
        <f t="shared" si="214"/>
        <v>38208.0533333333</v>
      </c>
      <c r="X1888">
        <f t="shared" si="211"/>
        <v>0.258120090598043</v>
      </c>
      <c r="AH1888" t="str">
        <f t="shared" si="217"/>
        <v>2nd Quality</v>
      </c>
      <c r="AJ1888">
        <f>((T1888-X1888)*2)</f>
        <v>1660.72256578895</v>
      </c>
      <c r="AK1888">
        <f t="shared" si="215"/>
        <v>711840.828358209</v>
      </c>
    </row>
    <row r="1889" spans="1:37">
      <c r="A1889" t="s">
        <v>1955</v>
      </c>
      <c r="B1889">
        <v>38</v>
      </c>
      <c r="C1889" t="s">
        <v>44</v>
      </c>
      <c r="D1889" t="s">
        <v>45</v>
      </c>
      <c r="E1889">
        <v>827</v>
      </c>
      <c r="F1889">
        <v>22</v>
      </c>
      <c r="G1889">
        <v>24</v>
      </c>
      <c r="H1889">
        <v>3789.74</v>
      </c>
      <c r="I1889">
        <v>96615.18</v>
      </c>
      <c r="J1889">
        <v>104</v>
      </c>
      <c r="K1889">
        <v>0</v>
      </c>
      <c r="L1889">
        <v>4.6</v>
      </c>
      <c r="M1889">
        <v>40.1</v>
      </c>
      <c r="N1889" t="s">
        <v>46</v>
      </c>
      <c r="O1889" t="s">
        <v>75</v>
      </c>
      <c r="P1889" t="s">
        <v>68</v>
      </c>
      <c r="R1889">
        <f>SUMIF(A1889:A6888,"C01888",I1889:I6888)</f>
        <v>96615.18</v>
      </c>
      <c r="S1889" s="1">
        <v>9844.56</v>
      </c>
      <c r="T1889">
        <f t="shared" si="216"/>
        <v>928.992115384615</v>
      </c>
      <c r="U1889">
        <f t="shared" si="210"/>
        <v>4170.4</v>
      </c>
      <c r="V1889">
        <f t="shared" si="213"/>
        <v>347.533333333333</v>
      </c>
      <c r="W1889">
        <f t="shared" si="214"/>
        <v>33468.64</v>
      </c>
      <c r="X1889">
        <f t="shared" si="211"/>
        <v>0.218220775039976</v>
      </c>
      <c r="AH1889" t="str">
        <f t="shared" si="217"/>
        <v>2nd Quality</v>
      </c>
      <c r="AJ1889">
        <f>((T1889-X1889)*2)/4.6</f>
        <v>403.814736786772</v>
      </c>
      <c r="AK1889">
        <f t="shared" si="215"/>
        <v>768276.479423077</v>
      </c>
    </row>
    <row r="1890" spans="1:37">
      <c r="A1890" t="s">
        <v>1956</v>
      </c>
      <c r="B1890">
        <v>29</v>
      </c>
      <c r="C1890" t="s">
        <v>44</v>
      </c>
      <c r="D1890" t="s">
        <v>60</v>
      </c>
      <c r="E1890">
        <v>1356</v>
      </c>
      <c r="F1890">
        <v>151</v>
      </c>
      <c r="G1890">
        <v>3</v>
      </c>
      <c r="H1890">
        <v>1797.81</v>
      </c>
      <c r="I1890">
        <v>5664.48</v>
      </c>
      <c r="J1890">
        <v>24</v>
      </c>
      <c r="K1890">
        <v>0</v>
      </c>
      <c r="L1890">
        <v>37.2</v>
      </c>
      <c r="M1890">
        <v>42</v>
      </c>
      <c r="N1890" t="s">
        <v>78</v>
      </c>
      <c r="O1890" t="s">
        <v>75</v>
      </c>
      <c r="P1890" t="s">
        <v>58</v>
      </c>
      <c r="R1890">
        <f>SUMIF(A1890:A6889,"C01889",I1890:I6889)</f>
        <v>5664.48</v>
      </c>
      <c r="S1890" s="1">
        <v>6279.8</v>
      </c>
      <c r="T1890">
        <f t="shared" si="216"/>
        <v>236.02</v>
      </c>
      <c r="U1890">
        <f t="shared" ref="U1890:U1953" si="218">J1890*M1890</f>
        <v>1008</v>
      </c>
      <c r="V1890">
        <f t="shared" si="213"/>
        <v>84</v>
      </c>
      <c r="W1890">
        <f t="shared" si="214"/>
        <v>2487.76333333333</v>
      </c>
      <c r="X1890">
        <f t="shared" si="211"/>
        <v>0.754251005389891</v>
      </c>
      <c r="AH1890" t="str">
        <f t="shared" si="217"/>
        <v>3rd Quality</v>
      </c>
      <c r="AJ1890">
        <f>((T1890-X1890)*2)/37.2</f>
        <v>12.6486961825059</v>
      </c>
      <c r="AK1890">
        <f t="shared" si="215"/>
        <v>320043.12</v>
      </c>
    </row>
    <row r="1891" spans="1:37">
      <c r="A1891" t="s">
        <v>1957</v>
      </c>
      <c r="B1891">
        <v>36</v>
      </c>
      <c r="C1891" t="s">
        <v>44</v>
      </c>
      <c r="D1891" t="s">
        <v>60</v>
      </c>
      <c r="E1891">
        <v>1386</v>
      </c>
      <c r="F1891">
        <v>32</v>
      </c>
      <c r="G1891">
        <v>8</v>
      </c>
      <c r="H1891">
        <v>1193.67</v>
      </c>
      <c r="I1891">
        <v>9844.56</v>
      </c>
      <c r="J1891">
        <v>26</v>
      </c>
      <c r="K1891">
        <v>2</v>
      </c>
      <c r="L1891">
        <v>32.7</v>
      </c>
      <c r="M1891">
        <v>37.3</v>
      </c>
      <c r="N1891" t="s">
        <v>52</v>
      </c>
      <c r="O1891" t="s">
        <v>47</v>
      </c>
      <c r="P1891" t="s">
        <v>66</v>
      </c>
      <c r="R1891">
        <f>SUMIF(A1891:A6890,"C01890",I1891:I6890)</f>
        <v>9844.56</v>
      </c>
      <c r="S1891" s="1">
        <v>3449.85</v>
      </c>
      <c r="T1891">
        <f t="shared" si="216"/>
        <v>378.636923076923</v>
      </c>
      <c r="U1891">
        <f t="shared" si="218"/>
        <v>969.8</v>
      </c>
      <c r="V1891">
        <f>U1891</f>
        <v>969.8</v>
      </c>
      <c r="W1891">
        <f t="shared" si="214"/>
        <v>3679.74333333333</v>
      </c>
      <c r="X1891">
        <f t="shared" si="211"/>
        <v>1.16112493402699</v>
      </c>
      <c r="AH1891" t="str">
        <f t="shared" si="217"/>
        <v>3rd Quality</v>
      </c>
      <c r="AJ1891">
        <f>((T1891-X1891)*2)/32.7</f>
        <v>23.087204779382</v>
      </c>
      <c r="AK1891">
        <f t="shared" si="215"/>
        <v>524790.775384615</v>
      </c>
    </row>
    <row r="1892" spans="1:37">
      <c r="A1892" t="s">
        <v>1958</v>
      </c>
      <c r="B1892">
        <v>53</v>
      </c>
      <c r="C1892" t="s">
        <v>44</v>
      </c>
      <c r="D1892" t="s">
        <v>60</v>
      </c>
      <c r="E1892">
        <v>1399</v>
      </c>
      <c r="F1892">
        <v>61</v>
      </c>
      <c r="G1892">
        <v>5</v>
      </c>
      <c r="H1892">
        <v>1190.87</v>
      </c>
      <c r="I1892">
        <v>6279.8</v>
      </c>
      <c r="J1892">
        <v>47</v>
      </c>
      <c r="K1892">
        <v>0</v>
      </c>
      <c r="L1892">
        <v>22</v>
      </c>
      <c r="M1892">
        <v>63.2</v>
      </c>
      <c r="N1892" t="s">
        <v>46</v>
      </c>
      <c r="O1892" t="s">
        <v>47</v>
      </c>
      <c r="P1892" t="s">
        <v>58</v>
      </c>
      <c r="R1892">
        <f>SUMIF(A1892:A6891,"C01891",I1892:I6891)</f>
        <v>6279.8</v>
      </c>
      <c r="S1892" s="1">
        <v>60762.62</v>
      </c>
      <c r="T1892">
        <f t="shared" si="216"/>
        <v>133.612765957447</v>
      </c>
      <c r="U1892">
        <f t="shared" si="218"/>
        <v>2970.4</v>
      </c>
      <c r="V1892">
        <f t="shared" si="213"/>
        <v>247.533333333333</v>
      </c>
      <c r="W1892">
        <f t="shared" si="214"/>
        <v>2490.55666666667</v>
      </c>
      <c r="X1892">
        <f t="shared" si="211"/>
        <v>1.17477138562564</v>
      </c>
      <c r="AH1892" t="str">
        <f t="shared" si="217"/>
        <v>3rd Quality</v>
      </c>
      <c r="AJ1892">
        <f>((T1892-X1892)*2)/22</f>
        <v>12.0398176883474</v>
      </c>
      <c r="AK1892">
        <f t="shared" si="215"/>
        <v>186924.259574468</v>
      </c>
    </row>
    <row r="1893" spans="1:37">
      <c r="A1893" t="s">
        <v>1959</v>
      </c>
      <c r="B1893">
        <v>31</v>
      </c>
      <c r="C1893" t="s">
        <v>44</v>
      </c>
      <c r="D1893" t="s">
        <v>51</v>
      </c>
      <c r="E1893">
        <v>886</v>
      </c>
      <c r="F1893">
        <v>14</v>
      </c>
      <c r="G1893">
        <v>4</v>
      </c>
      <c r="H1893">
        <v>795.22</v>
      </c>
      <c r="I1893">
        <v>3449.85</v>
      </c>
      <c r="J1893">
        <v>21</v>
      </c>
      <c r="K1893">
        <v>0</v>
      </c>
      <c r="L1893">
        <v>26.3</v>
      </c>
      <c r="M1893">
        <v>6.7</v>
      </c>
      <c r="N1893" t="s">
        <v>61</v>
      </c>
      <c r="O1893" t="s">
        <v>53</v>
      </c>
      <c r="P1893" t="s">
        <v>58</v>
      </c>
      <c r="R1893">
        <f>SUMIF(A1893:A6892,"C01892",I1893:I6892)</f>
        <v>3449.85</v>
      </c>
      <c r="S1893" s="1">
        <v>41083.08</v>
      </c>
      <c r="T1893">
        <f t="shared" si="216"/>
        <v>164.278571428571</v>
      </c>
      <c r="U1893">
        <f t="shared" si="218"/>
        <v>140.7</v>
      </c>
      <c r="V1893">
        <f t="shared" si="213"/>
        <v>11.725</v>
      </c>
      <c r="W1893">
        <f t="shared" si="214"/>
        <v>1415.35666666667</v>
      </c>
      <c r="X1893">
        <f t="shared" si="211"/>
        <v>1.11415708860441</v>
      </c>
      <c r="AH1893" t="str">
        <f t="shared" si="217"/>
        <v>3rd Quality</v>
      </c>
      <c r="AJ1893">
        <f>((T1893-X1893)*2)/26.3</f>
        <v>12.4079402539899</v>
      </c>
      <c r="AK1893">
        <f t="shared" si="215"/>
        <v>145550.814285714</v>
      </c>
    </row>
    <row r="1894" spans="1:37">
      <c r="A1894" t="s">
        <v>1960</v>
      </c>
      <c r="B1894">
        <v>37</v>
      </c>
      <c r="C1894" t="s">
        <v>50</v>
      </c>
      <c r="D1894" t="s">
        <v>60</v>
      </c>
      <c r="E1894">
        <v>1129</v>
      </c>
      <c r="F1894">
        <v>16</v>
      </c>
      <c r="G1894">
        <v>9</v>
      </c>
      <c r="H1894">
        <v>6640.92</v>
      </c>
      <c r="I1894">
        <v>60762.62</v>
      </c>
      <c r="J1894">
        <v>40</v>
      </c>
      <c r="K1894">
        <v>1</v>
      </c>
      <c r="L1894">
        <v>6.8</v>
      </c>
      <c r="M1894">
        <v>24.1</v>
      </c>
      <c r="N1894" t="s">
        <v>57</v>
      </c>
      <c r="O1894" t="s">
        <v>75</v>
      </c>
      <c r="P1894" t="s">
        <v>58</v>
      </c>
      <c r="R1894">
        <f>SUMIF(A1894:A6893,"C01893",I1894:I6893)</f>
        <v>60762.62</v>
      </c>
      <c r="S1894" s="1">
        <v>9168.59</v>
      </c>
      <c r="T1894">
        <f t="shared" si="216"/>
        <v>1519.0655</v>
      </c>
      <c r="U1894">
        <f t="shared" si="218"/>
        <v>964</v>
      </c>
      <c r="V1894">
        <f>U1894</f>
        <v>964</v>
      </c>
      <c r="W1894">
        <f t="shared" si="214"/>
        <v>22468.18</v>
      </c>
      <c r="X1894">
        <f t="shared" si="211"/>
        <v>0.170006565355403</v>
      </c>
      <c r="AH1894" t="str">
        <f t="shared" si="217"/>
        <v>2nd Quality</v>
      </c>
      <c r="AJ1894">
        <f>((T1894-X1894)*2)/6.8</f>
        <v>446.733968657248</v>
      </c>
      <c r="AK1894">
        <f t="shared" si="215"/>
        <v>1715024.9495</v>
      </c>
    </row>
    <row r="1895" spans="1:37">
      <c r="A1895" t="s">
        <v>1961</v>
      </c>
      <c r="B1895">
        <v>20</v>
      </c>
      <c r="C1895" t="s">
        <v>50</v>
      </c>
      <c r="D1895" t="s">
        <v>60</v>
      </c>
      <c r="E1895">
        <v>390</v>
      </c>
      <c r="F1895">
        <v>13</v>
      </c>
      <c r="G1895">
        <v>27</v>
      </c>
      <c r="H1895">
        <v>1663.18</v>
      </c>
      <c r="I1895">
        <v>41083.08</v>
      </c>
      <c r="J1895">
        <v>198</v>
      </c>
      <c r="K1895">
        <v>0</v>
      </c>
      <c r="L1895">
        <v>23.4</v>
      </c>
      <c r="M1895">
        <v>19.8</v>
      </c>
      <c r="N1895" t="s">
        <v>46</v>
      </c>
      <c r="O1895" t="s">
        <v>47</v>
      </c>
      <c r="P1895" t="s">
        <v>66</v>
      </c>
      <c r="R1895">
        <f>SUMIF(A1895:A6894,"C01894",I1895:I6894)</f>
        <v>41083.08</v>
      </c>
      <c r="S1895" s="1">
        <v>109647.41</v>
      </c>
      <c r="T1895">
        <f t="shared" si="216"/>
        <v>207.490303030303</v>
      </c>
      <c r="U1895">
        <f t="shared" si="218"/>
        <v>3920.4</v>
      </c>
      <c r="V1895">
        <f t="shared" si="213"/>
        <v>326.7</v>
      </c>
      <c r="W1895">
        <f t="shared" si="214"/>
        <v>14249.0866666667</v>
      </c>
      <c r="X1895">
        <f t="shared" si="211"/>
        <v>0.234490554239469</v>
      </c>
      <c r="AH1895" t="str">
        <f t="shared" si="217"/>
        <v>3rd Quality</v>
      </c>
      <c r="AJ1895">
        <f>((T1895-X1895)*2)/23.4</f>
        <v>17.7141720065012</v>
      </c>
      <c r="AK1895">
        <f t="shared" si="215"/>
        <v>80921.2181818182</v>
      </c>
    </row>
    <row r="1896" spans="1:37">
      <c r="A1896" t="s">
        <v>1962</v>
      </c>
      <c r="B1896">
        <v>47</v>
      </c>
      <c r="C1896" t="s">
        <v>101</v>
      </c>
      <c r="D1896" t="s">
        <v>51</v>
      </c>
      <c r="E1896">
        <v>389</v>
      </c>
      <c r="F1896">
        <v>29</v>
      </c>
      <c r="G1896">
        <v>6</v>
      </c>
      <c r="H1896">
        <v>1420.39</v>
      </c>
      <c r="I1896">
        <v>9168.59</v>
      </c>
      <c r="J1896">
        <v>22</v>
      </c>
      <c r="K1896">
        <v>1</v>
      </c>
      <c r="L1896">
        <v>20.1</v>
      </c>
      <c r="M1896">
        <v>22.3</v>
      </c>
      <c r="N1896" t="s">
        <v>57</v>
      </c>
      <c r="O1896" t="s">
        <v>47</v>
      </c>
      <c r="P1896" t="s">
        <v>58</v>
      </c>
      <c r="R1896">
        <f>SUMIF(A1896:A6895,"C01895",I1896:I6895)</f>
        <v>9168.59</v>
      </c>
      <c r="S1896" s="1">
        <v>9934.73</v>
      </c>
      <c r="T1896">
        <f t="shared" si="216"/>
        <v>416.754090909091</v>
      </c>
      <c r="U1896">
        <f t="shared" si="218"/>
        <v>490.6</v>
      </c>
      <c r="V1896">
        <f>U1896</f>
        <v>490.6</v>
      </c>
      <c r="W1896">
        <f t="shared" si="214"/>
        <v>3529.99333333333</v>
      </c>
      <c r="X1896">
        <f t="shared" si="211"/>
        <v>0.273868444582122</v>
      </c>
      <c r="AH1896" t="str">
        <f t="shared" si="217"/>
        <v>3rd Quality</v>
      </c>
      <c r="AJ1896">
        <f>((T1896-X1896)*2)/20.1</f>
        <v>41.4408181556725</v>
      </c>
      <c r="AK1896">
        <f t="shared" si="215"/>
        <v>162117.341363636</v>
      </c>
    </row>
    <row r="1897" spans="1:37">
      <c r="A1897" t="s">
        <v>1963</v>
      </c>
      <c r="B1897">
        <v>35</v>
      </c>
      <c r="C1897" t="s">
        <v>44</v>
      </c>
      <c r="D1897" t="s">
        <v>60</v>
      </c>
      <c r="E1897">
        <v>1166</v>
      </c>
      <c r="F1897">
        <v>3</v>
      </c>
      <c r="G1897">
        <v>27</v>
      </c>
      <c r="H1897">
        <v>3909.92</v>
      </c>
      <c r="I1897">
        <v>109647.41</v>
      </c>
      <c r="J1897">
        <v>150</v>
      </c>
      <c r="K1897">
        <v>4</v>
      </c>
      <c r="L1897">
        <v>9</v>
      </c>
      <c r="M1897">
        <v>47</v>
      </c>
      <c r="N1897" t="s">
        <v>78</v>
      </c>
      <c r="O1897" t="s">
        <v>47</v>
      </c>
      <c r="P1897" t="s">
        <v>58</v>
      </c>
      <c r="R1897">
        <f>SUMIF(A1897:A6896,"C01896",I1897:I6896)</f>
        <v>109647.41</v>
      </c>
      <c r="S1897" s="1">
        <v>6265.52</v>
      </c>
      <c r="T1897">
        <f t="shared" si="216"/>
        <v>730.982733333333</v>
      </c>
      <c r="U1897">
        <f t="shared" si="218"/>
        <v>7050</v>
      </c>
      <c r="V1897">
        <f>U1897</f>
        <v>7050</v>
      </c>
      <c r="W1897">
        <f t="shared" si="214"/>
        <v>37852.7766666667</v>
      </c>
      <c r="X1897">
        <f t="shared" si="211"/>
        <v>0.298215820272538</v>
      </c>
      <c r="AH1897" t="str">
        <f t="shared" si="217"/>
        <v>2nd Quality</v>
      </c>
      <c r="AJ1897">
        <f>((T1897-X1897)*2)/9</f>
        <v>162.374337225125</v>
      </c>
      <c r="AK1897">
        <f t="shared" si="215"/>
        <v>852325.867066667</v>
      </c>
    </row>
    <row r="1898" spans="1:37">
      <c r="A1898" t="s">
        <v>1964</v>
      </c>
      <c r="B1898">
        <v>38</v>
      </c>
      <c r="C1898" t="s">
        <v>50</v>
      </c>
      <c r="D1898" t="s">
        <v>45</v>
      </c>
      <c r="E1898">
        <v>1094</v>
      </c>
      <c r="F1898">
        <v>40</v>
      </c>
      <c r="G1898">
        <v>1</v>
      </c>
      <c r="H1898">
        <v>9508.86</v>
      </c>
      <c r="I1898">
        <v>9934.73</v>
      </c>
      <c r="J1898">
        <v>12</v>
      </c>
      <c r="K1898">
        <v>0</v>
      </c>
      <c r="L1898">
        <v>0</v>
      </c>
      <c r="M1898">
        <v>36.2</v>
      </c>
      <c r="N1898" t="s">
        <v>63</v>
      </c>
      <c r="O1898" t="s">
        <v>47</v>
      </c>
      <c r="P1898" t="s">
        <v>68</v>
      </c>
      <c r="R1898">
        <f>SUMIF(A1898:A6897,"C01897",I1898:I6897)</f>
        <v>9934.73</v>
      </c>
      <c r="S1898" s="1">
        <v>35410.84</v>
      </c>
      <c r="T1898">
        <f t="shared" si="216"/>
        <v>827.894166666667</v>
      </c>
      <c r="U1898">
        <f t="shared" si="218"/>
        <v>434.4</v>
      </c>
      <c r="V1898">
        <f t="shared" si="213"/>
        <v>36.2</v>
      </c>
      <c r="W1898">
        <f t="shared" si="214"/>
        <v>6481.53</v>
      </c>
      <c r="X1898">
        <f t="shared" si="211"/>
        <v>0.115050594918844</v>
      </c>
      <c r="AH1898" t="str">
        <f t="shared" si="217"/>
        <v>2nd Quality</v>
      </c>
      <c r="AJ1898">
        <f>((T1898-X1898)*2)</f>
        <v>1655.5582321435</v>
      </c>
      <c r="AK1898">
        <f t="shared" si="215"/>
        <v>905716.218333333</v>
      </c>
    </row>
    <row r="1899" spans="1:37">
      <c r="A1899" t="s">
        <v>1965</v>
      </c>
      <c r="B1899">
        <v>23</v>
      </c>
      <c r="C1899" t="s">
        <v>44</v>
      </c>
      <c r="D1899" t="s">
        <v>45</v>
      </c>
      <c r="E1899">
        <v>475</v>
      </c>
      <c r="F1899">
        <v>87</v>
      </c>
      <c r="G1899">
        <v>5</v>
      </c>
      <c r="H1899">
        <v>1318.21</v>
      </c>
      <c r="I1899">
        <v>6265.52</v>
      </c>
      <c r="J1899">
        <v>21</v>
      </c>
      <c r="K1899">
        <v>0</v>
      </c>
      <c r="L1899">
        <v>17.3</v>
      </c>
      <c r="M1899">
        <v>31.8</v>
      </c>
      <c r="N1899" t="s">
        <v>78</v>
      </c>
      <c r="O1899" t="s">
        <v>75</v>
      </c>
      <c r="P1899" t="s">
        <v>66</v>
      </c>
      <c r="R1899">
        <f>SUMIF(A1899:A6898,"C01898",I1899:I6898)</f>
        <v>6265.52</v>
      </c>
      <c r="S1899" s="1">
        <v>93985.41</v>
      </c>
      <c r="T1899">
        <f t="shared" si="216"/>
        <v>298.358095238095</v>
      </c>
      <c r="U1899">
        <f t="shared" si="218"/>
        <v>667.8</v>
      </c>
      <c r="V1899">
        <f t="shared" si="213"/>
        <v>55.65</v>
      </c>
      <c r="W1899">
        <f t="shared" si="214"/>
        <v>2528.24333333333</v>
      </c>
      <c r="X1899">
        <f t="shared" si="211"/>
        <v>0.360337123827008</v>
      </c>
      <c r="AH1899" t="str">
        <f t="shared" si="217"/>
        <v>3rd Quality</v>
      </c>
      <c r="AJ1899">
        <f>((T1899-X1899)*2)/17.3</f>
        <v>34.4506078744819</v>
      </c>
      <c r="AK1899">
        <f t="shared" si="215"/>
        <v>141720.095238095</v>
      </c>
    </row>
    <row r="1900" spans="1:37">
      <c r="A1900" t="s">
        <v>1966</v>
      </c>
      <c r="B1900">
        <v>21</v>
      </c>
      <c r="C1900" t="s">
        <v>50</v>
      </c>
      <c r="D1900" t="s">
        <v>45</v>
      </c>
      <c r="E1900">
        <v>1093</v>
      </c>
      <c r="F1900">
        <v>23</v>
      </c>
      <c r="G1900">
        <v>17</v>
      </c>
      <c r="H1900">
        <v>2274.21</v>
      </c>
      <c r="I1900">
        <v>35410.84</v>
      </c>
      <c r="J1900">
        <v>40</v>
      </c>
      <c r="K1900">
        <v>1</v>
      </c>
      <c r="L1900">
        <v>12.1</v>
      </c>
      <c r="M1900">
        <v>43</v>
      </c>
      <c r="N1900" t="s">
        <v>78</v>
      </c>
      <c r="O1900" t="s">
        <v>47</v>
      </c>
      <c r="P1900" t="s">
        <v>58</v>
      </c>
      <c r="R1900">
        <f>SUMIF(A1900:A6899,"C01899",I1900:I6899)</f>
        <v>35410.84</v>
      </c>
      <c r="S1900" s="1">
        <v>18075.18</v>
      </c>
      <c r="T1900">
        <f t="shared" si="216"/>
        <v>885.271</v>
      </c>
      <c r="U1900">
        <f t="shared" si="218"/>
        <v>1720</v>
      </c>
      <c r="V1900">
        <f>U1900</f>
        <v>1720</v>
      </c>
      <c r="W1900">
        <f t="shared" si="214"/>
        <v>12562.0166666667</v>
      </c>
      <c r="X1900">
        <f t="shared" si="211"/>
        <v>0.480606452350487</v>
      </c>
      <c r="AH1900" t="str">
        <f t="shared" si="217"/>
        <v>1st Quality</v>
      </c>
      <c r="AJ1900">
        <f>((T1900-X1900)*2)/12.1</f>
        <v>146.246346040934</v>
      </c>
      <c r="AK1900">
        <f t="shared" si="215"/>
        <v>967601.203</v>
      </c>
    </row>
    <row r="1901" spans="1:37">
      <c r="A1901" t="s">
        <v>1967</v>
      </c>
      <c r="B1901">
        <v>29</v>
      </c>
      <c r="C1901" t="s">
        <v>44</v>
      </c>
      <c r="D1901" t="s">
        <v>51</v>
      </c>
      <c r="E1901">
        <v>1058</v>
      </c>
      <c r="F1901">
        <v>5</v>
      </c>
      <c r="G1901">
        <v>25</v>
      </c>
      <c r="H1901">
        <v>3522.12</v>
      </c>
      <c r="I1901">
        <v>93985.41</v>
      </c>
      <c r="J1901">
        <v>162</v>
      </c>
      <c r="K1901">
        <v>0</v>
      </c>
      <c r="L1901">
        <v>15.3</v>
      </c>
      <c r="M1901">
        <v>58.9</v>
      </c>
      <c r="N1901" t="s">
        <v>46</v>
      </c>
      <c r="O1901" t="s">
        <v>47</v>
      </c>
      <c r="P1901" t="s">
        <v>68</v>
      </c>
      <c r="R1901">
        <f>SUMIF(A1901:A6900,"C01900",I1901:I6900)</f>
        <v>93985.41</v>
      </c>
      <c r="S1901" s="1">
        <v>123519.69</v>
      </c>
      <c r="T1901">
        <f t="shared" si="216"/>
        <v>580.156851851852</v>
      </c>
      <c r="U1901">
        <f t="shared" si="218"/>
        <v>9541.8</v>
      </c>
      <c r="V1901">
        <f t="shared" si="213"/>
        <v>795.15</v>
      </c>
      <c r="W1901">
        <f t="shared" si="214"/>
        <v>32502.8433333333</v>
      </c>
      <c r="X1901">
        <f t="shared" si="211"/>
        <v>0.300387266759792</v>
      </c>
      <c r="AH1901" t="str">
        <f t="shared" si="217"/>
        <v>1st Quality</v>
      </c>
      <c r="AJ1901">
        <f>((T1901-X1901)*2)/15.3</f>
        <v>75.7982306647179</v>
      </c>
      <c r="AK1901">
        <f t="shared" si="215"/>
        <v>613805.949259259</v>
      </c>
    </row>
    <row r="1902" spans="1:37">
      <c r="A1902" t="s">
        <v>1968</v>
      </c>
      <c r="B1902">
        <v>40</v>
      </c>
      <c r="C1902" t="s">
        <v>50</v>
      </c>
      <c r="D1902" t="s">
        <v>60</v>
      </c>
      <c r="E1902">
        <v>1184</v>
      </c>
      <c r="F1902">
        <v>81</v>
      </c>
      <c r="G1902">
        <v>2</v>
      </c>
      <c r="H1902">
        <v>10133.41</v>
      </c>
      <c r="I1902">
        <v>18075.18</v>
      </c>
      <c r="J1902">
        <v>16</v>
      </c>
      <c r="K1902">
        <v>0</v>
      </c>
      <c r="L1902">
        <v>8.1</v>
      </c>
      <c r="M1902">
        <v>14.6</v>
      </c>
      <c r="N1902" t="s">
        <v>57</v>
      </c>
      <c r="O1902" t="s">
        <v>47</v>
      </c>
      <c r="P1902" t="s">
        <v>58</v>
      </c>
      <c r="R1902">
        <f>SUMIF(A1902:A6901,"C01901",I1902:I6901)</f>
        <v>18075.18</v>
      </c>
      <c r="S1902" s="1">
        <v>2889.88</v>
      </c>
      <c r="T1902">
        <f t="shared" si="216"/>
        <v>1129.69875</v>
      </c>
      <c r="U1902">
        <f t="shared" si="218"/>
        <v>233.6</v>
      </c>
      <c r="V1902">
        <f t="shared" si="213"/>
        <v>19.4666666666667</v>
      </c>
      <c r="W1902">
        <f t="shared" si="214"/>
        <v>9403.19666666667</v>
      </c>
      <c r="X1902">
        <f t="shared" si="211"/>
        <v>0.116841221267076</v>
      </c>
      <c r="AH1902" t="str">
        <f t="shared" si="217"/>
        <v>2nd Quality</v>
      </c>
      <c r="AJ1902">
        <f>((T1902-X1902)*2)/8.1</f>
        <v>278.909113278699</v>
      </c>
      <c r="AK1902">
        <f t="shared" si="215"/>
        <v>1337563.32</v>
      </c>
    </row>
    <row r="1903" spans="1:37">
      <c r="A1903" t="s">
        <v>1969</v>
      </c>
      <c r="B1903">
        <v>38</v>
      </c>
      <c r="C1903" t="s">
        <v>44</v>
      </c>
      <c r="D1903" t="s">
        <v>45</v>
      </c>
      <c r="E1903">
        <v>930</v>
      </c>
      <c r="F1903">
        <v>6</v>
      </c>
      <c r="G1903">
        <v>33</v>
      </c>
      <c r="H1903">
        <v>3832.85</v>
      </c>
      <c r="I1903">
        <v>123519.69</v>
      </c>
      <c r="J1903">
        <v>209</v>
      </c>
      <c r="K1903">
        <v>0</v>
      </c>
      <c r="L1903">
        <v>14.8</v>
      </c>
      <c r="M1903">
        <v>18.8</v>
      </c>
      <c r="N1903" t="s">
        <v>52</v>
      </c>
      <c r="O1903" t="s">
        <v>47</v>
      </c>
      <c r="P1903" t="s">
        <v>68</v>
      </c>
      <c r="R1903">
        <f>SUMIF(A1903:A6902,"C01902",I1903:I6902)</f>
        <v>123519.69</v>
      </c>
      <c r="S1903" s="1">
        <v>105156.14</v>
      </c>
      <c r="T1903">
        <f t="shared" si="216"/>
        <v>591.003301435407</v>
      </c>
      <c r="U1903">
        <f t="shared" si="218"/>
        <v>3929.2</v>
      </c>
      <c r="V1903">
        <f t="shared" si="213"/>
        <v>327.433333333333</v>
      </c>
      <c r="W1903">
        <f t="shared" si="214"/>
        <v>42451.18</v>
      </c>
      <c r="X1903">
        <f t="shared" ref="X1903:X1966" si="219">E1903/H1903</f>
        <v>0.242639289301695</v>
      </c>
      <c r="AH1903" t="str">
        <f t="shared" si="217"/>
        <v>2nd Quality</v>
      </c>
      <c r="AJ1903">
        <f>((T1903-X1903)*2)/14.8</f>
        <v>79.8325219116359</v>
      </c>
      <c r="AK1903">
        <f t="shared" si="215"/>
        <v>549633.070334928</v>
      </c>
    </row>
    <row r="1904" spans="1:37">
      <c r="A1904" t="s">
        <v>1970</v>
      </c>
      <c r="B1904">
        <v>36</v>
      </c>
      <c r="C1904" t="s">
        <v>50</v>
      </c>
      <c r="D1904" t="s">
        <v>51</v>
      </c>
      <c r="E1904">
        <v>1200</v>
      </c>
      <c r="F1904">
        <v>100</v>
      </c>
      <c r="G1904">
        <v>3</v>
      </c>
      <c r="H1904">
        <v>961.25</v>
      </c>
      <c r="I1904">
        <v>2889.88</v>
      </c>
      <c r="J1904">
        <v>15</v>
      </c>
      <c r="K1904">
        <v>0</v>
      </c>
      <c r="L1904">
        <v>22</v>
      </c>
      <c r="M1904">
        <v>33.5</v>
      </c>
      <c r="N1904" t="s">
        <v>61</v>
      </c>
      <c r="O1904" t="s">
        <v>47</v>
      </c>
      <c r="P1904" t="s">
        <v>66</v>
      </c>
      <c r="R1904">
        <f>SUMIF(A1904:A6903,"C01903",I1904:I6903)</f>
        <v>2889.88</v>
      </c>
      <c r="S1904" s="1">
        <v>96274.44</v>
      </c>
      <c r="T1904">
        <f t="shared" si="216"/>
        <v>192.658666666667</v>
      </c>
      <c r="U1904">
        <f t="shared" si="218"/>
        <v>502.5</v>
      </c>
      <c r="V1904">
        <f t="shared" si="213"/>
        <v>41.875</v>
      </c>
      <c r="W1904">
        <f t="shared" si="214"/>
        <v>1284.04333333333</v>
      </c>
      <c r="X1904">
        <f t="shared" si="219"/>
        <v>1.24837451235371</v>
      </c>
      <c r="AH1904" t="str">
        <f t="shared" si="217"/>
        <v>3rd Quality</v>
      </c>
      <c r="AJ1904">
        <f>((T1904-X1904)*2)/22</f>
        <v>17.4009356503921</v>
      </c>
      <c r="AK1904">
        <f t="shared" si="215"/>
        <v>231190.4</v>
      </c>
    </row>
    <row r="1905" spans="1:37">
      <c r="A1905" t="s">
        <v>1971</v>
      </c>
      <c r="B1905">
        <v>19</v>
      </c>
      <c r="C1905" t="s">
        <v>50</v>
      </c>
      <c r="D1905" t="s">
        <v>45</v>
      </c>
      <c r="E1905">
        <v>1202</v>
      </c>
      <c r="F1905">
        <v>19</v>
      </c>
      <c r="G1905">
        <v>32</v>
      </c>
      <c r="H1905">
        <v>3716.57</v>
      </c>
      <c r="I1905">
        <v>105156.14</v>
      </c>
      <c r="J1905">
        <v>137</v>
      </c>
      <c r="K1905">
        <v>4</v>
      </c>
      <c r="L1905">
        <v>1.3</v>
      </c>
      <c r="M1905">
        <v>31.9</v>
      </c>
      <c r="N1905" t="s">
        <v>52</v>
      </c>
      <c r="O1905" t="s">
        <v>47</v>
      </c>
      <c r="P1905" t="s">
        <v>48</v>
      </c>
      <c r="R1905">
        <f>SUMIF(A1905:A6904,"C01904",I1905:I6904)</f>
        <v>105156.14</v>
      </c>
      <c r="S1905" s="1">
        <v>9148.3</v>
      </c>
      <c r="T1905">
        <f t="shared" si="216"/>
        <v>767.563065693431</v>
      </c>
      <c r="U1905">
        <f t="shared" si="218"/>
        <v>4370.3</v>
      </c>
      <c r="V1905">
        <f>U1905</f>
        <v>4370.3</v>
      </c>
      <c r="W1905">
        <f t="shared" si="214"/>
        <v>36291.2366666667</v>
      </c>
      <c r="X1905">
        <f t="shared" si="219"/>
        <v>0.323416483478046</v>
      </c>
      <c r="AH1905" t="str">
        <f t="shared" si="217"/>
        <v>1st Quality</v>
      </c>
      <c r="AJ1905">
        <f>((T1905-X1905)*2)/1.3</f>
        <v>1180.36869109224</v>
      </c>
      <c r="AK1905">
        <f t="shared" si="215"/>
        <v>922610.804963504</v>
      </c>
    </row>
    <row r="1906" spans="1:37">
      <c r="A1906" t="s">
        <v>1972</v>
      </c>
      <c r="B1906">
        <v>20</v>
      </c>
      <c r="C1906" t="s">
        <v>50</v>
      </c>
      <c r="D1906" t="s">
        <v>60</v>
      </c>
      <c r="E1906">
        <v>1018</v>
      </c>
      <c r="F1906">
        <v>2</v>
      </c>
      <c r="G1906">
        <v>6</v>
      </c>
      <c r="H1906">
        <v>15680.67</v>
      </c>
      <c r="I1906">
        <v>96274.44</v>
      </c>
      <c r="J1906">
        <v>28</v>
      </c>
      <c r="K1906">
        <v>1</v>
      </c>
      <c r="L1906">
        <v>11.6</v>
      </c>
      <c r="M1906">
        <v>27.6</v>
      </c>
      <c r="N1906" t="s">
        <v>61</v>
      </c>
      <c r="O1906" t="s">
        <v>47</v>
      </c>
      <c r="P1906" t="s">
        <v>58</v>
      </c>
      <c r="R1906">
        <f>SUMIF(A1906:A6905,"C01905",I1906:I6905)</f>
        <v>96274.44</v>
      </c>
      <c r="S1906" s="1">
        <v>12159.55</v>
      </c>
      <c r="T1906">
        <f t="shared" si="216"/>
        <v>3438.37285714286</v>
      </c>
      <c r="U1906">
        <f t="shared" si="218"/>
        <v>772.8</v>
      </c>
      <c r="V1906">
        <f>U1906</f>
        <v>772.8</v>
      </c>
      <c r="W1906">
        <f t="shared" si="214"/>
        <v>37318.7033333333</v>
      </c>
      <c r="X1906">
        <f t="shared" si="219"/>
        <v>0.0649206953529409</v>
      </c>
      <c r="AH1906" t="str">
        <f t="shared" si="217"/>
        <v>1st Quality</v>
      </c>
      <c r="AJ1906">
        <f>((T1906-X1906)*2)/11.6</f>
        <v>592.811713180605</v>
      </c>
      <c r="AK1906">
        <f t="shared" si="215"/>
        <v>3500263.56857143</v>
      </c>
    </row>
    <row r="1907" spans="1:37">
      <c r="A1907" t="s">
        <v>1973</v>
      </c>
      <c r="B1907">
        <v>34</v>
      </c>
      <c r="C1907" t="s">
        <v>44</v>
      </c>
      <c r="D1907" t="s">
        <v>45</v>
      </c>
      <c r="E1907">
        <v>970</v>
      </c>
      <c r="F1907">
        <v>36</v>
      </c>
      <c r="G1907">
        <v>6</v>
      </c>
      <c r="H1907">
        <v>1677.89</v>
      </c>
      <c r="I1907">
        <v>9148.3</v>
      </c>
      <c r="J1907">
        <v>22</v>
      </c>
      <c r="K1907">
        <v>0</v>
      </c>
      <c r="L1907">
        <v>18.7</v>
      </c>
      <c r="M1907">
        <v>26.6</v>
      </c>
      <c r="N1907" t="s">
        <v>52</v>
      </c>
      <c r="O1907" t="s">
        <v>53</v>
      </c>
      <c r="P1907" t="s">
        <v>48</v>
      </c>
      <c r="R1907">
        <f>SUMIF(A1907:A6906,"C01906",I1907:I6906)</f>
        <v>9148.3</v>
      </c>
      <c r="S1907" s="1">
        <v>57221.88</v>
      </c>
      <c r="T1907">
        <f t="shared" si="216"/>
        <v>415.831818181818</v>
      </c>
      <c r="U1907">
        <f t="shared" si="218"/>
        <v>585.2</v>
      </c>
      <c r="V1907">
        <f t="shared" si="213"/>
        <v>48.7666666666667</v>
      </c>
      <c r="W1907">
        <f t="shared" si="214"/>
        <v>3609.06333333333</v>
      </c>
      <c r="X1907">
        <f t="shared" si="219"/>
        <v>0.578107027278308</v>
      </c>
      <c r="AH1907" t="str">
        <f t="shared" si="217"/>
        <v>3rd Quality</v>
      </c>
      <c r="AJ1907">
        <f>((T1907-X1907)*2)/18.7</f>
        <v>44.4121616208064</v>
      </c>
      <c r="AK1907">
        <f t="shared" si="215"/>
        <v>403356.863636364</v>
      </c>
    </row>
    <row r="1908" spans="1:37">
      <c r="A1908" t="s">
        <v>1974</v>
      </c>
      <c r="B1908">
        <v>18</v>
      </c>
      <c r="C1908" t="s">
        <v>50</v>
      </c>
      <c r="D1908" t="s">
        <v>45</v>
      </c>
      <c r="E1908">
        <v>1239</v>
      </c>
      <c r="F1908">
        <v>15</v>
      </c>
      <c r="G1908">
        <v>8</v>
      </c>
      <c r="H1908">
        <v>1620.5</v>
      </c>
      <c r="I1908">
        <v>12159.55</v>
      </c>
      <c r="J1908">
        <v>77</v>
      </c>
      <c r="K1908">
        <v>0</v>
      </c>
      <c r="L1908">
        <v>13.8</v>
      </c>
      <c r="M1908">
        <v>19.4</v>
      </c>
      <c r="N1908" t="s">
        <v>61</v>
      </c>
      <c r="O1908" t="s">
        <v>47</v>
      </c>
      <c r="P1908" t="s">
        <v>58</v>
      </c>
      <c r="R1908">
        <f>SUMIF(A1908:A6907,"C01907",I1908:I6907)</f>
        <v>12159.55</v>
      </c>
      <c r="S1908" s="1">
        <v>2573.64</v>
      </c>
      <c r="T1908">
        <f t="shared" si="216"/>
        <v>157.916233766234</v>
      </c>
      <c r="U1908">
        <f t="shared" si="218"/>
        <v>1493.8</v>
      </c>
      <c r="V1908">
        <f t="shared" si="213"/>
        <v>124.483333333333</v>
      </c>
      <c r="W1908">
        <f t="shared" si="214"/>
        <v>4593.68333333333</v>
      </c>
      <c r="X1908">
        <f t="shared" si="219"/>
        <v>0.764578833693304</v>
      </c>
      <c r="AH1908" t="str">
        <f t="shared" si="217"/>
        <v>3rd Quality</v>
      </c>
      <c r="AJ1908">
        <f>((T1908-X1908)*2)/13.8</f>
        <v>22.7756021641363</v>
      </c>
      <c r="AK1908">
        <f t="shared" si="215"/>
        <v>195658.213636364</v>
      </c>
    </row>
    <row r="1909" spans="1:37">
      <c r="A1909" t="s">
        <v>1975</v>
      </c>
      <c r="B1909">
        <v>24</v>
      </c>
      <c r="C1909" t="s">
        <v>44</v>
      </c>
      <c r="D1909" t="s">
        <v>45</v>
      </c>
      <c r="E1909">
        <v>561</v>
      </c>
      <c r="F1909">
        <v>7</v>
      </c>
      <c r="G1909">
        <v>31</v>
      </c>
      <c r="H1909">
        <v>1650.37</v>
      </c>
      <c r="I1909">
        <v>57221.88</v>
      </c>
      <c r="J1909">
        <v>164</v>
      </c>
      <c r="K1909">
        <v>5</v>
      </c>
      <c r="L1909">
        <v>10.4</v>
      </c>
      <c r="M1909">
        <v>39.7</v>
      </c>
      <c r="N1909" t="s">
        <v>57</v>
      </c>
      <c r="O1909" t="s">
        <v>47</v>
      </c>
      <c r="P1909" t="s">
        <v>48</v>
      </c>
      <c r="R1909">
        <f>SUMIF(A1909:A6908,"C01908",I1909:I6908)</f>
        <v>57221.88</v>
      </c>
      <c r="S1909" s="1">
        <v>1688.69</v>
      </c>
      <c r="T1909">
        <f t="shared" si="216"/>
        <v>348.913902439024</v>
      </c>
      <c r="U1909">
        <f t="shared" si="218"/>
        <v>6510.8</v>
      </c>
      <c r="V1909">
        <f>U1909</f>
        <v>6510.8</v>
      </c>
      <c r="W1909">
        <f t="shared" si="214"/>
        <v>19624.4166666667</v>
      </c>
      <c r="X1909">
        <f t="shared" si="219"/>
        <v>0.339923774668711</v>
      </c>
      <c r="AH1909" t="str">
        <f t="shared" si="217"/>
        <v>2nd Quality</v>
      </c>
      <c r="AJ1909">
        <f>((T1909-X1909)*2)/10.4</f>
        <v>67.0334574354529</v>
      </c>
      <c r="AK1909">
        <f t="shared" si="215"/>
        <v>195740.699268293</v>
      </c>
    </row>
    <row r="1910" spans="1:37">
      <c r="A1910" t="s">
        <v>1976</v>
      </c>
      <c r="B1910">
        <v>38</v>
      </c>
      <c r="C1910" t="s">
        <v>101</v>
      </c>
      <c r="D1910" t="s">
        <v>60</v>
      </c>
      <c r="E1910">
        <v>1442</v>
      </c>
      <c r="F1910">
        <v>178</v>
      </c>
      <c r="G1910">
        <v>2</v>
      </c>
      <c r="H1910">
        <v>1268.47</v>
      </c>
      <c r="I1910">
        <v>2573.64</v>
      </c>
      <c r="J1910">
        <v>12</v>
      </c>
      <c r="K1910">
        <v>0</v>
      </c>
      <c r="L1910">
        <v>29.6</v>
      </c>
      <c r="M1910">
        <v>17.4</v>
      </c>
      <c r="N1910" t="s">
        <v>63</v>
      </c>
      <c r="O1910" t="s">
        <v>47</v>
      </c>
      <c r="P1910" t="s">
        <v>58</v>
      </c>
      <c r="R1910">
        <f>SUMIF(A1910:A6909,"C01909",I1910:I6909)</f>
        <v>2573.64</v>
      </c>
      <c r="S1910" s="1">
        <v>92174.61</v>
      </c>
      <c r="T1910">
        <f t="shared" si="216"/>
        <v>214.47</v>
      </c>
      <c r="U1910">
        <f t="shared" si="218"/>
        <v>208.8</v>
      </c>
      <c r="V1910">
        <f t="shared" si="213"/>
        <v>17.4</v>
      </c>
      <c r="W1910">
        <f t="shared" si="214"/>
        <v>1281.03666666667</v>
      </c>
      <c r="X1910">
        <f t="shared" si="219"/>
        <v>1.13680260471276</v>
      </c>
      <c r="AH1910" t="str">
        <f t="shared" si="217"/>
        <v>3rd Quality</v>
      </c>
      <c r="AJ1910">
        <f>((T1910-X1910)*2)/29.6</f>
        <v>14.4144052294113</v>
      </c>
      <c r="AK1910">
        <f t="shared" si="215"/>
        <v>309265.74</v>
      </c>
    </row>
    <row r="1911" spans="1:37">
      <c r="A1911" t="s">
        <v>1977</v>
      </c>
      <c r="B1911">
        <v>51</v>
      </c>
      <c r="C1911" t="s">
        <v>44</v>
      </c>
      <c r="D1911" t="s">
        <v>60</v>
      </c>
      <c r="E1911">
        <v>1345</v>
      </c>
      <c r="F1911">
        <v>136</v>
      </c>
      <c r="G1911">
        <v>1</v>
      </c>
      <c r="H1911">
        <v>1518.08</v>
      </c>
      <c r="I1911">
        <v>1688.69</v>
      </c>
      <c r="J1911">
        <v>14</v>
      </c>
      <c r="K1911">
        <v>0</v>
      </c>
      <c r="L1911">
        <v>15.7</v>
      </c>
      <c r="M1911">
        <v>18.8</v>
      </c>
      <c r="N1911" t="s">
        <v>63</v>
      </c>
      <c r="O1911" t="s">
        <v>47</v>
      </c>
      <c r="P1911" t="s">
        <v>58</v>
      </c>
      <c r="R1911">
        <f>SUMIF(A1911:A6910,"C01910",I1911:I6910)</f>
        <v>1688.69</v>
      </c>
      <c r="S1911" s="1">
        <v>40212.6</v>
      </c>
      <c r="T1911">
        <f t="shared" si="216"/>
        <v>120.620714285714</v>
      </c>
      <c r="U1911">
        <f t="shared" si="218"/>
        <v>263.2</v>
      </c>
      <c r="V1911">
        <f t="shared" si="213"/>
        <v>21.9333333333333</v>
      </c>
      <c r="W1911">
        <f t="shared" si="214"/>
        <v>1069.25666666667</v>
      </c>
      <c r="X1911">
        <f t="shared" si="219"/>
        <v>0.885987563237774</v>
      </c>
      <c r="AH1911" t="str">
        <f t="shared" si="217"/>
        <v>3rd Quality</v>
      </c>
      <c r="AJ1911">
        <f>((T1911-X1911)*2)/15.7</f>
        <v>15.2528314296148</v>
      </c>
      <c r="AK1911">
        <f t="shared" si="215"/>
        <v>162234.860714286</v>
      </c>
    </row>
    <row r="1912" spans="1:37">
      <c r="A1912" t="s">
        <v>1978</v>
      </c>
      <c r="B1912">
        <v>34</v>
      </c>
      <c r="C1912" t="s">
        <v>50</v>
      </c>
      <c r="D1912" t="s">
        <v>60</v>
      </c>
      <c r="E1912">
        <v>952</v>
      </c>
      <c r="F1912">
        <v>9</v>
      </c>
      <c r="G1912">
        <v>28</v>
      </c>
      <c r="H1912">
        <v>3297.78</v>
      </c>
      <c r="I1912">
        <v>92174.61</v>
      </c>
      <c r="J1912">
        <v>119</v>
      </c>
      <c r="K1912">
        <v>0</v>
      </c>
      <c r="L1912">
        <v>20.1</v>
      </c>
      <c r="M1912">
        <v>36.2</v>
      </c>
      <c r="N1912" t="s">
        <v>63</v>
      </c>
      <c r="O1912" t="s">
        <v>47</v>
      </c>
      <c r="P1912" t="s">
        <v>68</v>
      </c>
      <c r="R1912">
        <f>SUMIF(A1912:A6911,"C01911",I1912:I6911)</f>
        <v>92174.61</v>
      </c>
      <c r="S1912" s="1">
        <v>3344.29</v>
      </c>
      <c r="T1912">
        <f t="shared" si="216"/>
        <v>774.576554621849</v>
      </c>
      <c r="U1912">
        <f t="shared" si="218"/>
        <v>4307.8</v>
      </c>
      <c r="V1912">
        <f t="shared" si="213"/>
        <v>358.983333333333</v>
      </c>
      <c r="W1912">
        <f t="shared" si="214"/>
        <v>31824.4633333333</v>
      </c>
      <c r="X1912">
        <f t="shared" si="219"/>
        <v>0.288679050755357</v>
      </c>
      <c r="AH1912" t="str">
        <f t="shared" si="217"/>
        <v>2nd Quality</v>
      </c>
      <c r="AJ1912">
        <f>((T1912-X1912)*2)/20.1</f>
        <v>77.0435697085665</v>
      </c>
      <c r="AK1912">
        <f t="shared" si="215"/>
        <v>737396.88</v>
      </c>
    </row>
    <row r="1913" spans="1:37">
      <c r="A1913" t="s">
        <v>1979</v>
      </c>
      <c r="B1913">
        <v>43</v>
      </c>
      <c r="C1913" t="s">
        <v>44</v>
      </c>
      <c r="D1913" t="s">
        <v>60</v>
      </c>
      <c r="E1913">
        <v>1355</v>
      </c>
      <c r="F1913">
        <v>9</v>
      </c>
      <c r="G1913">
        <v>19</v>
      </c>
      <c r="H1913">
        <v>1972.79</v>
      </c>
      <c r="I1913">
        <v>40212.6</v>
      </c>
      <c r="J1913">
        <v>107</v>
      </c>
      <c r="K1913">
        <v>0</v>
      </c>
      <c r="L1913">
        <v>22.1</v>
      </c>
      <c r="M1913">
        <v>40.9</v>
      </c>
      <c r="N1913" t="s">
        <v>57</v>
      </c>
      <c r="O1913" t="s">
        <v>47</v>
      </c>
      <c r="P1913" t="s">
        <v>48</v>
      </c>
      <c r="R1913">
        <f>SUMIF(A1913:A6912,"C01912",I1913:I6912)</f>
        <v>40212.6</v>
      </c>
      <c r="S1913" s="1">
        <v>3524.35</v>
      </c>
      <c r="T1913">
        <f t="shared" si="216"/>
        <v>375.818691588785</v>
      </c>
      <c r="U1913">
        <f t="shared" si="218"/>
        <v>4376.3</v>
      </c>
      <c r="V1913">
        <f t="shared" si="213"/>
        <v>364.691666666667</v>
      </c>
      <c r="W1913">
        <f t="shared" si="214"/>
        <v>14062.13</v>
      </c>
      <c r="X1913">
        <f t="shared" si="219"/>
        <v>0.686844519690388</v>
      </c>
      <c r="AH1913" t="str">
        <f t="shared" si="217"/>
        <v>2nd Quality</v>
      </c>
      <c r="AJ1913">
        <f>((T1913-X1913)*2)/22.1</f>
        <v>33.9485834451669</v>
      </c>
      <c r="AK1913">
        <f t="shared" si="215"/>
        <v>509234.327102804</v>
      </c>
    </row>
    <row r="1914" spans="1:37">
      <c r="A1914" t="s">
        <v>1980</v>
      </c>
      <c r="B1914">
        <v>42</v>
      </c>
      <c r="C1914" t="s">
        <v>50</v>
      </c>
      <c r="D1914" t="s">
        <v>45</v>
      </c>
      <c r="E1914">
        <v>1157</v>
      </c>
      <c r="F1914">
        <v>323</v>
      </c>
      <c r="G1914">
        <v>1</v>
      </c>
      <c r="H1914">
        <v>3761.36</v>
      </c>
      <c r="I1914">
        <v>3344.29</v>
      </c>
      <c r="J1914">
        <v>10</v>
      </c>
      <c r="K1914">
        <v>0</v>
      </c>
      <c r="L1914">
        <v>23.7</v>
      </c>
      <c r="M1914">
        <v>56.1</v>
      </c>
      <c r="N1914" t="s">
        <v>61</v>
      </c>
      <c r="O1914" t="s">
        <v>53</v>
      </c>
      <c r="P1914" t="s">
        <v>48</v>
      </c>
      <c r="R1914">
        <f>SUMIF(A1914:A6913,"C01913",I1914:I6913)</f>
        <v>3344.29</v>
      </c>
      <c r="S1914" s="1">
        <v>138837.11</v>
      </c>
      <c r="T1914">
        <f t="shared" si="216"/>
        <v>334.429</v>
      </c>
      <c r="U1914">
        <f t="shared" si="218"/>
        <v>561</v>
      </c>
      <c r="V1914">
        <f t="shared" si="213"/>
        <v>46.75</v>
      </c>
      <c r="W1914">
        <f t="shared" si="214"/>
        <v>2368.88333333333</v>
      </c>
      <c r="X1914">
        <f t="shared" si="219"/>
        <v>0.307601505838314</v>
      </c>
      <c r="AH1914" t="str">
        <f t="shared" si="217"/>
        <v>3rd Quality</v>
      </c>
      <c r="AJ1914">
        <f>((T1914-X1914)*2)/23.7</f>
        <v>28.1958986071023</v>
      </c>
      <c r="AK1914">
        <f t="shared" si="215"/>
        <v>386934.353</v>
      </c>
    </row>
    <row r="1915" spans="1:37">
      <c r="A1915" t="s">
        <v>1981</v>
      </c>
      <c r="B1915">
        <v>26</v>
      </c>
      <c r="C1915" t="s">
        <v>50</v>
      </c>
      <c r="D1915" t="s">
        <v>45</v>
      </c>
      <c r="E1915">
        <v>828</v>
      </c>
      <c r="F1915">
        <v>54</v>
      </c>
      <c r="G1915">
        <v>1</v>
      </c>
      <c r="H1915">
        <v>3710.22</v>
      </c>
      <c r="I1915">
        <v>3524.35</v>
      </c>
      <c r="J1915">
        <v>17</v>
      </c>
      <c r="K1915">
        <v>1</v>
      </c>
      <c r="L1915">
        <v>9</v>
      </c>
      <c r="M1915">
        <v>16.5</v>
      </c>
      <c r="N1915" t="s">
        <v>52</v>
      </c>
      <c r="O1915" t="s">
        <v>47</v>
      </c>
      <c r="P1915" t="s">
        <v>66</v>
      </c>
      <c r="R1915">
        <f>SUMIF(A1915:A6914,"C01914",I1915:I6914)</f>
        <v>3524.35</v>
      </c>
      <c r="S1915" s="1">
        <v>107928.75</v>
      </c>
      <c r="T1915">
        <f t="shared" si="216"/>
        <v>207.314705882353</v>
      </c>
      <c r="U1915">
        <f t="shared" si="218"/>
        <v>280.5</v>
      </c>
      <c r="V1915">
        <f>U1915</f>
        <v>280.5</v>
      </c>
      <c r="W1915">
        <f t="shared" si="214"/>
        <v>2411.85666666667</v>
      </c>
      <c r="X1915">
        <f t="shared" si="219"/>
        <v>0.223167359347963</v>
      </c>
      <c r="AH1915" t="str">
        <f t="shared" si="217"/>
        <v>3rd Quality</v>
      </c>
      <c r="AJ1915">
        <f>((T1915-X1915)*2)/9</f>
        <v>46.0203418940011</v>
      </c>
      <c r="AK1915">
        <f t="shared" si="215"/>
        <v>171656.576470588</v>
      </c>
    </row>
    <row r="1916" spans="1:37">
      <c r="A1916" t="s">
        <v>1982</v>
      </c>
      <c r="B1916">
        <v>53</v>
      </c>
      <c r="C1916" t="s">
        <v>50</v>
      </c>
      <c r="D1916" t="s">
        <v>60</v>
      </c>
      <c r="E1916">
        <v>841</v>
      </c>
      <c r="F1916">
        <v>12</v>
      </c>
      <c r="G1916">
        <v>26</v>
      </c>
      <c r="H1916">
        <v>5632.95</v>
      </c>
      <c r="I1916">
        <v>138837.11</v>
      </c>
      <c r="J1916">
        <v>185</v>
      </c>
      <c r="K1916">
        <v>0</v>
      </c>
      <c r="L1916">
        <v>18.7</v>
      </c>
      <c r="M1916">
        <v>34.3</v>
      </c>
      <c r="N1916" t="s">
        <v>57</v>
      </c>
      <c r="O1916" t="s">
        <v>47</v>
      </c>
      <c r="P1916" t="s">
        <v>58</v>
      </c>
      <c r="R1916">
        <f>SUMIF(A1916:A6915,"C01915",I1916:I6915)</f>
        <v>138837.11</v>
      </c>
      <c r="S1916" s="1">
        <v>20421.44</v>
      </c>
      <c r="T1916">
        <f t="shared" si="216"/>
        <v>750.470864864865</v>
      </c>
      <c r="U1916">
        <f t="shared" si="218"/>
        <v>6345.5</v>
      </c>
      <c r="V1916">
        <f t="shared" si="213"/>
        <v>528.791666666667</v>
      </c>
      <c r="W1916">
        <f t="shared" si="214"/>
        <v>48157.02</v>
      </c>
      <c r="X1916">
        <f t="shared" si="219"/>
        <v>0.149300100302683</v>
      </c>
      <c r="AH1916" t="str">
        <f t="shared" si="217"/>
        <v>3rd Quality</v>
      </c>
      <c r="AJ1916">
        <f>((T1916-X1916)*2)/18.7</f>
        <v>80.2482956967446</v>
      </c>
      <c r="AK1916">
        <f t="shared" si="215"/>
        <v>631145.997351351</v>
      </c>
    </row>
    <row r="1917" spans="1:37">
      <c r="A1917" t="s">
        <v>1983</v>
      </c>
      <c r="B1917">
        <v>40</v>
      </c>
      <c r="C1917" t="s">
        <v>50</v>
      </c>
      <c r="D1917" t="s">
        <v>51</v>
      </c>
      <c r="E1917">
        <v>1034</v>
      </c>
      <c r="F1917">
        <v>7</v>
      </c>
      <c r="G1917">
        <v>32</v>
      </c>
      <c r="H1917">
        <v>3761.1</v>
      </c>
      <c r="I1917">
        <v>107928.75</v>
      </c>
      <c r="J1917">
        <v>137</v>
      </c>
      <c r="K1917">
        <v>0</v>
      </c>
      <c r="L1917">
        <v>10.1</v>
      </c>
      <c r="M1917">
        <v>11.4</v>
      </c>
      <c r="N1917" t="s">
        <v>46</v>
      </c>
      <c r="O1917" t="s">
        <v>47</v>
      </c>
      <c r="P1917" t="s">
        <v>48</v>
      </c>
      <c r="R1917">
        <f>SUMIF(A1917:A6916,"C01916",I1917:I6916)</f>
        <v>107928.75</v>
      </c>
      <c r="S1917" s="1">
        <v>1844.92</v>
      </c>
      <c r="T1917">
        <f t="shared" si="216"/>
        <v>787.801094890511</v>
      </c>
      <c r="U1917">
        <f t="shared" si="218"/>
        <v>1561.8</v>
      </c>
      <c r="V1917">
        <f t="shared" si="213"/>
        <v>130.15</v>
      </c>
      <c r="W1917">
        <f t="shared" si="214"/>
        <v>37230.2833333333</v>
      </c>
      <c r="X1917">
        <f t="shared" si="219"/>
        <v>0.274919571401983</v>
      </c>
      <c r="AH1917" t="str">
        <f t="shared" si="217"/>
        <v>2nd Quality</v>
      </c>
      <c r="AJ1917">
        <f>((T1917-X1917)*2)/10.1</f>
        <v>155.945777290913</v>
      </c>
      <c r="AK1917">
        <f t="shared" si="215"/>
        <v>814586.332116788</v>
      </c>
    </row>
    <row r="1918" spans="1:37">
      <c r="A1918" t="s">
        <v>1984</v>
      </c>
      <c r="B1918">
        <v>36</v>
      </c>
      <c r="C1918" t="s">
        <v>50</v>
      </c>
      <c r="D1918" t="s">
        <v>45</v>
      </c>
      <c r="E1918">
        <v>643</v>
      </c>
      <c r="F1918">
        <v>33</v>
      </c>
      <c r="G1918">
        <v>4</v>
      </c>
      <c r="H1918">
        <v>4605.63</v>
      </c>
      <c r="I1918">
        <v>20421.44</v>
      </c>
      <c r="J1918">
        <v>27</v>
      </c>
      <c r="K1918">
        <v>0</v>
      </c>
      <c r="L1918">
        <v>4.6</v>
      </c>
      <c r="M1918">
        <v>8.4</v>
      </c>
      <c r="N1918" t="s">
        <v>61</v>
      </c>
      <c r="O1918" t="s">
        <v>53</v>
      </c>
      <c r="P1918" t="s">
        <v>48</v>
      </c>
      <c r="R1918">
        <f>SUMIF(A1918:A6917,"C01917",I1918:I6917)</f>
        <v>20421.44</v>
      </c>
      <c r="S1918" s="1">
        <v>23611.59</v>
      </c>
      <c r="T1918">
        <f t="shared" si="216"/>
        <v>756.34962962963</v>
      </c>
      <c r="U1918">
        <f t="shared" si="218"/>
        <v>226.8</v>
      </c>
      <c r="V1918">
        <f t="shared" si="213"/>
        <v>18.9</v>
      </c>
      <c r="W1918">
        <f t="shared" si="214"/>
        <v>8342.69</v>
      </c>
      <c r="X1918">
        <f t="shared" si="219"/>
        <v>0.139611736070852</v>
      </c>
      <c r="AH1918" t="str">
        <f t="shared" si="217"/>
        <v>2nd Quality</v>
      </c>
      <c r="AJ1918">
        <f>((T1918-X1918)*2)/4.6</f>
        <v>328.786964301548</v>
      </c>
      <c r="AK1918">
        <f t="shared" si="215"/>
        <v>486332.811851852</v>
      </c>
    </row>
    <row r="1919" spans="1:37">
      <c r="A1919" t="s">
        <v>1985</v>
      </c>
      <c r="B1919">
        <v>49</v>
      </c>
      <c r="C1919" t="s">
        <v>50</v>
      </c>
      <c r="D1919" t="s">
        <v>60</v>
      </c>
      <c r="E1919">
        <v>972</v>
      </c>
      <c r="F1919">
        <v>64</v>
      </c>
      <c r="G1919">
        <v>1</v>
      </c>
      <c r="H1919">
        <v>1842.85</v>
      </c>
      <c r="I1919">
        <v>1844.92</v>
      </c>
      <c r="J1919">
        <v>12</v>
      </c>
      <c r="K1919">
        <v>0</v>
      </c>
      <c r="L1919">
        <v>24.9</v>
      </c>
      <c r="M1919">
        <v>43.4</v>
      </c>
      <c r="N1919" t="s">
        <v>57</v>
      </c>
      <c r="O1919" t="s">
        <v>53</v>
      </c>
      <c r="P1919" t="s">
        <v>58</v>
      </c>
      <c r="R1919">
        <f>SUMIF(A1919:A6918,"C01918",I1919:I6918)</f>
        <v>1844.92</v>
      </c>
      <c r="S1919" s="1">
        <v>1394.47</v>
      </c>
      <c r="T1919">
        <f t="shared" si="216"/>
        <v>153.743333333333</v>
      </c>
      <c r="U1919">
        <f t="shared" si="218"/>
        <v>520.8</v>
      </c>
      <c r="V1919">
        <f t="shared" si="213"/>
        <v>43.4</v>
      </c>
      <c r="W1919">
        <f t="shared" si="214"/>
        <v>1229.59</v>
      </c>
      <c r="X1919">
        <f t="shared" si="219"/>
        <v>0.527443904821337</v>
      </c>
      <c r="AH1919" t="str">
        <f t="shared" si="217"/>
        <v>3rd Quality</v>
      </c>
      <c r="AJ1919">
        <f>((T1919-X1919)*2)/24.9</f>
        <v>12.3064971428523</v>
      </c>
      <c r="AK1919">
        <f t="shared" si="215"/>
        <v>149438.52</v>
      </c>
    </row>
    <row r="1920" spans="1:37">
      <c r="A1920" t="s">
        <v>1986</v>
      </c>
      <c r="B1920">
        <v>45</v>
      </c>
      <c r="C1920" t="s">
        <v>50</v>
      </c>
      <c r="D1920" t="s">
        <v>60</v>
      </c>
      <c r="E1920">
        <v>818</v>
      </c>
      <c r="F1920">
        <v>86</v>
      </c>
      <c r="G1920">
        <v>2</v>
      </c>
      <c r="H1920">
        <v>11548.12</v>
      </c>
      <c r="I1920">
        <v>23611.59</v>
      </c>
      <c r="J1920">
        <v>15</v>
      </c>
      <c r="K1920">
        <v>0</v>
      </c>
      <c r="L1920">
        <v>0.5</v>
      </c>
      <c r="M1920">
        <v>36.9</v>
      </c>
      <c r="N1920" t="s">
        <v>81</v>
      </c>
      <c r="O1920" t="s">
        <v>75</v>
      </c>
      <c r="P1920" t="s">
        <v>58</v>
      </c>
      <c r="R1920">
        <f>SUMIF(A1920:A6919,"C01919",I1920:I6919)</f>
        <v>23611.59</v>
      </c>
      <c r="S1920" s="1">
        <v>45616.79</v>
      </c>
      <c r="T1920">
        <f t="shared" si="216"/>
        <v>1574.106</v>
      </c>
      <c r="U1920">
        <f t="shared" si="218"/>
        <v>553.5</v>
      </c>
      <c r="V1920">
        <f t="shared" si="213"/>
        <v>46.125</v>
      </c>
      <c r="W1920">
        <f t="shared" si="214"/>
        <v>11720.2366666667</v>
      </c>
      <c r="X1920">
        <f t="shared" si="219"/>
        <v>0.0708340405191494</v>
      </c>
      <c r="AH1920" t="str">
        <f t="shared" si="217"/>
        <v>3rd Quality</v>
      </c>
      <c r="AJ1920">
        <f>((T1920-X1920)*2)/0.5</f>
        <v>6296.14066383792</v>
      </c>
      <c r="AK1920">
        <f t="shared" si="215"/>
        <v>1287618.708</v>
      </c>
    </row>
    <row r="1921" spans="1:37">
      <c r="A1921" t="s">
        <v>1987</v>
      </c>
      <c r="B1921">
        <v>42</v>
      </c>
      <c r="C1921" t="s">
        <v>50</v>
      </c>
      <c r="D1921" t="s">
        <v>60</v>
      </c>
      <c r="E1921">
        <v>952</v>
      </c>
      <c r="F1921">
        <v>187</v>
      </c>
      <c r="G1921">
        <v>2</v>
      </c>
      <c r="H1921">
        <v>693.83</v>
      </c>
      <c r="I1921">
        <v>1394.47</v>
      </c>
      <c r="J1921">
        <v>20</v>
      </c>
      <c r="K1921">
        <v>0</v>
      </c>
      <c r="L1921">
        <v>23.5</v>
      </c>
      <c r="M1921">
        <v>9.9</v>
      </c>
      <c r="N1921" t="s">
        <v>52</v>
      </c>
      <c r="O1921" t="s">
        <v>75</v>
      </c>
      <c r="P1921" t="s">
        <v>58</v>
      </c>
      <c r="R1921">
        <f>SUMIF(A1921:A6920,"C01920",I1921:I6920)</f>
        <v>1394.47</v>
      </c>
      <c r="S1921" s="1">
        <v>7289.9</v>
      </c>
      <c r="T1921">
        <f t="shared" si="216"/>
        <v>69.7235</v>
      </c>
      <c r="U1921">
        <f t="shared" si="218"/>
        <v>198</v>
      </c>
      <c r="V1921">
        <f t="shared" ref="V1921:V1984" si="220">U1921/12</f>
        <v>16.5</v>
      </c>
      <c r="W1921">
        <f t="shared" si="214"/>
        <v>696.433333333333</v>
      </c>
      <c r="X1921">
        <f t="shared" si="219"/>
        <v>1.37209402879668</v>
      </c>
      <c r="AH1921" t="str">
        <f t="shared" si="217"/>
        <v>3rd Quality</v>
      </c>
      <c r="AJ1921">
        <f>((T1921-X1921)*2)/23.5</f>
        <v>5.81714093371943</v>
      </c>
      <c r="AK1921">
        <f t="shared" si="215"/>
        <v>66376.772</v>
      </c>
    </row>
    <row r="1922" spans="1:37">
      <c r="A1922" t="s">
        <v>1988</v>
      </c>
      <c r="B1922">
        <v>18</v>
      </c>
      <c r="C1922" t="s">
        <v>50</v>
      </c>
      <c r="D1922" t="s">
        <v>60</v>
      </c>
      <c r="E1922">
        <v>812</v>
      </c>
      <c r="F1922">
        <v>63</v>
      </c>
      <c r="G1922">
        <v>6</v>
      </c>
      <c r="H1922">
        <v>8091.05</v>
      </c>
      <c r="I1922">
        <v>45616.79</v>
      </c>
      <c r="J1922">
        <v>36</v>
      </c>
      <c r="K1922">
        <v>0</v>
      </c>
      <c r="L1922">
        <v>0</v>
      </c>
      <c r="M1922">
        <v>50</v>
      </c>
      <c r="N1922" t="s">
        <v>81</v>
      </c>
      <c r="O1922" t="s">
        <v>47</v>
      </c>
      <c r="P1922" t="s">
        <v>48</v>
      </c>
      <c r="R1922">
        <f>SUMIF(A1922:A6921,"C01921",I1922:I6921)</f>
        <v>45616.79</v>
      </c>
      <c r="S1922" s="1">
        <v>21549.13</v>
      </c>
      <c r="T1922">
        <f t="shared" si="216"/>
        <v>1267.13305555556</v>
      </c>
      <c r="U1922">
        <f t="shared" si="218"/>
        <v>1800</v>
      </c>
      <c r="V1922">
        <f t="shared" si="220"/>
        <v>150</v>
      </c>
      <c r="W1922">
        <f t="shared" si="214"/>
        <v>17902.9466666667</v>
      </c>
      <c r="X1922">
        <f t="shared" si="219"/>
        <v>0.100357802757368</v>
      </c>
      <c r="AH1922" t="str">
        <f t="shared" si="217"/>
        <v>2nd Quality</v>
      </c>
      <c r="AJ1922">
        <f>((T1922-X1922)*2)</f>
        <v>2534.06539550561</v>
      </c>
      <c r="AK1922">
        <f t="shared" si="215"/>
        <v>1028912.04111111</v>
      </c>
    </row>
    <row r="1923" spans="1:37">
      <c r="A1923" t="s">
        <v>1989</v>
      </c>
      <c r="B1923">
        <v>38</v>
      </c>
      <c r="C1923" t="s">
        <v>50</v>
      </c>
      <c r="D1923" t="s">
        <v>45</v>
      </c>
      <c r="E1923">
        <v>468</v>
      </c>
      <c r="F1923">
        <v>76</v>
      </c>
      <c r="G1923">
        <v>4</v>
      </c>
      <c r="H1923">
        <v>1654.04</v>
      </c>
      <c r="I1923">
        <v>7289.9</v>
      </c>
      <c r="J1923">
        <v>28</v>
      </c>
      <c r="K1923">
        <v>0</v>
      </c>
      <c r="L1923">
        <v>17.8</v>
      </c>
      <c r="M1923">
        <v>73.9</v>
      </c>
      <c r="N1923" t="s">
        <v>61</v>
      </c>
      <c r="O1923" t="s">
        <v>47</v>
      </c>
      <c r="P1923" t="s">
        <v>68</v>
      </c>
      <c r="R1923">
        <f>SUMIF(A1923:A6922,"C01922",I1923:I6922)</f>
        <v>7289.9</v>
      </c>
      <c r="S1923" s="1">
        <v>7358.27</v>
      </c>
      <c r="T1923">
        <f t="shared" si="216"/>
        <v>260.353571428571</v>
      </c>
      <c r="U1923">
        <f t="shared" si="218"/>
        <v>2069.2</v>
      </c>
      <c r="V1923">
        <f t="shared" si="220"/>
        <v>172.433333333333</v>
      </c>
      <c r="W1923">
        <f t="shared" ref="W1923:W1986" si="221">(H1923+I1923+1)/3</f>
        <v>2981.64666666667</v>
      </c>
      <c r="X1923">
        <f t="shared" si="219"/>
        <v>0.282943580566371</v>
      </c>
      <c r="AH1923" t="str">
        <f t="shared" si="217"/>
        <v>3rd Quality</v>
      </c>
      <c r="AJ1923">
        <f>((T1923-X1923)*2)/17.8</f>
        <v>29.2214188593264</v>
      </c>
      <c r="AK1923">
        <f t="shared" ref="AK1923:AK1986" si="222">I1923/J1923*E1923</f>
        <v>121845.471428571</v>
      </c>
    </row>
    <row r="1924" spans="1:37">
      <c r="A1924" t="s">
        <v>1990</v>
      </c>
      <c r="B1924">
        <v>35</v>
      </c>
      <c r="C1924" t="s">
        <v>50</v>
      </c>
      <c r="D1924" t="s">
        <v>60</v>
      </c>
      <c r="E1924">
        <v>1151</v>
      </c>
      <c r="F1924">
        <v>42</v>
      </c>
      <c r="G1924">
        <v>8</v>
      </c>
      <c r="H1924">
        <v>2588.65</v>
      </c>
      <c r="I1924">
        <v>21549.13</v>
      </c>
      <c r="J1924">
        <v>33</v>
      </c>
      <c r="K1924">
        <v>0</v>
      </c>
      <c r="L1924">
        <v>19.5</v>
      </c>
      <c r="M1924">
        <v>18.9</v>
      </c>
      <c r="N1924" t="s">
        <v>52</v>
      </c>
      <c r="O1924" t="s">
        <v>47</v>
      </c>
      <c r="P1924" t="s">
        <v>58</v>
      </c>
      <c r="R1924">
        <f>SUMIF(A1924:A6923,"C01923",I1924:I6923)</f>
        <v>21549.13</v>
      </c>
      <c r="S1924" s="1">
        <v>4892.22</v>
      </c>
      <c r="T1924">
        <f t="shared" si="216"/>
        <v>653.003939393939</v>
      </c>
      <c r="U1924">
        <f t="shared" si="218"/>
        <v>623.7</v>
      </c>
      <c r="V1924">
        <f t="shared" si="220"/>
        <v>51.975</v>
      </c>
      <c r="W1924">
        <f t="shared" si="221"/>
        <v>8046.26</v>
      </c>
      <c r="X1924">
        <f t="shared" si="219"/>
        <v>0.44463330307303</v>
      </c>
      <c r="AH1924" t="str">
        <f t="shared" si="217"/>
        <v>2nd Quality</v>
      </c>
      <c r="AJ1924">
        <f>((T1924-X1924)*2)/19.5</f>
        <v>66.9291595990632</v>
      </c>
      <c r="AK1924">
        <f t="shared" si="222"/>
        <v>751607.534242424</v>
      </c>
    </row>
    <row r="1925" spans="1:37">
      <c r="A1925" t="s">
        <v>1991</v>
      </c>
      <c r="B1925">
        <v>34</v>
      </c>
      <c r="C1925" t="s">
        <v>50</v>
      </c>
      <c r="D1925" t="s">
        <v>60</v>
      </c>
      <c r="E1925">
        <v>908</v>
      </c>
      <c r="F1925">
        <v>46</v>
      </c>
      <c r="G1925">
        <v>7</v>
      </c>
      <c r="H1925">
        <v>1155.57</v>
      </c>
      <c r="I1925">
        <v>7358.27</v>
      </c>
      <c r="J1925">
        <v>56</v>
      </c>
      <c r="K1925">
        <v>0</v>
      </c>
      <c r="L1925">
        <v>12.1</v>
      </c>
      <c r="M1925">
        <v>15</v>
      </c>
      <c r="N1925" t="s">
        <v>57</v>
      </c>
      <c r="O1925" t="s">
        <v>47</v>
      </c>
      <c r="P1925" t="s">
        <v>58</v>
      </c>
      <c r="R1925">
        <f>SUMIF(A1925:A6924,"C01924",I1925:I6924)</f>
        <v>7358.27</v>
      </c>
      <c r="S1925" s="1">
        <v>147134.04</v>
      </c>
      <c r="T1925">
        <f t="shared" si="216"/>
        <v>131.397678571429</v>
      </c>
      <c r="U1925">
        <f t="shared" si="218"/>
        <v>840</v>
      </c>
      <c r="V1925">
        <f t="shared" si="220"/>
        <v>70</v>
      </c>
      <c r="W1925">
        <f t="shared" si="221"/>
        <v>2838.28</v>
      </c>
      <c r="X1925">
        <f t="shared" si="219"/>
        <v>0.785759408776621</v>
      </c>
      <c r="AH1925" t="str">
        <f t="shared" si="217"/>
        <v>3rd Quality</v>
      </c>
      <c r="AJ1925">
        <f>((T1925-X1925)*2)/12.1</f>
        <v>21.5887469690335</v>
      </c>
      <c r="AK1925">
        <f t="shared" si="222"/>
        <v>119309.092142857</v>
      </c>
    </row>
    <row r="1926" spans="1:37">
      <c r="A1926" t="s">
        <v>1992</v>
      </c>
      <c r="B1926">
        <v>42</v>
      </c>
      <c r="C1926" t="s">
        <v>44</v>
      </c>
      <c r="D1926" t="s">
        <v>45</v>
      </c>
      <c r="E1926">
        <v>584</v>
      </c>
      <c r="F1926">
        <v>46</v>
      </c>
      <c r="G1926">
        <v>10</v>
      </c>
      <c r="H1926">
        <v>493.75</v>
      </c>
      <c r="I1926">
        <v>4892.22</v>
      </c>
      <c r="J1926">
        <v>73</v>
      </c>
      <c r="K1926">
        <v>2</v>
      </c>
      <c r="L1926">
        <v>19.3</v>
      </c>
      <c r="M1926">
        <v>1.9</v>
      </c>
      <c r="N1926" t="s">
        <v>52</v>
      </c>
      <c r="O1926" t="s">
        <v>53</v>
      </c>
      <c r="P1926" t="s">
        <v>58</v>
      </c>
      <c r="R1926">
        <f>SUMIF(A1926:A6925,"C01925",I1926:I6925)</f>
        <v>4892.22</v>
      </c>
      <c r="S1926" s="1">
        <v>10198.72</v>
      </c>
      <c r="T1926">
        <f t="shared" si="216"/>
        <v>67.0167123287671</v>
      </c>
      <c r="U1926">
        <f t="shared" si="218"/>
        <v>138.7</v>
      </c>
      <c r="V1926">
        <f>U1926</f>
        <v>138.7</v>
      </c>
      <c r="W1926">
        <f t="shared" si="221"/>
        <v>1795.65666666667</v>
      </c>
      <c r="X1926">
        <f t="shared" si="219"/>
        <v>1.18278481012658</v>
      </c>
      <c r="AH1926" t="str">
        <f t="shared" si="217"/>
        <v>3rd Quality</v>
      </c>
      <c r="AJ1926">
        <f>((T1926-X1926)*2)/19.3</f>
        <v>6.8221686547814</v>
      </c>
      <c r="AK1926">
        <f t="shared" si="222"/>
        <v>39137.76</v>
      </c>
    </row>
    <row r="1927" spans="1:37">
      <c r="A1927" t="s">
        <v>1993</v>
      </c>
      <c r="B1927">
        <v>26</v>
      </c>
      <c r="C1927" t="s">
        <v>50</v>
      </c>
      <c r="D1927" t="s">
        <v>60</v>
      </c>
      <c r="E1927">
        <v>615</v>
      </c>
      <c r="F1927">
        <v>15</v>
      </c>
      <c r="G1927">
        <v>30</v>
      </c>
      <c r="H1927">
        <v>5571.02</v>
      </c>
      <c r="I1927">
        <v>147134.04</v>
      </c>
      <c r="J1927">
        <v>102</v>
      </c>
      <c r="K1927">
        <v>3</v>
      </c>
      <c r="L1927">
        <v>9.7</v>
      </c>
      <c r="M1927">
        <v>62.2</v>
      </c>
      <c r="N1927" t="s">
        <v>57</v>
      </c>
      <c r="O1927" t="s">
        <v>47</v>
      </c>
      <c r="P1927" t="s">
        <v>58</v>
      </c>
      <c r="R1927">
        <f>SUMIF(A1927:A6926,"C01926",I1927:I6926)</f>
        <v>147134.04</v>
      </c>
      <c r="S1927" s="1">
        <v>365.96</v>
      </c>
      <c r="T1927">
        <f t="shared" si="216"/>
        <v>1442.49058823529</v>
      </c>
      <c r="U1927">
        <f t="shared" si="218"/>
        <v>6344.4</v>
      </c>
      <c r="V1927">
        <f>U1927</f>
        <v>6344.4</v>
      </c>
      <c r="W1927">
        <f t="shared" si="221"/>
        <v>50902.02</v>
      </c>
      <c r="X1927">
        <f t="shared" si="219"/>
        <v>0.110392710850078</v>
      </c>
      <c r="AH1927" t="str">
        <f t="shared" si="217"/>
        <v>2nd Quality</v>
      </c>
      <c r="AJ1927">
        <f>((T1927-X1927)*2)/9.7</f>
        <v>297.397978458647</v>
      </c>
      <c r="AK1927">
        <f t="shared" si="222"/>
        <v>887131.711764706</v>
      </c>
    </row>
    <row r="1928" spans="1:37">
      <c r="A1928" t="s">
        <v>1994</v>
      </c>
      <c r="B1928">
        <v>44</v>
      </c>
      <c r="C1928" t="s">
        <v>44</v>
      </c>
      <c r="D1928" t="s">
        <v>45</v>
      </c>
      <c r="E1928">
        <v>932</v>
      </c>
      <c r="F1928">
        <v>12</v>
      </c>
      <c r="G1928">
        <v>6</v>
      </c>
      <c r="H1928">
        <v>1631.37</v>
      </c>
      <c r="I1928">
        <v>10198.72</v>
      </c>
      <c r="J1928">
        <v>38</v>
      </c>
      <c r="K1928">
        <v>1</v>
      </c>
      <c r="L1928">
        <v>29.2</v>
      </c>
      <c r="M1928">
        <v>22.7</v>
      </c>
      <c r="N1928" t="s">
        <v>63</v>
      </c>
      <c r="O1928" t="s">
        <v>47</v>
      </c>
      <c r="P1928" t="s">
        <v>48</v>
      </c>
      <c r="R1928">
        <f>SUMIF(A1928:A6927,"C01927",I1928:I6927)</f>
        <v>10198.72</v>
      </c>
      <c r="S1928" s="1">
        <v>115961.38</v>
      </c>
      <c r="T1928">
        <f t="shared" si="216"/>
        <v>268.387368421053</v>
      </c>
      <c r="U1928">
        <f t="shared" si="218"/>
        <v>862.6</v>
      </c>
      <c r="V1928">
        <f>U1928</f>
        <v>862.6</v>
      </c>
      <c r="W1928">
        <f t="shared" si="221"/>
        <v>3943.69666666667</v>
      </c>
      <c r="X1928">
        <f t="shared" si="219"/>
        <v>0.571298969577717</v>
      </c>
      <c r="AH1928" t="str">
        <f t="shared" si="217"/>
        <v>3rd Quality</v>
      </c>
      <c r="AJ1928">
        <f>((T1928-X1928)*2)/29.2</f>
        <v>18.343566400786</v>
      </c>
      <c r="AK1928">
        <f t="shared" si="222"/>
        <v>250137.027368421</v>
      </c>
    </row>
    <row r="1929" spans="1:37">
      <c r="A1929" t="s">
        <v>1995</v>
      </c>
      <c r="B1929">
        <v>32</v>
      </c>
      <c r="C1929" t="s">
        <v>44</v>
      </c>
      <c r="D1929" t="s">
        <v>45</v>
      </c>
      <c r="E1929">
        <v>1240</v>
      </c>
      <c r="F1929">
        <v>354</v>
      </c>
      <c r="G1929">
        <v>1</v>
      </c>
      <c r="H1929">
        <v>363.9</v>
      </c>
      <c r="I1929">
        <v>365.96</v>
      </c>
      <c r="J1929">
        <v>17</v>
      </c>
      <c r="K1929">
        <v>0</v>
      </c>
      <c r="L1929">
        <v>25.5</v>
      </c>
      <c r="M1929">
        <v>9.4</v>
      </c>
      <c r="N1929" t="s">
        <v>63</v>
      </c>
      <c r="O1929" t="s">
        <v>47</v>
      </c>
      <c r="P1929" t="s">
        <v>58</v>
      </c>
      <c r="R1929">
        <f>SUMIF(A1929:A6928,"C01928",I1929:I6928)</f>
        <v>365.96</v>
      </c>
      <c r="S1929" s="1">
        <v>14182.1</v>
      </c>
      <c r="T1929">
        <f t="shared" si="216"/>
        <v>21.5270588235294</v>
      </c>
      <c r="U1929">
        <f t="shared" si="218"/>
        <v>159.8</v>
      </c>
      <c r="V1929">
        <f>U1929/12</f>
        <v>13.3166666666667</v>
      </c>
      <c r="W1929">
        <f t="shared" si="221"/>
        <v>243.62</v>
      </c>
      <c r="X1929">
        <f t="shared" si="219"/>
        <v>3.40752954108272</v>
      </c>
      <c r="AH1929" t="str">
        <f t="shared" si="217"/>
        <v>3rd Quality</v>
      </c>
      <c r="AJ1929">
        <f>((T1929-X1929)*2)/25.5</f>
        <v>1.42113955156445</v>
      </c>
      <c r="AK1929">
        <f t="shared" si="222"/>
        <v>26693.5529411765</v>
      </c>
    </row>
    <row r="1930" spans="1:37">
      <c r="A1930" t="s">
        <v>1996</v>
      </c>
      <c r="B1930">
        <v>41</v>
      </c>
      <c r="C1930" t="s">
        <v>44</v>
      </c>
      <c r="D1930" t="s">
        <v>45</v>
      </c>
      <c r="E1930">
        <v>647</v>
      </c>
      <c r="F1930">
        <v>11</v>
      </c>
      <c r="G1930">
        <v>29</v>
      </c>
      <c r="H1930">
        <v>3645.07</v>
      </c>
      <c r="I1930">
        <v>115961.38</v>
      </c>
      <c r="J1930">
        <v>63</v>
      </c>
      <c r="K1930">
        <v>2</v>
      </c>
      <c r="L1930">
        <v>9.7</v>
      </c>
      <c r="M1930">
        <v>13.6</v>
      </c>
      <c r="N1930" t="s">
        <v>78</v>
      </c>
      <c r="O1930" t="s">
        <v>75</v>
      </c>
      <c r="P1930" t="s">
        <v>58</v>
      </c>
      <c r="R1930">
        <f>SUMIF(A1930:A6929,"C01929",I1930:I6929)</f>
        <v>115961.38</v>
      </c>
      <c r="S1930" s="1">
        <v>45524.43</v>
      </c>
      <c r="T1930">
        <f t="shared" si="216"/>
        <v>1840.65682539683</v>
      </c>
      <c r="U1930">
        <f t="shared" si="218"/>
        <v>856.8</v>
      </c>
      <c r="V1930">
        <f>U1930</f>
        <v>856.8</v>
      </c>
      <c r="W1930">
        <f t="shared" si="221"/>
        <v>39869.15</v>
      </c>
      <c r="X1930">
        <f t="shared" si="219"/>
        <v>0.177500020575737</v>
      </c>
      <c r="AH1930" t="str">
        <f t="shared" si="217"/>
        <v>2nd Quality</v>
      </c>
      <c r="AJ1930">
        <f>((T1930-X1930)*2)/9.7</f>
        <v>379.480273273455</v>
      </c>
      <c r="AK1930">
        <f t="shared" si="222"/>
        <v>1190904.96603175</v>
      </c>
    </row>
    <row r="1931" spans="1:37">
      <c r="A1931" t="s">
        <v>1997</v>
      </c>
      <c r="B1931">
        <v>18</v>
      </c>
      <c r="C1931" t="s">
        <v>50</v>
      </c>
      <c r="D1931" t="s">
        <v>45</v>
      </c>
      <c r="E1931">
        <v>1296</v>
      </c>
      <c r="F1931">
        <v>87</v>
      </c>
      <c r="G1931">
        <v>8</v>
      </c>
      <c r="H1931">
        <v>1600.89</v>
      </c>
      <c r="I1931">
        <v>14182.1</v>
      </c>
      <c r="J1931">
        <v>25</v>
      </c>
      <c r="K1931">
        <v>0</v>
      </c>
      <c r="L1931">
        <v>11.5</v>
      </c>
      <c r="M1931">
        <v>19.4</v>
      </c>
      <c r="N1931" t="s">
        <v>81</v>
      </c>
      <c r="O1931" t="s">
        <v>47</v>
      </c>
      <c r="P1931" t="s">
        <v>58</v>
      </c>
      <c r="R1931">
        <f>SUMIF(A1931:A6930,"C01930",I1931:I6930)</f>
        <v>14182.1</v>
      </c>
      <c r="S1931" s="1">
        <v>18761.71</v>
      </c>
      <c r="T1931">
        <f t="shared" si="216"/>
        <v>567.284</v>
      </c>
      <c r="U1931">
        <f t="shared" si="218"/>
        <v>485</v>
      </c>
      <c r="V1931">
        <f t="shared" si="220"/>
        <v>40.4166666666667</v>
      </c>
      <c r="W1931">
        <f t="shared" si="221"/>
        <v>5261.33</v>
      </c>
      <c r="X1931">
        <f t="shared" si="219"/>
        <v>0.809549687986058</v>
      </c>
      <c r="AH1931" t="str">
        <f t="shared" si="217"/>
        <v>3rd Quality</v>
      </c>
      <c r="AJ1931">
        <f>((T1931-X1931)*2)/11.5</f>
        <v>98.5172957064372</v>
      </c>
      <c r="AK1931">
        <f t="shared" si="222"/>
        <v>735200.064</v>
      </c>
    </row>
    <row r="1932" spans="1:37">
      <c r="A1932" t="s">
        <v>1998</v>
      </c>
      <c r="B1932">
        <v>36</v>
      </c>
      <c r="C1932" t="s">
        <v>44</v>
      </c>
      <c r="D1932" t="s">
        <v>45</v>
      </c>
      <c r="E1932">
        <v>1239</v>
      </c>
      <c r="F1932">
        <v>33</v>
      </c>
      <c r="G1932">
        <v>6</v>
      </c>
      <c r="H1932">
        <v>8397.21</v>
      </c>
      <c r="I1932">
        <v>45524.43</v>
      </c>
      <c r="J1932">
        <v>55</v>
      </c>
      <c r="K1932">
        <v>2</v>
      </c>
      <c r="L1932">
        <v>0</v>
      </c>
      <c r="M1932">
        <v>6.7</v>
      </c>
      <c r="N1932" t="s">
        <v>81</v>
      </c>
      <c r="O1932" t="s">
        <v>47</v>
      </c>
      <c r="P1932" t="s">
        <v>58</v>
      </c>
      <c r="R1932">
        <f>SUMIF(A1932:A6931,"C01931",I1932:I6931)</f>
        <v>45524.43</v>
      </c>
      <c r="S1932" s="1">
        <v>738.79</v>
      </c>
      <c r="T1932">
        <f t="shared" si="216"/>
        <v>827.716909090909</v>
      </c>
      <c r="U1932">
        <f t="shared" si="218"/>
        <v>368.5</v>
      </c>
      <c r="V1932">
        <f>U1932</f>
        <v>368.5</v>
      </c>
      <c r="W1932">
        <f t="shared" si="221"/>
        <v>17974.2133333333</v>
      </c>
      <c r="X1932">
        <f t="shared" si="219"/>
        <v>0.147549007348869</v>
      </c>
      <c r="AH1932" t="str">
        <f t="shared" si="217"/>
        <v>2nd Quality</v>
      </c>
      <c r="AJ1932">
        <f>((T1932-X1932)*2)</f>
        <v>1655.13872016712</v>
      </c>
      <c r="AK1932">
        <f t="shared" si="222"/>
        <v>1025541.25036364</v>
      </c>
    </row>
    <row r="1933" spans="1:37">
      <c r="A1933" t="s">
        <v>1999</v>
      </c>
      <c r="B1933">
        <v>18</v>
      </c>
      <c r="C1933" t="s">
        <v>50</v>
      </c>
      <c r="D1933" t="s">
        <v>51</v>
      </c>
      <c r="E1933">
        <v>390</v>
      </c>
      <c r="F1933">
        <v>35</v>
      </c>
      <c r="G1933">
        <v>3</v>
      </c>
      <c r="H1933">
        <v>6937.38</v>
      </c>
      <c r="I1933">
        <v>18761.71</v>
      </c>
      <c r="J1933">
        <v>11</v>
      </c>
      <c r="K1933">
        <v>0</v>
      </c>
      <c r="L1933">
        <v>0</v>
      </c>
      <c r="M1933">
        <v>46.1</v>
      </c>
      <c r="N1933" t="s">
        <v>46</v>
      </c>
      <c r="O1933" t="s">
        <v>47</v>
      </c>
      <c r="P1933" t="s">
        <v>66</v>
      </c>
      <c r="R1933">
        <f>SUMIF(A1933:A6932,"C01932",I1933:I6932)</f>
        <v>18761.71</v>
      </c>
      <c r="S1933" s="1">
        <v>1506.66</v>
      </c>
      <c r="T1933">
        <f t="shared" si="216"/>
        <v>1705.61</v>
      </c>
      <c r="U1933">
        <f t="shared" si="218"/>
        <v>507.1</v>
      </c>
      <c r="V1933">
        <f t="shared" si="220"/>
        <v>42.2583333333333</v>
      </c>
      <c r="W1933">
        <f t="shared" si="221"/>
        <v>8566.69666666667</v>
      </c>
      <c r="X1933">
        <f t="shared" si="219"/>
        <v>0.056217188621641</v>
      </c>
      <c r="AH1933" t="str">
        <f t="shared" si="217"/>
        <v>3rd Quality</v>
      </c>
      <c r="AJ1933">
        <f>((T1933-X1933)*2)</f>
        <v>3411.10756562276</v>
      </c>
      <c r="AK1933">
        <f t="shared" si="222"/>
        <v>665187.9</v>
      </c>
    </row>
    <row r="1934" spans="1:37">
      <c r="A1934" t="s">
        <v>2000</v>
      </c>
      <c r="B1934">
        <v>48</v>
      </c>
      <c r="C1934" t="s">
        <v>50</v>
      </c>
      <c r="D1934" t="s">
        <v>60</v>
      </c>
      <c r="E1934">
        <v>520</v>
      </c>
      <c r="F1934">
        <v>55</v>
      </c>
      <c r="G1934">
        <v>1</v>
      </c>
      <c r="H1934">
        <v>674.21</v>
      </c>
      <c r="I1934">
        <v>738.79</v>
      </c>
      <c r="J1934">
        <v>14</v>
      </c>
      <c r="K1934">
        <v>0</v>
      </c>
      <c r="L1934">
        <v>35.9</v>
      </c>
      <c r="M1934">
        <v>24.2</v>
      </c>
      <c r="N1934" t="s">
        <v>63</v>
      </c>
      <c r="O1934" t="s">
        <v>53</v>
      </c>
      <c r="P1934" t="s">
        <v>58</v>
      </c>
      <c r="R1934">
        <f>SUMIF(A1934:A6933,"C01933",I1934:I6933)</f>
        <v>738.79</v>
      </c>
      <c r="S1934" s="1">
        <v>6759.07</v>
      </c>
      <c r="T1934">
        <f t="shared" ref="T1934:T1997" si="223">I1934/J1934</f>
        <v>52.7707142857143</v>
      </c>
      <c r="U1934">
        <f t="shared" si="218"/>
        <v>338.8</v>
      </c>
      <c r="V1934">
        <f t="shared" si="220"/>
        <v>28.2333333333333</v>
      </c>
      <c r="W1934">
        <f t="shared" si="221"/>
        <v>471.333333333333</v>
      </c>
      <c r="X1934">
        <f t="shared" si="219"/>
        <v>0.771273045490277</v>
      </c>
      <c r="AH1934" t="str">
        <f t="shared" ref="AH1934:AH1997" si="224">IF(AND(W1934&gt;=12550,B1934&lt;=33,E1934&gt;=915),"1st Quality",IF(AND(W1934&gt;=6275,B1934&lt;=43,E1934&gt;=457),"2nd Quality","3rd Quality"))</f>
        <v>3rd Quality</v>
      </c>
      <c r="AJ1934">
        <f>((T1934-X1934)*2)/35.9</f>
        <v>2.8969048044693</v>
      </c>
      <c r="AK1934">
        <f t="shared" si="222"/>
        <v>27440.7714285714</v>
      </c>
    </row>
    <row r="1935" spans="1:37">
      <c r="A1935" t="s">
        <v>2001</v>
      </c>
      <c r="B1935">
        <v>36</v>
      </c>
      <c r="C1935" t="s">
        <v>50</v>
      </c>
      <c r="D1935" t="s">
        <v>45</v>
      </c>
      <c r="E1935">
        <v>1173</v>
      </c>
      <c r="F1935">
        <v>62</v>
      </c>
      <c r="G1935">
        <v>2</v>
      </c>
      <c r="H1935">
        <v>751.15</v>
      </c>
      <c r="I1935">
        <v>1506.66</v>
      </c>
      <c r="J1935">
        <v>21</v>
      </c>
      <c r="K1935">
        <v>0</v>
      </c>
      <c r="L1935">
        <v>26.7</v>
      </c>
      <c r="M1935">
        <v>71.5</v>
      </c>
      <c r="N1935" t="s">
        <v>78</v>
      </c>
      <c r="O1935" t="s">
        <v>47</v>
      </c>
      <c r="P1935" t="s">
        <v>58</v>
      </c>
      <c r="R1935">
        <f>SUMIF(A1935:A6934,"C01934",I1935:I6934)</f>
        <v>1506.66</v>
      </c>
      <c r="S1935" s="1">
        <v>136123.34</v>
      </c>
      <c r="T1935">
        <f t="shared" si="223"/>
        <v>71.7457142857143</v>
      </c>
      <c r="U1935">
        <f t="shared" si="218"/>
        <v>1501.5</v>
      </c>
      <c r="V1935">
        <f t="shared" si="220"/>
        <v>125.125</v>
      </c>
      <c r="W1935">
        <f t="shared" si="221"/>
        <v>752.936666666667</v>
      </c>
      <c r="X1935">
        <f t="shared" si="219"/>
        <v>1.5616055381748</v>
      </c>
      <c r="AH1935" t="str">
        <f t="shared" si="224"/>
        <v>3rd Quality</v>
      </c>
      <c r="AJ1935">
        <f>((T1935-X1935)*2)/26.7</f>
        <v>5.25723661030258</v>
      </c>
      <c r="AK1935">
        <f t="shared" si="222"/>
        <v>84157.7228571429</v>
      </c>
    </row>
    <row r="1936" spans="1:37">
      <c r="A1936" t="s">
        <v>2002</v>
      </c>
      <c r="B1936">
        <v>30</v>
      </c>
      <c r="C1936" t="s">
        <v>44</v>
      </c>
      <c r="D1936" t="s">
        <v>45</v>
      </c>
      <c r="E1936">
        <v>972</v>
      </c>
      <c r="F1936">
        <v>12</v>
      </c>
      <c r="G1936">
        <v>7</v>
      </c>
      <c r="H1936">
        <v>972.66</v>
      </c>
      <c r="I1936">
        <v>6759.07</v>
      </c>
      <c r="J1936">
        <v>52</v>
      </c>
      <c r="K1936">
        <v>1</v>
      </c>
      <c r="L1936">
        <v>30.5</v>
      </c>
      <c r="M1936">
        <v>35.3</v>
      </c>
      <c r="N1936" t="s">
        <v>46</v>
      </c>
      <c r="O1936" t="s">
        <v>47</v>
      </c>
      <c r="P1936" t="s">
        <v>68</v>
      </c>
      <c r="R1936">
        <f>SUMIF(A1936:A6935,"C01935",I1936:I6935)</f>
        <v>6759.07</v>
      </c>
      <c r="S1936" s="1">
        <v>7696.61</v>
      </c>
      <c r="T1936">
        <f t="shared" si="223"/>
        <v>129.982115384615</v>
      </c>
      <c r="U1936">
        <f t="shared" si="218"/>
        <v>1835.6</v>
      </c>
      <c r="V1936">
        <f>U1936</f>
        <v>1835.6</v>
      </c>
      <c r="W1936">
        <f t="shared" si="221"/>
        <v>2577.57666666667</v>
      </c>
      <c r="X1936">
        <f t="shared" si="219"/>
        <v>0.999321448399235</v>
      </c>
      <c r="AH1936" t="str">
        <f t="shared" si="224"/>
        <v>3rd Quality</v>
      </c>
      <c r="AJ1936">
        <f>((T1936-X1936)*2)/30.5</f>
        <v>8.45788812696497</v>
      </c>
      <c r="AK1936">
        <f t="shared" si="222"/>
        <v>126342.616153846</v>
      </c>
    </row>
    <row r="1937" spans="1:37">
      <c r="A1937" t="s">
        <v>2003</v>
      </c>
      <c r="B1937">
        <v>39</v>
      </c>
      <c r="C1937" t="s">
        <v>44</v>
      </c>
      <c r="D1937" t="s">
        <v>45</v>
      </c>
      <c r="E1937">
        <v>495</v>
      </c>
      <c r="F1937">
        <v>33</v>
      </c>
      <c r="G1937">
        <v>31</v>
      </c>
      <c r="H1937">
        <v>4317.72</v>
      </c>
      <c r="I1937">
        <v>136123.34</v>
      </c>
      <c r="J1937">
        <v>136</v>
      </c>
      <c r="K1937">
        <v>1</v>
      </c>
      <c r="L1937">
        <v>12.7</v>
      </c>
      <c r="M1937">
        <v>53.5</v>
      </c>
      <c r="N1937" t="s">
        <v>63</v>
      </c>
      <c r="O1937" t="s">
        <v>47</v>
      </c>
      <c r="P1937" t="s">
        <v>68</v>
      </c>
      <c r="R1937">
        <f>SUMIF(A1937:A6936,"C01936",I1937:I6936)</f>
        <v>136123.34</v>
      </c>
      <c r="S1937" s="1">
        <v>43030.55</v>
      </c>
      <c r="T1937">
        <f t="shared" si="223"/>
        <v>1000.90691176471</v>
      </c>
      <c r="U1937">
        <f t="shared" si="218"/>
        <v>7276</v>
      </c>
      <c r="V1937">
        <f>U1937</f>
        <v>7276</v>
      </c>
      <c r="W1937">
        <f t="shared" si="221"/>
        <v>46814.02</v>
      </c>
      <c r="X1937">
        <f t="shared" si="219"/>
        <v>0.114643839804341</v>
      </c>
      <c r="AH1937" t="str">
        <f t="shared" si="224"/>
        <v>2nd Quality</v>
      </c>
      <c r="AJ1937">
        <f>((T1937-X1937)*2)/12.7</f>
        <v>157.605081562977</v>
      </c>
      <c r="AK1937">
        <f t="shared" si="222"/>
        <v>495448.921323529</v>
      </c>
    </row>
    <row r="1938" spans="1:37">
      <c r="A1938" t="s">
        <v>2004</v>
      </c>
      <c r="B1938">
        <v>32</v>
      </c>
      <c r="C1938" t="s">
        <v>50</v>
      </c>
      <c r="D1938" t="s">
        <v>45</v>
      </c>
      <c r="E1938">
        <v>1450</v>
      </c>
      <c r="F1938">
        <v>77</v>
      </c>
      <c r="G1938">
        <v>13</v>
      </c>
      <c r="H1938">
        <v>596.86</v>
      </c>
      <c r="I1938">
        <v>7696.61</v>
      </c>
      <c r="J1938">
        <v>86</v>
      </c>
      <c r="K1938">
        <v>0</v>
      </c>
      <c r="L1938">
        <v>27.7</v>
      </c>
      <c r="M1938">
        <v>51.1</v>
      </c>
      <c r="N1938" t="s">
        <v>81</v>
      </c>
      <c r="O1938" t="s">
        <v>53</v>
      </c>
      <c r="P1938" t="s">
        <v>58</v>
      </c>
      <c r="R1938">
        <f>SUMIF(A1938:A6937,"C01937",I1938:I6937)</f>
        <v>7696.61</v>
      </c>
      <c r="S1938" s="1">
        <v>16201.53</v>
      </c>
      <c r="T1938">
        <f t="shared" si="223"/>
        <v>89.4954651162791</v>
      </c>
      <c r="U1938">
        <f t="shared" si="218"/>
        <v>4394.6</v>
      </c>
      <c r="V1938">
        <f t="shared" si="220"/>
        <v>366.216666666667</v>
      </c>
      <c r="W1938">
        <f t="shared" si="221"/>
        <v>2764.82333333333</v>
      </c>
      <c r="X1938">
        <f t="shared" si="219"/>
        <v>2.42938042422008</v>
      </c>
      <c r="AH1938" t="str">
        <f t="shared" si="224"/>
        <v>3rd Quality</v>
      </c>
      <c r="AJ1938">
        <f>((T1938-X1938)*2)/27.7</f>
        <v>6.28635990556383</v>
      </c>
      <c r="AK1938">
        <f t="shared" si="222"/>
        <v>129768.424418605</v>
      </c>
    </row>
    <row r="1939" spans="1:37">
      <c r="A1939" t="s">
        <v>2005</v>
      </c>
      <c r="B1939">
        <v>21</v>
      </c>
      <c r="C1939" t="s">
        <v>50</v>
      </c>
      <c r="D1939" t="s">
        <v>45</v>
      </c>
      <c r="E1939">
        <v>380</v>
      </c>
      <c r="F1939">
        <v>17</v>
      </c>
      <c r="G1939">
        <v>4</v>
      </c>
      <c r="H1939">
        <v>10470.49</v>
      </c>
      <c r="I1939">
        <v>43030.55</v>
      </c>
      <c r="J1939">
        <v>35</v>
      </c>
      <c r="K1939">
        <v>1</v>
      </c>
      <c r="L1939">
        <v>20</v>
      </c>
      <c r="M1939">
        <v>9.4</v>
      </c>
      <c r="N1939" t="s">
        <v>46</v>
      </c>
      <c r="O1939" t="s">
        <v>53</v>
      </c>
      <c r="P1939" t="s">
        <v>68</v>
      </c>
      <c r="R1939">
        <f>SUMIF(A1939:A6938,"C01938",I1939:I6938)</f>
        <v>43030.55</v>
      </c>
      <c r="S1939" s="1">
        <v>87480.7</v>
      </c>
      <c r="T1939">
        <f t="shared" si="223"/>
        <v>1229.44428571429</v>
      </c>
      <c r="U1939">
        <f t="shared" si="218"/>
        <v>329</v>
      </c>
      <c r="V1939">
        <f>U1939</f>
        <v>329</v>
      </c>
      <c r="W1939">
        <f t="shared" si="221"/>
        <v>17834.0133333333</v>
      </c>
      <c r="X1939">
        <f t="shared" si="219"/>
        <v>0.0362924753282798</v>
      </c>
      <c r="AH1939" t="str">
        <f t="shared" si="224"/>
        <v>3rd Quality</v>
      </c>
      <c r="AJ1939">
        <f>((T1939-X1939)*2)/20</f>
        <v>122.940799323896</v>
      </c>
      <c r="AK1939">
        <f t="shared" si="222"/>
        <v>467188.828571429</v>
      </c>
    </row>
    <row r="1940" spans="1:37">
      <c r="A1940" t="s">
        <v>2006</v>
      </c>
      <c r="B1940">
        <v>31</v>
      </c>
      <c r="C1940" t="s">
        <v>50</v>
      </c>
      <c r="D1940" t="s">
        <v>60</v>
      </c>
      <c r="E1940">
        <v>809</v>
      </c>
      <c r="F1940">
        <v>37</v>
      </c>
      <c r="G1940">
        <v>9</v>
      </c>
      <c r="H1940">
        <v>1625.03</v>
      </c>
      <c r="I1940">
        <v>16201.53</v>
      </c>
      <c r="J1940">
        <v>43</v>
      </c>
      <c r="K1940">
        <v>0</v>
      </c>
      <c r="L1940">
        <v>21.7</v>
      </c>
      <c r="M1940">
        <v>49.8</v>
      </c>
      <c r="N1940" t="s">
        <v>61</v>
      </c>
      <c r="O1940" t="s">
        <v>47</v>
      </c>
      <c r="P1940" t="s">
        <v>68</v>
      </c>
      <c r="R1940">
        <f>SUMIF(A1940:A6939,"C01939",I1940:I6939)</f>
        <v>16201.53</v>
      </c>
      <c r="S1940" s="1">
        <v>13292.4</v>
      </c>
      <c r="T1940">
        <f t="shared" si="223"/>
        <v>376.77976744186</v>
      </c>
      <c r="U1940">
        <f t="shared" si="218"/>
        <v>2141.4</v>
      </c>
      <c r="V1940">
        <f t="shared" si="220"/>
        <v>178.45</v>
      </c>
      <c r="W1940">
        <f t="shared" si="221"/>
        <v>5942.52</v>
      </c>
      <c r="X1940">
        <f t="shared" si="219"/>
        <v>0.497836963009914</v>
      </c>
      <c r="AH1940" t="str">
        <f t="shared" si="224"/>
        <v>3rd Quality</v>
      </c>
      <c r="AJ1940">
        <f>((T1940-X1940)*2)/21.7</f>
        <v>34.6803622561152</v>
      </c>
      <c r="AK1940">
        <f t="shared" si="222"/>
        <v>304814.831860465</v>
      </c>
    </row>
    <row r="1941" spans="1:37">
      <c r="A1941" t="s">
        <v>2007</v>
      </c>
      <c r="B1941">
        <v>28</v>
      </c>
      <c r="C1941" t="s">
        <v>44</v>
      </c>
      <c r="D1941" t="s">
        <v>45</v>
      </c>
      <c r="E1941">
        <v>384</v>
      </c>
      <c r="F1941">
        <v>15</v>
      </c>
      <c r="G1941">
        <v>25</v>
      </c>
      <c r="H1941">
        <v>3412.43</v>
      </c>
      <c r="I1941">
        <v>87480.7</v>
      </c>
      <c r="J1941">
        <v>186</v>
      </c>
      <c r="K1941">
        <v>0</v>
      </c>
      <c r="L1941">
        <v>4</v>
      </c>
      <c r="M1941">
        <v>30.4</v>
      </c>
      <c r="N1941" t="s">
        <v>46</v>
      </c>
      <c r="O1941" t="s">
        <v>47</v>
      </c>
      <c r="P1941" t="s">
        <v>66</v>
      </c>
      <c r="R1941">
        <f>SUMIF(A1941:A6940,"C01940",I1941:I6940)</f>
        <v>87480.7</v>
      </c>
      <c r="S1941" s="1">
        <v>30187.37</v>
      </c>
      <c r="T1941">
        <f t="shared" si="223"/>
        <v>470.326344086021</v>
      </c>
      <c r="U1941">
        <f t="shared" si="218"/>
        <v>5654.4</v>
      </c>
      <c r="V1941">
        <f t="shared" si="220"/>
        <v>471.2</v>
      </c>
      <c r="W1941">
        <f t="shared" si="221"/>
        <v>30298.0433333333</v>
      </c>
      <c r="X1941">
        <f t="shared" si="219"/>
        <v>0.112529780830669</v>
      </c>
      <c r="AH1941" t="str">
        <f t="shared" si="224"/>
        <v>3rd Quality</v>
      </c>
      <c r="AJ1941">
        <f>((T1941-X1941)*2)/4</f>
        <v>235.106907152595</v>
      </c>
      <c r="AK1941">
        <f t="shared" si="222"/>
        <v>180605.316129032</v>
      </c>
    </row>
    <row r="1942" spans="1:37">
      <c r="A1942" t="s">
        <v>2008</v>
      </c>
      <c r="B1942">
        <v>24</v>
      </c>
      <c r="C1942" t="s">
        <v>44</v>
      </c>
      <c r="D1942" t="s">
        <v>45</v>
      </c>
      <c r="E1942">
        <v>1359</v>
      </c>
      <c r="F1942">
        <v>13</v>
      </c>
      <c r="G1942">
        <v>12</v>
      </c>
      <c r="H1942">
        <v>1157.5</v>
      </c>
      <c r="I1942">
        <v>13292.4</v>
      </c>
      <c r="J1942">
        <v>91</v>
      </c>
      <c r="K1942">
        <v>1</v>
      </c>
      <c r="L1942">
        <v>26.9</v>
      </c>
      <c r="M1942">
        <v>35.8</v>
      </c>
      <c r="N1942" t="s">
        <v>46</v>
      </c>
      <c r="O1942" t="s">
        <v>53</v>
      </c>
      <c r="P1942" t="s">
        <v>68</v>
      </c>
      <c r="R1942">
        <f>SUMIF(A1942:A6941,"C01941",I1942:I6941)</f>
        <v>13292.4</v>
      </c>
      <c r="S1942" s="1">
        <v>12509.12</v>
      </c>
      <c r="T1942">
        <f t="shared" si="223"/>
        <v>146.07032967033</v>
      </c>
      <c r="U1942">
        <f t="shared" si="218"/>
        <v>3257.8</v>
      </c>
      <c r="V1942">
        <f>U1942</f>
        <v>3257.8</v>
      </c>
      <c r="W1942">
        <f t="shared" si="221"/>
        <v>4816.96666666667</v>
      </c>
      <c r="X1942">
        <f t="shared" si="219"/>
        <v>1.17408207343413</v>
      </c>
      <c r="AH1942" t="str">
        <f t="shared" si="224"/>
        <v>3rd Quality</v>
      </c>
      <c r="AJ1942">
        <f>((T1942-X1942)*2)/26.9</f>
        <v>10.7729552116651</v>
      </c>
      <c r="AK1942">
        <f t="shared" si="222"/>
        <v>198509.578021978</v>
      </c>
    </row>
    <row r="1943" spans="1:37">
      <c r="A1943" t="s">
        <v>2009</v>
      </c>
      <c r="B1943">
        <v>27</v>
      </c>
      <c r="C1943" t="s">
        <v>44</v>
      </c>
      <c r="D1943" t="s">
        <v>45</v>
      </c>
      <c r="E1943">
        <v>878</v>
      </c>
      <c r="F1943">
        <v>19</v>
      </c>
      <c r="G1943">
        <v>14</v>
      </c>
      <c r="H1943">
        <v>2315.52</v>
      </c>
      <c r="I1943">
        <v>30187.37</v>
      </c>
      <c r="J1943">
        <v>97</v>
      </c>
      <c r="K1943">
        <v>0</v>
      </c>
      <c r="L1943">
        <v>38.5</v>
      </c>
      <c r="M1943">
        <v>44.1</v>
      </c>
      <c r="N1943" t="s">
        <v>78</v>
      </c>
      <c r="O1943" t="s">
        <v>47</v>
      </c>
      <c r="P1943" t="s">
        <v>58</v>
      </c>
      <c r="R1943">
        <f>SUMIF(A1943:A6942,"C01942",I1943:I6942)</f>
        <v>30187.37</v>
      </c>
      <c r="S1943" s="1">
        <v>68096.09</v>
      </c>
      <c r="T1943">
        <f t="shared" si="223"/>
        <v>311.21</v>
      </c>
      <c r="U1943">
        <f t="shared" si="218"/>
        <v>4277.7</v>
      </c>
      <c r="V1943">
        <f t="shared" si="220"/>
        <v>356.475</v>
      </c>
      <c r="W1943">
        <f t="shared" si="221"/>
        <v>10834.63</v>
      </c>
      <c r="X1943">
        <f t="shared" si="219"/>
        <v>0.379180486456606</v>
      </c>
      <c r="AH1943" t="str">
        <f t="shared" si="224"/>
        <v>2nd Quality</v>
      </c>
      <c r="AJ1943">
        <f>((T1943-X1943)*2)/38.5</f>
        <v>16.1470555591451</v>
      </c>
      <c r="AK1943">
        <f t="shared" si="222"/>
        <v>273242.38</v>
      </c>
    </row>
    <row r="1944" spans="1:37">
      <c r="A1944" t="s">
        <v>2010</v>
      </c>
      <c r="B1944">
        <v>30</v>
      </c>
      <c r="C1944" t="s">
        <v>50</v>
      </c>
      <c r="D1944" t="s">
        <v>60</v>
      </c>
      <c r="E1944">
        <v>1047</v>
      </c>
      <c r="F1944">
        <v>33</v>
      </c>
      <c r="G1944">
        <v>5</v>
      </c>
      <c r="H1944">
        <v>2250.11</v>
      </c>
      <c r="I1944">
        <v>12509.12</v>
      </c>
      <c r="J1944">
        <v>38</v>
      </c>
      <c r="K1944">
        <v>0</v>
      </c>
      <c r="L1944">
        <v>18.2</v>
      </c>
      <c r="M1944">
        <v>2.9</v>
      </c>
      <c r="N1944" t="s">
        <v>57</v>
      </c>
      <c r="O1944" t="s">
        <v>53</v>
      </c>
      <c r="P1944" t="s">
        <v>58</v>
      </c>
      <c r="R1944">
        <f>SUMIF(A1944:A6943,"C01943",I1944:I6943)</f>
        <v>12509.12</v>
      </c>
      <c r="S1944" s="1">
        <v>1673.52</v>
      </c>
      <c r="T1944">
        <f t="shared" si="223"/>
        <v>329.187368421053</v>
      </c>
      <c r="U1944">
        <f t="shared" si="218"/>
        <v>110.2</v>
      </c>
      <c r="V1944">
        <f t="shared" si="220"/>
        <v>9.18333333333333</v>
      </c>
      <c r="W1944">
        <f t="shared" si="221"/>
        <v>4920.07666666667</v>
      </c>
      <c r="X1944">
        <f t="shared" si="219"/>
        <v>0.465310584815853</v>
      </c>
      <c r="AH1944" t="str">
        <f t="shared" si="224"/>
        <v>3rd Quality</v>
      </c>
      <c r="AJ1944">
        <f>((T1944-X1944)*2)/18.2</f>
        <v>36.1233030589272</v>
      </c>
      <c r="AK1944">
        <f t="shared" si="222"/>
        <v>344659.174736842</v>
      </c>
    </row>
    <row r="1945" spans="1:37">
      <c r="A1945" t="s">
        <v>2011</v>
      </c>
      <c r="B1945">
        <v>44</v>
      </c>
      <c r="C1945" t="s">
        <v>50</v>
      </c>
      <c r="D1945" t="s">
        <v>60</v>
      </c>
      <c r="E1945">
        <v>1258</v>
      </c>
      <c r="F1945">
        <v>26</v>
      </c>
      <c r="G1945">
        <v>24</v>
      </c>
      <c r="H1945">
        <v>2784.28</v>
      </c>
      <c r="I1945">
        <v>68096.09</v>
      </c>
      <c r="J1945">
        <v>78</v>
      </c>
      <c r="K1945">
        <v>0</v>
      </c>
      <c r="L1945">
        <v>3.4</v>
      </c>
      <c r="M1945">
        <v>31.3</v>
      </c>
      <c r="N1945" t="s">
        <v>61</v>
      </c>
      <c r="O1945" t="s">
        <v>53</v>
      </c>
      <c r="P1945" t="s">
        <v>68</v>
      </c>
      <c r="R1945">
        <f>SUMIF(A1945:A6944,"C01944",I1945:I6944)</f>
        <v>68096.09</v>
      </c>
      <c r="S1945" s="1">
        <v>2024.13</v>
      </c>
      <c r="T1945">
        <f t="shared" si="223"/>
        <v>873.026794871795</v>
      </c>
      <c r="U1945">
        <f t="shared" si="218"/>
        <v>2441.4</v>
      </c>
      <c r="V1945">
        <f t="shared" si="220"/>
        <v>203.45</v>
      </c>
      <c r="W1945">
        <f t="shared" si="221"/>
        <v>23627.1233333333</v>
      </c>
      <c r="X1945">
        <f t="shared" si="219"/>
        <v>0.451822374186504</v>
      </c>
      <c r="AH1945" t="str">
        <f t="shared" si="224"/>
        <v>3rd Quality</v>
      </c>
      <c r="AJ1945">
        <f>((T1945-X1945)*2)/3.4</f>
        <v>513.279395586829</v>
      </c>
      <c r="AK1945">
        <f t="shared" si="222"/>
        <v>1098267.70794872</v>
      </c>
    </row>
    <row r="1946" spans="1:37">
      <c r="A1946" t="s">
        <v>2012</v>
      </c>
      <c r="B1946">
        <v>45</v>
      </c>
      <c r="C1946" t="s">
        <v>44</v>
      </c>
      <c r="D1946" t="s">
        <v>51</v>
      </c>
      <c r="E1946">
        <v>655</v>
      </c>
      <c r="F1946">
        <v>53</v>
      </c>
      <c r="G1946">
        <v>2</v>
      </c>
      <c r="H1946">
        <v>823.58</v>
      </c>
      <c r="I1946">
        <v>1673.52</v>
      </c>
      <c r="J1946">
        <v>19</v>
      </c>
      <c r="K1946">
        <v>0</v>
      </c>
      <c r="L1946">
        <v>11.1</v>
      </c>
      <c r="M1946">
        <v>21.2</v>
      </c>
      <c r="N1946" t="s">
        <v>78</v>
      </c>
      <c r="O1946" t="s">
        <v>47</v>
      </c>
      <c r="P1946" t="s">
        <v>66</v>
      </c>
      <c r="R1946">
        <f>SUMIF(A1946:A6945,"C01945",I1946:I6945)</f>
        <v>1673.52</v>
      </c>
      <c r="S1946" s="1">
        <v>126125.46</v>
      </c>
      <c r="T1946">
        <f t="shared" si="223"/>
        <v>88.08</v>
      </c>
      <c r="U1946">
        <f t="shared" si="218"/>
        <v>402.8</v>
      </c>
      <c r="V1946">
        <f t="shared" si="220"/>
        <v>33.5666666666667</v>
      </c>
      <c r="W1946">
        <f t="shared" si="221"/>
        <v>832.7</v>
      </c>
      <c r="X1946">
        <f t="shared" si="219"/>
        <v>0.795308288205153</v>
      </c>
      <c r="AH1946" t="str">
        <f t="shared" si="224"/>
        <v>3rd Quality</v>
      </c>
      <c r="AJ1946">
        <f>((T1946-X1946)*2)/11.1</f>
        <v>15.7269714796027</v>
      </c>
      <c r="AK1946">
        <f t="shared" si="222"/>
        <v>57692.4</v>
      </c>
    </row>
    <row r="1947" spans="1:37">
      <c r="A1947" t="s">
        <v>2013</v>
      </c>
      <c r="B1947">
        <v>39</v>
      </c>
      <c r="C1947" t="s">
        <v>50</v>
      </c>
      <c r="D1947" t="s">
        <v>51</v>
      </c>
      <c r="E1947">
        <v>709</v>
      </c>
      <c r="F1947">
        <v>322</v>
      </c>
      <c r="G1947">
        <v>1</v>
      </c>
      <c r="H1947">
        <v>2279.43</v>
      </c>
      <c r="I1947">
        <v>2024.13</v>
      </c>
      <c r="J1947">
        <v>12</v>
      </c>
      <c r="K1947">
        <v>0</v>
      </c>
      <c r="L1947">
        <v>2.5</v>
      </c>
      <c r="M1947">
        <v>27.5</v>
      </c>
      <c r="N1947" t="s">
        <v>61</v>
      </c>
      <c r="O1947" t="s">
        <v>47</v>
      </c>
      <c r="P1947" t="s">
        <v>58</v>
      </c>
      <c r="R1947">
        <f>SUMIF(A1947:A6946,"C01946",I1947:I6946)</f>
        <v>2024.13</v>
      </c>
      <c r="S1947" s="1">
        <v>3713.68</v>
      </c>
      <c r="T1947">
        <f t="shared" si="223"/>
        <v>168.6775</v>
      </c>
      <c r="U1947">
        <f t="shared" si="218"/>
        <v>330</v>
      </c>
      <c r="V1947">
        <f t="shared" si="220"/>
        <v>27.5</v>
      </c>
      <c r="W1947">
        <f t="shared" si="221"/>
        <v>1434.85333333333</v>
      </c>
      <c r="X1947">
        <f t="shared" si="219"/>
        <v>0.311042672948939</v>
      </c>
      <c r="AH1947" t="str">
        <f t="shared" si="224"/>
        <v>3rd Quality</v>
      </c>
      <c r="AJ1947">
        <f>((T1947-X1947)*2)/2.5</f>
        <v>134.693165861641</v>
      </c>
      <c r="AK1947">
        <f t="shared" si="222"/>
        <v>119592.3475</v>
      </c>
    </row>
    <row r="1948" spans="1:37">
      <c r="A1948" t="s">
        <v>2014</v>
      </c>
      <c r="B1948">
        <v>48</v>
      </c>
      <c r="C1948" t="s">
        <v>44</v>
      </c>
      <c r="D1948" t="s">
        <v>60</v>
      </c>
      <c r="E1948">
        <v>1055</v>
      </c>
      <c r="F1948">
        <v>32</v>
      </c>
      <c r="G1948">
        <v>22</v>
      </c>
      <c r="H1948">
        <v>5209.84</v>
      </c>
      <c r="I1948">
        <v>126125.46</v>
      </c>
      <c r="J1948">
        <v>121</v>
      </c>
      <c r="K1948">
        <v>4</v>
      </c>
      <c r="L1948">
        <v>18.9</v>
      </c>
      <c r="M1948">
        <v>23.3</v>
      </c>
      <c r="N1948" t="s">
        <v>78</v>
      </c>
      <c r="O1948" t="s">
        <v>75</v>
      </c>
      <c r="P1948" t="s">
        <v>58</v>
      </c>
      <c r="R1948">
        <f>SUMIF(A1948:A6947,"C01947",I1948:I6947)</f>
        <v>126125.46</v>
      </c>
      <c r="S1948" s="1">
        <v>62612.51</v>
      </c>
      <c r="T1948">
        <f t="shared" si="223"/>
        <v>1042.35917355372</v>
      </c>
      <c r="U1948">
        <f t="shared" si="218"/>
        <v>2819.3</v>
      </c>
      <c r="V1948">
        <f>U1948</f>
        <v>2819.3</v>
      </c>
      <c r="W1948">
        <f t="shared" si="221"/>
        <v>43778.7666666667</v>
      </c>
      <c r="X1948">
        <f t="shared" si="219"/>
        <v>0.20250142038911</v>
      </c>
      <c r="AH1948" t="str">
        <f t="shared" si="224"/>
        <v>3rd Quality</v>
      </c>
      <c r="AJ1948">
        <f>((T1948-X1948)*2)/18.9</f>
        <v>110.281129326278</v>
      </c>
      <c r="AK1948">
        <f t="shared" si="222"/>
        <v>1099688.92809917</v>
      </c>
    </row>
    <row r="1949" spans="1:37">
      <c r="A1949" t="s">
        <v>2015</v>
      </c>
      <c r="B1949">
        <v>51</v>
      </c>
      <c r="C1949" t="s">
        <v>44</v>
      </c>
      <c r="D1949" t="s">
        <v>45</v>
      </c>
      <c r="E1949">
        <v>1378</v>
      </c>
      <c r="F1949">
        <v>365</v>
      </c>
      <c r="G1949">
        <v>3</v>
      </c>
      <c r="H1949">
        <v>1246.99</v>
      </c>
      <c r="I1949">
        <v>3713.68</v>
      </c>
      <c r="J1949">
        <v>30</v>
      </c>
      <c r="K1949">
        <v>0</v>
      </c>
      <c r="L1949">
        <v>15.8</v>
      </c>
      <c r="M1949">
        <v>21.8</v>
      </c>
      <c r="N1949" t="s">
        <v>61</v>
      </c>
      <c r="O1949" t="s">
        <v>75</v>
      </c>
      <c r="P1949" t="s">
        <v>58</v>
      </c>
      <c r="R1949">
        <f>SUMIF(A1949:A6948,"C01948",I1949:I6948)</f>
        <v>3713.68</v>
      </c>
      <c r="S1949" s="1">
        <v>6945.08</v>
      </c>
      <c r="T1949">
        <f t="shared" si="223"/>
        <v>123.789333333333</v>
      </c>
      <c r="U1949">
        <f t="shared" si="218"/>
        <v>654</v>
      </c>
      <c r="V1949">
        <f t="shared" si="220"/>
        <v>54.5</v>
      </c>
      <c r="W1949">
        <f t="shared" si="221"/>
        <v>1653.89</v>
      </c>
      <c r="X1949">
        <f t="shared" si="219"/>
        <v>1.10506098685635</v>
      </c>
      <c r="AH1949" t="str">
        <f t="shared" si="224"/>
        <v>3rd Quality</v>
      </c>
      <c r="AJ1949">
        <f>((T1949-X1949)*2)/15.8</f>
        <v>15.5296547274021</v>
      </c>
      <c r="AK1949">
        <f t="shared" si="222"/>
        <v>170581.701333333</v>
      </c>
    </row>
    <row r="1950" spans="1:37">
      <c r="A1950" t="s">
        <v>2016</v>
      </c>
      <c r="B1950">
        <v>61</v>
      </c>
      <c r="C1950" t="s">
        <v>44</v>
      </c>
      <c r="D1950" t="s">
        <v>45</v>
      </c>
      <c r="E1950">
        <v>574</v>
      </c>
      <c r="F1950">
        <v>3</v>
      </c>
      <c r="G1950">
        <v>26</v>
      </c>
      <c r="H1950">
        <v>2150.27</v>
      </c>
      <c r="I1950">
        <v>62612.51</v>
      </c>
      <c r="J1950">
        <v>111</v>
      </c>
      <c r="K1950">
        <v>2</v>
      </c>
      <c r="L1950">
        <v>1</v>
      </c>
      <c r="M1950">
        <v>34.1</v>
      </c>
      <c r="N1950" t="s">
        <v>81</v>
      </c>
      <c r="O1950" t="s">
        <v>47</v>
      </c>
      <c r="P1950" t="s">
        <v>66</v>
      </c>
      <c r="R1950">
        <f>SUMIF(A1950:A6949,"C01949",I1950:I6949)</f>
        <v>62612.51</v>
      </c>
      <c r="S1950" s="1">
        <v>1062.96</v>
      </c>
      <c r="T1950">
        <f t="shared" si="223"/>
        <v>564.076666666667</v>
      </c>
      <c r="U1950">
        <f t="shared" si="218"/>
        <v>3785.1</v>
      </c>
      <c r="V1950">
        <f>U1950</f>
        <v>3785.1</v>
      </c>
      <c r="W1950">
        <f t="shared" si="221"/>
        <v>21587.9266666667</v>
      </c>
      <c r="X1950">
        <f t="shared" si="219"/>
        <v>0.266943221083864</v>
      </c>
      <c r="AH1950" t="str">
        <f t="shared" si="224"/>
        <v>3rd Quality</v>
      </c>
      <c r="AJ1950">
        <f>((T1950-X1950)*2)</f>
        <v>1127.61944689117</v>
      </c>
      <c r="AK1950">
        <f t="shared" si="222"/>
        <v>323780.006666667</v>
      </c>
    </row>
    <row r="1951" spans="1:37">
      <c r="A1951" t="s">
        <v>2017</v>
      </c>
      <c r="B1951">
        <v>22</v>
      </c>
      <c r="C1951" t="s">
        <v>56</v>
      </c>
      <c r="D1951" t="s">
        <v>45</v>
      </c>
      <c r="E1951">
        <v>829</v>
      </c>
      <c r="F1951">
        <v>143</v>
      </c>
      <c r="G1951">
        <v>4</v>
      </c>
      <c r="H1951">
        <v>1886.66</v>
      </c>
      <c r="I1951">
        <v>6945.08</v>
      </c>
      <c r="J1951">
        <v>12</v>
      </c>
      <c r="K1951">
        <v>0</v>
      </c>
      <c r="L1951">
        <v>17</v>
      </c>
      <c r="M1951">
        <v>17.8</v>
      </c>
      <c r="N1951" t="s">
        <v>61</v>
      </c>
      <c r="O1951" t="s">
        <v>47</v>
      </c>
      <c r="P1951" t="s">
        <v>66</v>
      </c>
      <c r="R1951">
        <f>SUMIF(A1951:A6950,"C01950",I1951:I6950)</f>
        <v>6945.08</v>
      </c>
      <c r="S1951" s="1">
        <v>28436.18</v>
      </c>
      <c r="T1951">
        <f t="shared" si="223"/>
        <v>578.756666666667</v>
      </c>
      <c r="U1951">
        <f t="shared" si="218"/>
        <v>213.6</v>
      </c>
      <c r="V1951">
        <f t="shared" si="220"/>
        <v>17.8</v>
      </c>
      <c r="W1951">
        <f t="shared" si="221"/>
        <v>2944.24666666667</v>
      </c>
      <c r="X1951">
        <f t="shared" si="219"/>
        <v>0.439400845939385</v>
      </c>
      <c r="AH1951" t="str">
        <f t="shared" si="224"/>
        <v>3rd Quality</v>
      </c>
      <c r="AJ1951">
        <f>((T1951-X1951)*2)/17</f>
        <v>68.0373253906738</v>
      </c>
      <c r="AK1951">
        <f t="shared" si="222"/>
        <v>479789.276666667</v>
      </c>
    </row>
    <row r="1952" spans="1:37">
      <c r="A1952" t="s">
        <v>2018</v>
      </c>
      <c r="B1952">
        <v>42</v>
      </c>
      <c r="C1952" t="s">
        <v>50</v>
      </c>
      <c r="D1952" t="s">
        <v>51</v>
      </c>
      <c r="E1952">
        <v>659</v>
      </c>
      <c r="F1952">
        <v>196</v>
      </c>
      <c r="G1952">
        <v>1</v>
      </c>
      <c r="H1952">
        <v>1109.23</v>
      </c>
      <c r="I1952">
        <v>1062.96</v>
      </c>
      <c r="J1952">
        <v>8</v>
      </c>
      <c r="K1952">
        <v>1</v>
      </c>
      <c r="L1952">
        <v>35.2</v>
      </c>
      <c r="M1952">
        <v>6.4</v>
      </c>
      <c r="N1952" t="s">
        <v>63</v>
      </c>
      <c r="O1952" t="s">
        <v>47</v>
      </c>
      <c r="P1952" t="s">
        <v>58</v>
      </c>
      <c r="R1952">
        <f>SUMIF(A1952:A6951,"C01951",I1952:I6951)</f>
        <v>1062.96</v>
      </c>
      <c r="S1952" s="1">
        <v>1812.77</v>
      </c>
      <c r="T1952">
        <f t="shared" si="223"/>
        <v>132.87</v>
      </c>
      <c r="U1952">
        <f t="shared" si="218"/>
        <v>51.2</v>
      </c>
      <c r="V1952">
        <f>U1952</f>
        <v>51.2</v>
      </c>
      <c r="W1952">
        <f t="shared" si="221"/>
        <v>724.396666666667</v>
      </c>
      <c r="X1952">
        <f t="shared" si="219"/>
        <v>0.594105821155216</v>
      </c>
      <c r="AH1952" t="str">
        <f t="shared" si="224"/>
        <v>3rd Quality</v>
      </c>
      <c r="AJ1952">
        <f>((T1952-X1952)*2)/35.2</f>
        <v>7.51567580561618</v>
      </c>
      <c r="AK1952">
        <f t="shared" si="222"/>
        <v>87561.33</v>
      </c>
    </row>
    <row r="1953" spans="1:37">
      <c r="A1953" t="s">
        <v>2019</v>
      </c>
      <c r="B1953">
        <v>42</v>
      </c>
      <c r="C1953" t="s">
        <v>44</v>
      </c>
      <c r="D1953" t="s">
        <v>60</v>
      </c>
      <c r="E1953">
        <v>575</v>
      </c>
      <c r="F1953">
        <v>5</v>
      </c>
      <c r="G1953">
        <v>20</v>
      </c>
      <c r="H1953">
        <v>1528.14</v>
      </c>
      <c r="I1953">
        <v>28436.18</v>
      </c>
      <c r="J1953">
        <v>107</v>
      </c>
      <c r="K1953">
        <v>0</v>
      </c>
      <c r="L1953">
        <v>9</v>
      </c>
      <c r="M1953">
        <v>33.8</v>
      </c>
      <c r="N1953" t="s">
        <v>46</v>
      </c>
      <c r="O1953" t="s">
        <v>47</v>
      </c>
      <c r="P1953" t="s">
        <v>58</v>
      </c>
      <c r="R1953">
        <f>SUMIF(A1953:A6952,"C01952",I1953:I6952)</f>
        <v>28436.18</v>
      </c>
      <c r="S1953" s="1">
        <v>2219.89</v>
      </c>
      <c r="T1953">
        <f t="shared" si="223"/>
        <v>265.758691588785</v>
      </c>
      <c r="U1953">
        <f t="shared" si="218"/>
        <v>3616.6</v>
      </c>
      <c r="V1953">
        <f t="shared" si="220"/>
        <v>301.383333333333</v>
      </c>
      <c r="W1953">
        <f t="shared" si="221"/>
        <v>9988.44</v>
      </c>
      <c r="X1953">
        <f t="shared" si="219"/>
        <v>0.376274425118117</v>
      </c>
      <c r="AH1953" t="str">
        <f t="shared" si="224"/>
        <v>2nd Quality</v>
      </c>
      <c r="AJ1953">
        <f>((T1953-X1953)*2)/9</f>
        <v>58.9738704808149</v>
      </c>
      <c r="AK1953">
        <f t="shared" si="222"/>
        <v>152811.247663551</v>
      </c>
    </row>
    <row r="1954" spans="1:37">
      <c r="A1954" t="s">
        <v>2020</v>
      </c>
      <c r="B1954">
        <v>37</v>
      </c>
      <c r="C1954" t="s">
        <v>44</v>
      </c>
      <c r="D1954" t="s">
        <v>60</v>
      </c>
      <c r="E1954">
        <v>586</v>
      </c>
      <c r="F1954">
        <v>182</v>
      </c>
      <c r="G1954">
        <v>3</v>
      </c>
      <c r="H1954">
        <v>622.34</v>
      </c>
      <c r="I1954">
        <v>1812.77</v>
      </c>
      <c r="J1954">
        <v>28</v>
      </c>
      <c r="K1954">
        <v>1</v>
      </c>
      <c r="L1954">
        <v>42.4</v>
      </c>
      <c r="M1954">
        <v>19.2</v>
      </c>
      <c r="N1954" t="s">
        <v>61</v>
      </c>
      <c r="O1954" t="s">
        <v>47</v>
      </c>
      <c r="P1954" t="s">
        <v>58</v>
      </c>
      <c r="R1954">
        <f>SUMIF(A1954:A6953,"C01953",I1954:I6953)</f>
        <v>1812.77</v>
      </c>
      <c r="S1954" s="1">
        <v>3005.17</v>
      </c>
      <c r="T1954">
        <f t="shared" si="223"/>
        <v>64.7417857142857</v>
      </c>
      <c r="U1954">
        <f t="shared" ref="U1954:U2017" si="225">J1954*M1954</f>
        <v>537.6</v>
      </c>
      <c r="V1954">
        <f>U1954</f>
        <v>537.6</v>
      </c>
      <c r="W1954">
        <f t="shared" si="221"/>
        <v>812.036666666667</v>
      </c>
      <c r="X1954">
        <f t="shared" si="219"/>
        <v>0.941607481441013</v>
      </c>
      <c r="AH1954" t="str">
        <f t="shared" si="224"/>
        <v>3rd Quality</v>
      </c>
      <c r="AJ1954">
        <f>((T1954-X1954)*2)/42.4</f>
        <v>3.00944236947381</v>
      </c>
      <c r="AK1954">
        <f t="shared" si="222"/>
        <v>37938.6864285714</v>
      </c>
    </row>
    <row r="1955" spans="1:37">
      <c r="A1955" t="s">
        <v>2021</v>
      </c>
      <c r="B1955">
        <v>27</v>
      </c>
      <c r="C1955" t="s">
        <v>101</v>
      </c>
      <c r="D1955" t="s">
        <v>45</v>
      </c>
      <c r="E1955">
        <v>870</v>
      </c>
      <c r="F1955">
        <v>61</v>
      </c>
      <c r="G1955">
        <v>1</v>
      </c>
      <c r="H1955">
        <v>1992.02</v>
      </c>
      <c r="I1955">
        <v>2219.89</v>
      </c>
      <c r="J1955">
        <v>10</v>
      </c>
      <c r="K1955">
        <v>0</v>
      </c>
      <c r="L1955">
        <v>10.4</v>
      </c>
      <c r="M1955">
        <v>30.7</v>
      </c>
      <c r="N1955" t="s">
        <v>63</v>
      </c>
      <c r="O1955" t="s">
        <v>75</v>
      </c>
      <c r="P1955" t="s">
        <v>58</v>
      </c>
      <c r="R1955">
        <f>SUMIF(A1955:A6954,"C01954",I1955:I6954)</f>
        <v>2219.89</v>
      </c>
      <c r="S1955" s="1">
        <v>1400.56</v>
      </c>
      <c r="T1955">
        <f t="shared" si="223"/>
        <v>221.989</v>
      </c>
      <c r="U1955">
        <f t="shared" si="225"/>
        <v>307</v>
      </c>
      <c r="V1955">
        <f t="shared" si="220"/>
        <v>25.5833333333333</v>
      </c>
      <c r="W1955">
        <f t="shared" si="221"/>
        <v>1404.30333333333</v>
      </c>
      <c r="X1955">
        <f t="shared" si="219"/>
        <v>0.436742602985914</v>
      </c>
      <c r="AH1955" t="str">
        <f t="shared" si="224"/>
        <v>3rd Quality</v>
      </c>
      <c r="AJ1955">
        <f>((T1955-X1955)*2)/10.4</f>
        <v>42.6062033455796</v>
      </c>
      <c r="AK1955">
        <f t="shared" si="222"/>
        <v>193130.43</v>
      </c>
    </row>
    <row r="1956" spans="1:37">
      <c r="A1956" t="s">
        <v>2022</v>
      </c>
      <c r="B1956">
        <v>43</v>
      </c>
      <c r="C1956" t="s">
        <v>44</v>
      </c>
      <c r="D1956" t="s">
        <v>51</v>
      </c>
      <c r="E1956">
        <v>490</v>
      </c>
      <c r="F1956">
        <v>122</v>
      </c>
      <c r="G1956">
        <v>1</v>
      </c>
      <c r="H1956">
        <v>3067.92</v>
      </c>
      <c r="I1956">
        <v>3005.17</v>
      </c>
      <c r="J1956">
        <v>11</v>
      </c>
      <c r="K1956">
        <v>0</v>
      </c>
      <c r="L1956">
        <v>27.2</v>
      </c>
      <c r="M1956">
        <v>18.2</v>
      </c>
      <c r="N1956" t="s">
        <v>61</v>
      </c>
      <c r="O1956" t="s">
        <v>75</v>
      </c>
      <c r="P1956" t="s">
        <v>68</v>
      </c>
      <c r="R1956">
        <f>SUMIF(A1956:A6955,"C01955",I1956:I6955)</f>
        <v>3005.17</v>
      </c>
      <c r="S1956" s="1">
        <v>38467.99</v>
      </c>
      <c r="T1956">
        <f t="shared" si="223"/>
        <v>273.197272727273</v>
      </c>
      <c r="U1956">
        <f t="shared" si="225"/>
        <v>200.2</v>
      </c>
      <c r="V1956">
        <f t="shared" si="220"/>
        <v>16.6833333333333</v>
      </c>
      <c r="W1956">
        <f t="shared" si="221"/>
        <v>2024.69666666667</v>
      </c>
      <c r="X1956">
        <f t="shared" si="219"/>
        <v>0.159717332916113</v>
      </c>
      <c r="AH1956" t="str">
        <f t="shared" si="224"/>
        <v>3rd Quality</v>
      </c>
      <c r="AJ1956">
        <f>((T1956-X1956)*2)/27.2</f>
        <v>20.0762908378204</v>
      </c>
      <c r="AK1956">
        <f t="shared" si="222"/>
        <v>133866.663636364</v>
      </c>
    </row>
    <row r="1957" spans="1:37">
      <c r="A1957" t="s">
        <v>2023</v>
      </c>
      <c r="B1957">
        <v>54</v>
      </c>
      <c r="C1957" t="s">
        <v>50</v>
      </c>
      <c r="D1957" t="s">
        <v>60</v>
      </c>
      <c r="E1957">
        <v>1054</v>
      </c>
      <c r="F1957">
        <v>270</v>
      </c>
      <c r="G1957">
        <v>1</v>
      </c>
      <c r="H1957">
        <v>1298.61</v>
      </c>
      <c r="I1957">
        <v>1400.56</v>
      </c>
      <c r="J1957">
        <v>7</v>
      </c>
      <c r="K1957">
        <v>0</v>
      </c>
      <c r="L1957">
        <v>13.1</v>
      </c>
      <c r="M1957">
        <v>42.7</v>
      </c>
      <c r="N1957" t="s">
        <v>81</v>
      </c>
      <c r="O1957" t="s">
        <v>47</v>
      </c>
      <c r="P1957" t="s">
        <v>54</v>
      </c>
      <c r="R1957">
        <f>SUMIF(A1957:A6956,"C01956",I1957:I6956)</f>
        <v>1400.56</v>
      </c>
      <c r="S1957" s="1">
        <v>74294.99</v>
      </c>
      <c r="T1957">
        <f t="shared" si="223"/>
        <v>200.08</v>
      </c>
      <c r="U1957">
        <f t="shared" si="225"/>
        <v>298.9</v>
      </c>
      <c r="V1957">
        <f t="shared" si="220"/>
        <v>24.9083333333333</v>
      </c>
      <c r="W1957">
        <f t="shared" si="221"/>
        <v>900.056666666667</v>
      </c>
      <c r="X1957">
        <f t="shared" si="219"/>
        <v>0.811637058085183</v>
      </c>
      <c r="AH1957" t="str">
        <f t="shared" si="224"/>
        <v>3rd Quality</v>
      </c>
      <c r="AJ1957">
        <f>((T1957-X1957)*2)/13.1</f>
        <v>30.4226508308267</v>
      </c>
      <c r="AK1957">
        <f t="shared" si="222"/>
        <v>210884.32</v>
      </c>
    </row>
    <row r="1958" spans="1:37">
      <c r="A1958" t="s">
        <v>2024</v>
      </c>
      <c r="B1958">
        <v>51</v>
      </c>
      <c r="C1958" t="s">
        <v>44</v>
      </c>
      <c r="D1958" t="s">
        <v>60</v>
      </c>
      <c r="E1958">
        <v>570</v>
      </c>
      <c r="F1958">
        <v>29</v>
      </c>
      <c r="G1958">
        <v>4</v>
      </c>
      <c r="H1958">
        <v>9061.83</v>
      </c>
      <c r="I1958">
        <v>38467.99</v>
      </c>
      <c r="J1958">
        <v>27</v>
      </c>
      <c r="K1958">
        <v>0</v>
      </c>
      <c r="L1958">
        <v>0.6</v>
      </c>
      <c r="M1958">
        <v>28.3</v>
      </c>
      <c r="N1958" t="s">
        <v>52</v>
      </c>
      <c r="O1958" t="s">
        <v>47</v>
      </c>
      <c r="P1958" t="s">
        <v>48</v>
      </c>
      <c r="R1958">
        <f>SUMIF(A1958:A6957,"C01957",I1958:I6957)</f>
        <v>38467.99</v>
      </c>
      <c r="S1958" s="1">
        <v>2708.24</v>
      </c>
      <c r="T1958">
        <f t="shared" si="223"/>
        <v>1424.74037037037</v>
      </c>
      <c r="U1958">
        <f t="shared" si="225"/>
        <v>764.1</v>
      </c>
      <c r="V1958">
        <f t="shared" si="220"/>
        <v>63.675</v>
      </c>
      <c r="W1958">
        <f t="shared" si="221"/>
        <v>15843.6066666667</v>
      </c>
      <c r="X1958">
        <f t="shared" si="219"/>
        <v>0.0629012020750775</v>
      </c>
      <c r="AH1958" t="str">
        <f t="shared" si="224"/>
        <v>3rd Quality</v>
      </c>
      <c r="AJ1958">
        <f>((T1958-X1958)*2)/0.6</f>
        <v>4748.92489722765</v>
      </c>
      <c r="AK1958">
        <f t="shared" si="222"/>
        <v>812102.011111111</v>
      </c>
    </row>
    <row r="1959" spans="1:37">
      <c r="A1959" t="s">
        <v>2025</v>
      </c>
      <c r="B1959">
        <v>50</v>
      </c>
      <c r="C1959" t="s">
        <v>44</v>
      </c>
      <c r="D1959" t="s">
        <v>60</v>
      </c>
      <c r="E1959">
        <v>921</v>
      </c>
      <c r="F1959">
        <v>5</v>
      </c>
      <c r="G1959">
        <v>23</v>
      </c>
      <c r="H1959">
        <v>3394.84</v>
      </c>
      <c r="I1959">
        <v>74294.99</v>
      </c>
      <c r="J1959">
        <v>120</v>
      </c>
      <c r="K1959">
        <v>1</v>
      </c>
      <c r="L1959">
        <v>2.4</v>
      </c>
      <c r="M1959">
        <v>55.9</v>
      </c>
      <c r="N1959" t="s">
        <v>57</v>
      </c>
      <c r="O1959" t="s">
        <v>53</v>
      </c>
      <c r="P1959" t="s">
        <v>48</v>
      </c>
      <c r="R1959">
        <f>SUMIF(A1959:A6958,"C01958",I1959:I6958)</f>
        <v>74294.99</v>
      </c>
      <c r="S1959" s="1">
        <v>31258.77</v>
      </c>
      <c r="T1959">
        <f t="shared" si="223"/>
        <v>619.124916666667</v>
      </c>
      <c r="U1959">
        <f t="shared" si="225"/>
        <v>6708</v>
      </c>
      <c r="V1959">
        <f>U1959</f>
        <v>6708</v>
      </c>
      <c r="W1959">
        <f t="shared" si="221"/>
        <v>25896.9433333333</v>
      </c>
      <c r="X1959">
        <f t="shared" si="219"/>
        <v>0.271294081606202</v>
      </c>
      <c r="AH1959" t="str">
        <f t="shared" si="224"/>
        <v>3rd Quality</v>
      </c>
      <c r="AJ1959">
        <f>((T1959-X1959)*2)/2.4</f>
        <v>515.711352154217</v>
      </c>
      <c r="AK1959">
        <f t="shared" si="222"/>
        <v>570214.04825</v>
      </c>
    </row>
    <row r="1960" spans="1:37">
      <c r="A1960" t="s">
        <v>2026</v>
      </c>
      <c r="B1960">
        <v>35</v>
      </c>
      <c r="C1960" t="s">
        <v>50</v>
      </c>
      <c r="D1960" t="s">
        <v>60</v>
      </c>
      <c r="E1960">
        <v>624</v>
      </c>
      <c r="F1960">
        <v>257</v>
      </c>
      <c r="G1960">
        <v>4</v>
      </c>
      <c r="H1960">
        <v>664.32</v>
      </c>
      <c r="I1960">
        <v>2708.24</v>
      </c>
      <c r="J1960">
        <v>38</v>
      </c>
      <c r="K1960">
        <v>0</v>
      </c>
      <c r="L1960">
        <v>26.7</v>
      </c>
      <c r="M1960">
        <v>7.9</v>
      </c>
      <c r="N1960" t="s">
        <v>63</v>
      </c>
      <c r="O1960" t="s">
        <v>47</v>
      </c>
      <c r="P1960" t="s">
        <v>58</v>
      </c>
      <c r="R1960">
        <f>SUMIF(A1960:A6959,"C01959",I1960:I6959)</f>
        <v>2708.24</v>
      </c>
      <c r="S1960" s="1">
        <v>77545.49</v>
      </c>
      <c r="T1960">
        <f t="shared" si="223"/>
        <v>71.2694736842105</v>
      </c>
      <c r="U1960">
        <f t="shared" si="225"/>
        <v>300.2</v>
      </c>
      <c r="V1960">
        <f t="shared" si="220"/>
        <v>25.0166666666667</v>
      </c>
      <c r="W1960">
        <f t="shared" si="221"/>
        <v>1124.52</v>
      </c>
      <c r="X1960">
        <f t="shared" si="219"/>
        <v>0.939306358381503</v>
      </c>
      <c r="AH1960" t="str">
        <f t="shared" si="224"/>
        <v>3rd Quality</v>
      </c>
      <c r="AJ1960">
        <f>((T1960-X1960)*2)/26.7</f>
        <v>5.26817732777745</v>
      </c>
      <c r="AK1960">
        <f t="shared" si="222"/>
        <v>44472.1515789474</v>
      </c>
    </row>
    <row r="1961" spans="1:37">
      <c r="A1961" t="s">
        <v>2027</v>
      </c>
      <c r="B1961">
        <v>18</v>
      </c>
      <c r="C1961" t="s">
        <v>50</v>
      </c>
      <c r="D1961" t="s">
        <v>60</v>
      </c>
      <c r="E1961">
        <v>850</v>
      </c>
      <c r="F1961">
        <v>11</v>
      </c>
      <c r="G1961">
        <v>4</v>
      </c>
      <c r="H1961">
        <v>7206.4</v>
      </c>
      <c r="I1961">
        <v>31258.77</v>
      </c>
      <c r="J1961">
        <v>27</v>
      </c>
      <c r="K1961">
        <v>0</v>
      </c>
      <c r="L1961">
        <v>12.8</v>
      </c>
      <c r="M1961">
        <v>23.1</v>
      </c>
      <c r="N1961" t="s">
        <v>57</v>
      </c>
      <c r="O1961" t="s">
        <v>75</v>
      </c>
      <c r="P1961" t="s">
        <v>68</v>
      </c>
      <c r="R1961">
        <f>SUMIF(A1961:A6960,"C01960",I1961:I6960)</f>
        <v>31258.77</v>
      </c>
      <c r="S1961" s="1">
        <v>6465.28</v>
      </c>
      <c r="T1961">
        <f t="shared" si="223"/>
        <v>1157.73222222222</v>
      </c>
      <c r="U1961">
        <f t="shared" si="225"/>
        <v>623.7</v>
      </c>
      <c r="V1961">
        <f t="shared" si="220"/>
        <v>51.975</v>
      </c>
      <c r="W1961">
        <f t="shared" si="221"/>
        <v>12822.0566666667</v>
      </c>
      <c r="X1961">
        <f t="shared" si="219"/>
        <v>0.117950710479574</v>
      </c>
      <c r="AH1961" t="str">
        <f t="shared" si="224"/>
        <v>2nd Quality</v>
      </c>
      <c r="AJ1961">
        <f>((T1961-X1961)*2)/12.8</f>
        <v>180.877229923709</v>
      </c>
      <c r="AK1961">
        <f t="shared" si="222"/>
        <v>984072.388888889</v>
      </c>
    </row>
    <row r="1962" spans="1:37">
      <c r="A1962" t="s">
        <v>2028</v>
      </c>
      <c r="B1962">
        <v>34</v>
      </c>
      <c r="C1962" t="s">
        <v>44</v>
      </c>
      <c r="D1962" t="s">
        <v>60</v>
      </c>
      <c r="E1962">
        <v>530</v>
      </c>
      <c r="F1962">
        <v>52</v>
      </c>
      <c r="G1962">
        <v>7</v>
      </c>
      <c r="H1962">
        <v>10789.64</v>
      </c>
      <c r="I1962">
        <v>77545.49</v>
      </c>
      <c r="J1962">
        <v>52</v>
      </c>
      <c r="K1962">
        <v>1</v>
      </c>
      <c r="L1962">
        <v>2.6</v>
      </c>
      <c r="M1962">
        <v>39.4</v>
      </c>
      <c r="N1962" t="s">
        <v>46</v>
      </c>
      <c r="O1962" t="s">
        <v>47</v>
      </c>
      <c r="P1962" t="s">
        <v>68</v>
      </c>
      <c r="R1962">
        <f>SUMIF(A1962:A6961,"C01961",I1962:I6961)</f>
        <v>77545.49</v>
      </c>
      <c r="S1962" s="1">
        <v>38578.01</v>
      </c>
      <c r="T1962">
        <f t="shared" si="223"/>
        <v>1491.25942307692</v>
      </c>
      <c r="U1962">
        <f t="shared" si="225"/>
        <v>2048.8</v>
      </c>
      <c r="V1962">
        <f>U1962</f>
        <v>2048.8</v>
      </c>
      <c r="W1962">
        <f t="shared" si="221"/>
        <v>29445.3766666667</v>
      </c>
      <c r="X1962">
        <f t="shared" si="219"/>
        <v>0.0491211940342773</v>
      </c>
      <c r="AH1962" t="str">
        <f t="shared" si="224"/>
        <v>2nd Quality</v>
      </c>
      <c r="AJ1962">
        <f>((T1962-X1962)*2)/2.6</f>
        <v>1147.08484760222</v>
      </c>
      <c r="AK1962">
        <f t="shared" si="222"/>
        <v>790367.494230769</v>
      </c>
    </row>
    <row r="1963" spans="1:37">
      <c r="A1963" t="s">
        <v>2029</v>
      </c>
      <c r="B1963">
        <v>28</v>
      </c>
      <c r="C1963" t="s">
        <v>44</v>
      </c>
      <c r="D1963" t="s">
        <v>45</v>
      </c>
      <c r="E1963">
        <v>575</v>
      </c>
      <c r="F1963">
        <v>52</v>
      </c>
      <c r="G1963">
        <v>8</v>
      </c>
      <c r="H1963">
        <v>856.48</v>
      </c>
      <c r="I1963">
        <v>6465.28</v>
      </c>
      <c r="J1963">
        <v>65</v>
      </c>
      <c r="K1963">
        <v>1</v>
      </c>
      <c r="L1963">
        <v>29.5</v>
      </c>
      <c r="M1963">
        <v>12.3</v>
      </c>
      <c r="N1963" t="s">
        <v>57</v>
      </c>
      <c r="O1963" t="s">
        <v>53</v>
      </c>
      <c r="P1963" t="s">
        <v>48</v>
      </c>
      <c r="R1963">
        <f>SUMIF(A1963:A6962,"C01962",I1963:I6962)</f>
        <v>6465.28</v>
      </c>
      <c r="S1963" s="1">
        <v>75070.97</v>
      </c>
      <c r="T1963">
        <f t="shared" si="223"/>
        <v>99.4658461538461</v>
      </c>
      <c r="U1963">
        <f t="shared" si="225"/>
        <v>799.5</v>
      </c>
      <c r="V1963">
        <f>U1963</f>
        <v>799.5</v>
      </c>
      <c r="W1963">
        <f t="shared" si="221"/>
        <v>2440.92</v>
      </c>
      <c r="X1963">
        <f t="shared" si="219"/>
        <v>0.671352512609751</v>
      </c>
      <c r="AH1963" t="str">
        <f t="shared" si="224"/>
        <v>3rd Quality</v>
      </c>
      <c r="AJ1963">
        <f>((T1963-X1963)*2)/29.5</f>
        <v>6.69793177228721</v>
      </c>
      <c r="AK1963">
        <f t="shared" si="222"/>
        <v>57192.8615384615</v>
      </c>
    </row>
    <row r="1964" spans="1:37">
      <c r="A1964" t="s">
        <v>2030</v>
      </c>
      <c r="B1964">
        <v>59</v>
      </c>
      <c r="C1964" t="s">
        <v>50</v>
      </c>
      <c r="D1964" t="s">
        <v>60</v>
      </c>
      <c r="E1964">
        <v>728</v>
      </c>
      <c r="F1964">
        <v>45</v>
      </c>
      <c r="G1964">
        <v>5</v>
      </c>
      <c r="H1964">
        <v>7097.02</v>
      </c>
      <c r="I1964">
        <v>38578.01</v>
      </c>
      <c r="J1964">
        <v>52</v>
      </c>
      <c r="K1964">
        <v>0</v>
      </c>
      <c r="L1964">
        <v>1</v>
      </c>
      <c r="M1964">
        <v>12.8</v>
      </c>
      <c r="N1964" t="s">
        <v>63</v>
      </c>
      <c r="O1964" t="s">
        <v>47</v>
      </c>
      <c r="P1964" t="s">
        <v>48</v>
      </c>
      <c r="R1964">
        <f>SUMIF(A1964:A6963,"C01963",I1964:I6963)</f>
        <v>38578.01</v>
      </c>
      <c r="S1964" s="1">
        <v>3214.49</v>
      </c>
      <c r="T1964">
        <f t="shared" si="223"/>
        <v>741.884807692308</v>
      </c>
      <c r="U1964">
        <f t="shared" si="225"/>
        <v>665.6</v>
      </c>
      <c r="V1964">
        <f t="shared" si="220"/>
        <v>55.4666666666667</v>
      </c>
      <c r="W1964">
        <f t="shared" si="221"/>
        <v>15225.3433333333</v>
      </c>
      <c r="X1964">
        <f t="shared" si="219"/>
        <v>0.102578265243722</v>
      </c>
      <c r="AH1964" t="str">
        <f t="shared" si="224"/>
        <v>3rd Quality</v>
      </c>
      <c r="AJ1964">
        <f>((T1964-X1964)*2)</f>
        <v>1483.56445885413</v>
      </c>
      <c r="AK1964">
        <f t="shared" si="222"/>
        <v>540092.14</v>
      </c>
    </row>
    <row r="1965" spans="1:37">
      <c r="A1965" t="s">
        <v>2031</v>
      </c>
      <c r="B1965">
        <v>35</v>
      </c>
      <c r="C1965" t="s">
        <v>50</v>
      </c>
      <c r="D1965" t="s">
        <v>60</v>
      </c>
      <c r="E1965">
        <v>1132</v>
      </c>
      <c r="F1965">
        <v>2</v>
      </c>
      <c r="G1965">
        <v>25</v>
      </c>
      <c r="H1965">
        <v>2962.9</v>
      </c>
      <c r="I1965">
        <v>75070.97</v>
      </c>
      <c r="J1965">
        <v>134</v>
      </c>
      <c r="K1965">
        <v>1</v>
      </c>
      <c r="L1965">
        <v>8.4</v>
      </c>
      <c r="M1965">
        <v>49.6</v>
      </c>
      <c r="N1965" t="s">
        <v>81</v>
      </c>
      <c r="O1965" t="s">
        <v>47</v>
      </c>
      <c r="P1965" t="s">
        <v>54</v>
      </c>
      <c r="R1965">
        <f>SUMIF(A1965:A6964,"C01964",I1965:I6964)</f>
        <v>75070.97</v>
      </c>
      <c r="S1965" s="1">
        <v>48527.22</v>
      </c>
      <c r="T1965">
        <f t="shared" si="223"/>
        <v>560.231119402985</v>
      </c>
      <c r="U1965">
        <f t="shared" si="225"/>
        <v>6646.4</v>
      </c>
      <c r="V1965">
        <f>U1965</f>
        <v>6646.4</v>
      </c>
      <c r="W1965">
        <f t="shared" si="221"/>
        <v>26011.6233333333</v>
      </c>
      <c r="X1965">
        <f t="shared" si="219"/>
        <v>0.382058118735023</v>
      </c>
      <c r="AH1965" t="str">
        <f t="shared" si="224"/>
        <v>2nd Quality</v>
      </c>
      <c r="AJ1965">
        <f>((T1965-X1965)*2)/8.4</f>
        <v>133.297395543869</v>
      </c>
      <c r="AK1965">
        <f t="shared" si="222"/>
        <v>634181.627164179</v>
      </c>
    </row>
    <row r="1966" spans="1:37">
      <c r="A1966" t="s">
        <v>2032</v>
      </c>
      <c r="B1966">
        <v>31</v>
      </c>
      <c r="C1966" t="s">
        <v>44</v>
      </c>
      <c r="D1966" t="s">
        <v>51</v>
      </c>
      <c r="E1966">
        <v>832</v>
      </c>
      <c r="F1966">
        <v>89</v>
      </c>
      <c r="G1966">
        <v>3</v>
      </c>
      <c r="H1966">
        <v>960.81</v>
      </c>
      <c r="I1966">
        <v>3214.49</v>
      </c>
      <c r="J1966">
        <v>24</v>
      </c>
      <c r="K1966">
        <v>0</v>
      </c>
      <c r="L1966">
        <v>25.3</v>
      </c>
      <c r="M1966">
        <v>47.6</v>
      </c>
      <c r="N1966" t="s">
        <v>81</v>
      </c>
      <c r="O1966" t="s">
        <v>75</v>
      </c>
      <c r="P1966" t="s">
        <v>58</v>
      </c>
      <c r="R1966">
        <f>SUMIF(A1966:A6965,"C01965",I1966:I6965)</f>
        <v>3214.49</v>
      </c>
      <c r="S1966" s="1">
        <v>3195.41</v>
      </c>
      <c r="T1966">
        <f t="shared" si="223"/>
        <v>133.937083333333</v>
      </c>
      <c r="U1966">
        <f t="shared" si="225"/>
        <v>1142.4</v>
      </c>
      <c r="V1966">
        <f t="shared" si="220"/>
        <v>95.2</v>
      </c>
      <c r="W1966">
        <f t="shared" si="221"/>
        <v>1392.1</v>
      </c>
      <c r="X1966">
        <f t="shared" si="219"/>
        <v>0.865936033138706</v>
      </c>
      <c r="AH1966" t="str">
        <f t="shared" si="224"/>
        <v>3rd Quality</v>
      </c>
      <c r="AJ1966">
        <f>((T1966-X1966)*2)/25.3</f>
        <v>10.5194582846003</v>
      </c>
      <c r="AK1966">
        <f t="shared" si="222"/>
        <v>111435.653333333</v>
      </c>
    </row>
    <row r="1967" spans="1:37">
      <c r="A1967" t="s">
        <v>2033</v>
      </c>
      <c r="B1967">
        <v>35</v>
      </c>
      <c r="C1967" t="s">
        <v>50</v>
      </c>
      <c r="D1967" t="s">
        <v>60</v>
      </c>
      <c r="E1967">
        <v>752</v>
      </c>
      <c r="F1967">
        <v>12</v>
      </c>
      <c r="G1967">
        <v>26</v>
      </c>
      <c r="H1967">
        <v>1799.23</v>
      </c>
      <c r="I1967">
        <v>48527.22</v>
      </c>
      <c r="J1967">
        <v>193</v>
      </c>
      <c r="K1967">
        <v>4</v>
      </c>
      <c r="L1967">
        <v>21.7</v>
      </c>
      <c r="M1967">
        <v>39.5</v>
      </c>
      <c r="N1967" t="s">
        <v>63</v>
      </c>
      <c r="O1967" t="s">
        <v>75</v>
      </c>
      <c r="P1967" t="s">
        <v>48</v>
      </c>
      <c r="R1967">
        <f>SUMIF(A1967:A6966,"C01966",I1967:I6966)</f>
        <v>48527.22</v>
      </c>
      <c r="S1967" s="1">
        <v>1537.36</v>
      </c>
      <c r="T1967">
        <f t="shared" si="223"/>
        <v>251.436373056995</v>
      </c>
      <c r="U1967">
        <f t="shared" si="225"/>
        <v>7623.5</v>
      </c>
      <c r="V1967">
        <f>U1967</f>
        <v>7623.5</v>
      </c>
      <c r="W1967">
        <f t="shared" si="221"/>
        <v>16775.8166666667</v>
      </c>
      <c r="X1967">
        <f t="shared" ref="X1967:X2030" si="226">E1967/H1967</f>
        <v>0.417956570310633</v>
      </c>
      <c r="AH1967" t="str">
        <f t="shared" si="224"/>
        <v>2nd Quality</v>
      </c>
      <c r="AJ1967">
        <f>((T1967-X1967)*2)/21.7</f>
        <v>23.13533792504</v>
      </c>
      <c r="AK1967">
        <f t="shared" si="222"/>
        <v>189080.15253886</v>
      </c>
    </row>
    <row r="1968" spans="1:37">
      <c r="A1968" t="s">
        <v>2034</v>
      </c>
      <c r="B1968">
        <v>40</v>
      </c>
      <c r="C1968" t="s">
        <v>44</v>
      </c>
      <c r="D1968" t="s">
        <v>45</v>
      </c>
      <c r="E1968">
        <v>997</v>
      </c>
      <c r="F1968">
        <v>125</v>
      </c>
      <c r="G1968">
        <v>4</v>
      </c>
      <c r="H1968">
        <v>808.78</v>
      </c>
      <c r="I1968">
        <v>3195.41</v>
      </c>
      <c r="J1968">
        <v>31</v>
      </c>
      <c r="K1968">
        <v>0</v>
      </c>
      <c r="L1968">
        <v>32.6</v>
      </c>
      <c r="M1968">
        <v>20.3</v>
      </c>
      <c r="N1968" t="s">
        <v>81</v>
      </c>
      <c r="O1968" t="s">
        <v>47</v>
      </c>
      <c r="P1968" t="s">
        <v>58</v>
      </c>
      <c r="R1968">
        <f>SUMIF(A1968:A6967,"C01967",I1968:I6967)</f>
        <v>3195.41</v>
      </c>
      <c r="S1968" s="1">
        <v>11358.78</v>
      </c>
      <c r="T1968">
        <f t="shared" si="223"/>
        <v>103.077741935484</v>
      </c>
      <c r="U1968">
        <f t="shared" si="225"/>
        <v>629.3</v>
      </c>
      <c r="V1968">
        <f t="shared" si="220"/>
        <v>52.4416666666667</v>
      </c>
      <c r="W1968">
        <f t="shared" si="221"/>
        <v>1335.06333333333</v>
      </c>
      <c r="X1968">
        <f t="shared" si="226"/>
        <v>1.23272088825144</v>
      </c>
      <c r="AH1968" t="str">
        <f t="shared" si="224"/>
        <v>3rd Quality</v>
      </c>
      <c r="AJ1968">
        <f>((T1968-X1968)*2)/32.6</f>
        <v>6.24816080044372</v>
      </c>
      <c r="AK1968">
        <f t="shared" si="222"/>
        <v>102768.508709677</v>
      </c>
    </row>
    <row r="1969" spans="1:37">
      <c r="A1969" t="s">
        <v>2035</v>
      </c>
      <c r="B1969">
        <v>33</v>
      </c>
      <c r="C1969" t="s">
        <v>50</v>
      </c>
      <c r="D1969" t="s">
        <v>45</v>
      </c>
      <c r="E1969">
        <v>1428</v>
      </c>
      <c r="F1969">
        <v>81</v>
      </c>
      <c r="G1969">
        <v>3</v>
      </c>
      <c r="H1969">
        <v>520.46</v>
      </c>
      <c r="I1969">
        <v>1537.36</v>
      </c>
      <c r="J1969">
        <v>25</v>
      </c>
      <c r="K1969">
        <v>0</v>
      </c>
      <c r="L1969">
        <v>31</v>
      </c>
      <c r="M1969">
        <v>44.9</v>
      </c>
      <c r="N1969" t="s">
        <v>46</v>
      </c>
      <c r="O1969" t="s">
        <v>53</v>
      </c>
      <c r="P1969" t="s">
        <v>68</v>
      </c>
      <c r="R1969">
        <f>SUMIF(A1969:A6968,"C01968",I1969:I6968)</f>
        <v>1537.36</v>
      </c>
      <c r="S1969" s="1">
        <v>28596.33</v>
      </c>
      <c r="T1969">
        <f t="shared" si="223"/>
        <v>61.4944</v>
      </c>
      <c r="U1969">
        <f t="shared" si="225"/>
        <v>1122.5</v>
      </c>
      <c r="V1969">
        <f t="shared" si="220"/>
        <v>93.5416666666667</v>
      </c>
      <c r="W1969">
        <f t="shared" si="221"/>
        <v>686.273333333333</v>
      </c>
      <c r="X1969">
        <f t="shared" si="226"/>
        <v>2.74372670330093</v>
      </c>
      <c r="AH1969" t="str">
        <f t="shared" si="224"/>
        <v>3rd Quality</v>
      </c>
      <c r="AJ1969">
        <f>((T1969-X1969)*2)/31</f>
        <v>3.79036601914188</v>
      </c>
      <c r="AK1969">
        <f t="shared" si="222"/>
        <v>87814.0032</v>
      </c>
    </row>
    <row r="1970" spans="1:37">
      <c r="A1970" t="s">
        <v>2036</v>
      </c>
      <c r="B1970">
        <v>34</v>
      </c>
      <c r="C1970" t="s">
        <v>50</v>
      </c>
      <c r="D1970" t="s">
        <v>45</v>
      </c>
      <c r="E1970">
        <v>1253</v>
      </c>
      <c r="F1970">
        <v>55</v>
      </c>
      <c r="G1970">
        <v>10</v>
      </c>
      <c r="H1970">
        <v>1040.92</v>
      </c>
      <c r="I1970">
        <v>11358.78</v>
      </c>
      <c r="J1970">
        <v>55</v>
      </c>
      <c r="K1970">
        <v>0</v>
      </c>
      <c r="L1970">
        <v>20</v>
      </c>
      <c r="M1970">
        <v>15.9</v>
      </c>
      <c r="N1970" t="s">
        <v>61</v>
      </c>
      <c r="O1970" t="s">
        <v>47</v>
      </c>
      <c r="P1970" t="s">
        <v>58</v>
      </c>
      <c r="R1970">
        <f>SUMIF(A1970:A6969,"C01969",I1970:I6969)</f>
        <v>11358.78</v>
      </c>
      <c r="S1970" s="1">
        <v>14128.38</v>
      </c>
      <c r="T1970">
        <f t="shared" si="223"/>
        <v>206.523272727273</v>
      </c>
      <c r="U1970">
        <f t="shared" si="225"/>
        <v>874.5</v>
      </c>
      <c r="V1970">
        <f t="shared" si="220"/>
        <v>72.875</v>
      </c>
      <c r="W1970">
        <f t="shared" si="221"/>
        <v>4133.56666666667</v>
      </c>
      <c r="X1970">
        <f t="shared" si="226"/>
        <v>1.20374284286977</v>
      </c>
      <c r="AH1970" t="str">
        <f t="shared" si="224"/>
        <v>3rd Quality</v>
      </c>
      <c r="AJ1970">
        <f>((T1970-X1970)*2)/20</f>
        <v>20.5319529884403</v>
      </c>
      <c r="AK1970">
        <f t="shared" si="222"/>
        <v>258773.660727273</v>
      </c>
    </row>
    <row r="1971" spans="1:37">
      <c r="A1971" t="s">
        <v>2037</v>
      </c>
      <c r="B1971">
        <v>45</v>
      </c>
      <c r="C1971" t="s">
        <v>50</v>
      </c>
      <c r="D1971" t="s">
        <v>60</v>
      </c>
      <c r="E1971">
        <v>807</v>
      </c>
      <c r="F1971">
        <v>26</v>
      </c>
      <c r="G1971">
        <v>2</v>
      </c>
      <c r="H1971">
        <v>12819.53</v>
      </c>
      <c r="I1971">
        <v>28596.33</v>
      </c>
      <c r="J1971">
        <v>24</v>
      </c>
      <c r="K1971">
        <v>0</v>
      </c>
      <c r="L1971">
        <v>1.9</v>
      </c>
      <c r="M1971">
        <v>38.2</v>
      </c>
      <c r="N1971" t="s">
        <v>46</v>
      </c>
      <c r="O1971" t="s">
        <v>47</v>
      </c>
      <c r="P1971" t="s">
        <v>66</v>
      </c>
      <c r="R1971">
        <f>SUMIF(A1971:A6970,"C01970",I1971:I6970)</f>
        <v>28596.33</v>
      </c>
      <c r="S1971" s="1">
        <v>2946.27</v>
      </c>
      <c r="T1971">
        <f t="shared" si="223"/>
        <v>1191.51375</v>
      </c>
      <c r="U1971">
        <f t="shared" si="225"/>
        <v>916.8</v>
      </c>
      <c r="V1971">
        <f t="shared" si="220"/>
        <v>76.4</v>
      </c>
      <c r="W1971">
        <f t="shared" si="221"/>
        <v>13805.62</v>
      </c>
      <c r="X1971">
        <f t="shared" si="226"/>
        <v>0.0629508258103066</v>
      </c>
      <c r="AH1971" t="str">
        <f t="shared" si="224"/>
        <v>3rd Quality</v>
      </c>
      <c r="AJ1971">
        <f>((T1971-X1971)*2)/1.9</f>
        <v>1254.15873597283</v>
      </c>
      <c r="AK1971">
        <f t="shared" si="222"/>
        <v>961551.59625</v>
      </c>
    </row>
    <row r="1972" spans="1:37">
      <c r="A1972" t="s">
        <v>2038</v>
      </c>
      <c r="B1972">
        <v>18</v>
      </c>
      <c r="C1972" t="s">
        <v>44</v>
      </c>
      <c r="D1972" t="s">
        <v>45</v>
      </c>
      <c r="E1972">
        <v>926</v>
      </c>
      <c r="F1972">
        <v>17</v>
      </c>
      <c r="G1972">
        <v>11</v>
      </c>
      <c r="H1972">
        <v>1312.64</v>
      </c>
      <c r="I1972">
        <v>14128.38</v>
      </c>
      <c r="J1972">
        <v>97</v>
      </c>
      <c r="K1972">
        <v>1</v>
      </c>
      <c r="L1972">
        <v>15</v>
      </c>
      <c r="M1972">
        <v>12</v>
      </c>
      <c r="N1972" t="s">
        <v>57</v>
      </c>
      <c r="O1972" t="s">
        <v>75</v>
      </c>
      <c r="P1972" t="s">
        <v>48</v>
      </c>
      <c r="R1972">
        <f>SUMIF(A1972:A6971,"C01971",I1972:I6971)</f>
        <v>14128.38</v>
      </c>
      <c r="S1972" s="1">
        <v>735.65</v>
      </c>
      <c r="T1972">
        <f t="shared" si="223"/>
        <v>145.653402061856</v>
      </c>
      <c r="U1972">
        <f t="shared" si="225"/>
        <v>1164</v>
      </c>
      <c r="V1972">
        <f>U1972</f>
        <v>1164</v>
      </c>
      <c r="W1972">
        <f t="shared" si="221"/>
        <v>5147.34</v>
      </c>
      <c r="X1972">
        <f t="shared" si="226"/>
        <v>0.705448561677231</v>
      </c>
      <c r="AH1972" t="str">
        <f t="shared" si="224"/>
        <v>3rd Quality</v>
      </c>
      <c r="AJ1972">
        <f>((T1972-X1972)*2)/15</f>
        <v>19.3263938000238</v>
      </c>
      <c r="AK1972">
        <f t="shared" si="222"/>
        <v>134875.050309278</v>
      </c>
    </row>
    <row r="1973" spans="1:37">
      <c r="A1973" t="s">
        <v>2039</v>
      </c>
      <c r="B1973">
        <v>41</v>
      </c>
      <c r="C1973" t="s">
        <v>44</v>
      </c>
      <c r="D1973" t="s">
        <v>60</v>
      </c>
      <c r="E1973">
        <v>611</v>
      </c>
      <c r="F1973">
        <v>105</v>
      </c>
      <c r="G1973">
        <v>1</v>
      </c>
      <c r="H1973">
        <v>3205.52</v>
      </c>
      <c r="I1973">
        <v>2946.27</v>
      </c>
      <c r="J1973">
        <v>14</v>
      </c>
      <c r="K1973">
        <v>0</v>
      </c>
      <c r="L1973">
        <v>26.3</v>
      </c>
      <c r="M1973">
        <v>12</v>
      </c>
      <c r="N1973" t="s">
        <v>78</v>
      </c>
      <c r="O1973" t="s">
        <v>47</v>
      </c>
      <c r="P1973" t="s">
        <v>58</v>
      </c>
      <c r="R1973">
        <f>SUMIF(A1973:A6972,"C01972",I1973:I6972)</f>
        <v>2946.27</v>
      </c>
      <c r="S1973" s="1">
        <v>14936.72</v>
      </c>
      <c r="T1973">
        <f t="shared" si="223"/>
        <v>210.447857142857</v>
      </c>
      <c r="U1973">
        <f t="shared" si="225"/>
        <v>168</v>
      </c>
      <c r="V1973">
        <f t="shared" si="220"/>
        <v>14</v>
      </c>
      <c r="W1973">
        <f t="shared" si="221"/>
        <v>2050.93</v>
      </c>
      <c r="X1973">
        <f t="shared" si="226"/>
        <v>0.190608699992513</v>
      </c>
      <c r="AH1973" t="str">
        <f t="shared" si="224"/>
        <v>3rd Quality</v>
      </c>
      <c r="AJ1973">
        <f>((T1973-X1973)*2)/26.3</f>
        <v>15.9891443682787</v>
      </c>
      <c r="AK1973">
        <f t="shared" si="222"/>
        <v>128583.640714286</v>
      </c>
    </row>
    <row r="1974" spans="1:37">
      <c r="A1974" t="s">
        <v>2040</v>
      </c>
      <c r="B1974">
        <v>29</v>
      </c>
      <c r="C1974" t="s">
        <v>50</v>
      </c>
      <c r="D1974" t="s">
        <v>51</v>
      </c>
      <c r="E1974">
        <v>1165</v>
      </c>
      <c r="F1974">
        <v>130</v>
      </c>
      <c r="G1974">
        <v>1</v>
      </c>
      <c r="H1974">
        <v>827</v>
      </c>
      <c r="I1974">
        <v>735.65</v>
      </c>
      <c r="J1974">
        <v>8</v>
      </c>
      <c r="K1974">
        <v>0</v>
      </c>
      <c r="L1974">
        <v>17.7</v>
      </c>
      <c r="M1974">
        <v>42.1</v>
      </c>
      <c r="N1974" t="s">
        <v>57</v>
      </c>
      <c r="O1974" t="s">
        <v>47</v>
      </c>
      <c r="P1974" t="s">
        <v>68</v>
      </c>
      <c r="R1974">
        <f>SUMIF(A1974:A6973,"C01973",I1974:I6973)</f>
        <v>735.65</v>
      </c>
      <c r="S1974" s="1">
        <v>116595.09</v>
      </c>
      <c r="T1974">
        <f t="shared" si="223"/>
        <v>91.95625</v>
      </c>
      <c r="U1974">
        <f t="shared" si="225"/>
        <v>336.8</v>
      </c>
      <c r="V1974">
        <f t="shared" si="220"/>
        <v>28.0666666666667</v>
      </c>
      <c r="W1974">
        <f t="shared" si="221"/>
        <v>521.216666666667</v>
      </c>
      <c r="X1974">
        <f t="shared" si="226"/>
        <v>1.4087061668682</v>
      </c>
      <c r="AH1974" t="str">
        <f t="shared" si="224"/>
        <v>3rd Quality</v>
      </c>
      <c r="AJ1974">
        <f>((T1974-X1974)*2)/17.7</f>
        <v>10.2313608850996</v>
      </c>
      <c r="AK1974">
        <f t="shared" si="222"/>
        <v>107129.03125</v>
      </c>
    </row>
    <row r="1975" spans="1:37">
      <c r="A1975" t="s">
        <v>2041</v>
      </c>
      <c r="B1975">
        <v>46</v>
      </c>
      <c r="C1975" t="s">
        <v>101</v>
      </c>
      <c r="D1975" t="s">
        <v>60</v>
      </c>
      <c r="E1975">
        <v>1307</v>
      </c>
      <c r="F1975">
        <v>18</v>
      </c>
      <c r="G1975">
        <v>8</v>
      </c>
      <c r="H1975">
        <v>1950.23</v>
      </c>
      <c r="I1975">
        <v>14936.72</v>
      </c>
      <c r="J1975">
        <v>66</v>
      </c>
      <c r="K1975">
        <v>0</v>
      </c>
      <c r="L1975">
        <v>19.5</v>
      </c>
      <c r="M1975">
        <v>9.8</v>
      </c>
      <c r="N1975" t="s">
        <v>81</v>
      </c>
      <c r="O1975" t="s">
        <v>75</v>
      </c>
      <c r="P1975" t="s">
        <v>48</v>
      </c>
      <c r="R1975">
        <f>SUMIF(A1975:A6974,"C01974",I1975:I6974)</f>
        <v>14936.72</v>
      </c>
      <c r="S1975" s="1">
        <v>96946.56</v>
      </c>
      <c r="T1975">
        <f t="shared" si="223"/>
        <v>226.313939393939</v>
      </c>
      <c r="U1975">
        <f t="shared" si="225"/>
        <v>646.8</v>
      </c>
      <c r="V1975">
        <f t="shared" si="220"/>
        <v>53.9</v>
      </c>
      <c r="W1975">
        <f t="shared" si="221"/>
        <v>5629.31666666667</v>
      </c>
      <c r="X1975">
        <f t="shared" si="226"/>
        <v>0.670177363695564</v>
      </c>
      <c r="AH1975" t="str">
        <f t="shared" si="224"/>
        <v>3rd Quality</v>
      </c>
      <c r="AJ1975">
        <f>((T1975-X1975)*2)/19.5</f>
        <v>23.1429499518198</v>
      </c>
      <c r="AK1975">
        <f t="shared" si="222"/>
        <v>295792.318787879</v>
      </c>
    </row>
    <row r="1976" spans="1:37">
      <c r="A1976" t="s">
        <v>2042</v>
      </c>
      <c r="B1976">
        <v>33</v>
      </c>
      <c r="C1976" t="s">
        <v>44</v>
      </c>
      <c r="D1976" t="s">
        <v>45</v>
      </c>
      <c r="E1976">
        <v>1309</v>
      </c>
      <c r="F1976">
        <v>16</v>
      </c>
      <c r="G1976">
        <v>28</v>
      </c>
      <c r="H1976">
        <v>4328.26</v>
      </c>
      <c r="I1976">
        <v>116595.09</v>
      </c>
      <c r="J1976">
        <v>94</v>
      </c>
      <c r="K1976">
        <v>0</v>
      </c>
      <c r="L1976">
        <v>15.2</v>
      </c>
      <c r="M1976">
        <v>27</v>
      </c>
      <c r="N1976" t="s">
        <v>63</v>
      </c>
      <c r="O1976" t="s">
        <v>53</v>
      </c>
      <c r="P1976" t="s">
        <v>58</v>
      </c>
      <c r="R1976">
        <f>SUMIF(A1976:A6975,"C01975",I1976:I6975)</f>
        <v>116595.09</v>
      </c>
      <c r="S1976" s="1">
        <v>7490.98</v>
      </c>
      <c r="T1976">
        <f t="shared" si="223"/>
        <v>1240.37329787234</v>
      </c>
      <c r="U1976">
        <f t="shared" si="225"/>
        <v>2538</v>
      </c>
      <c r="V1976">
        <f t="shared" si="220"/>
        <v>211.5</v>
      </c>
      <c r="W1976">
        <f t="shared" si="221"/>
        <v>40308.1166666667</v>
      </c>
      <c r="X1976">
        <f t="shared" si="226"/>
        <v>0.302430999986138</v>
      </c>
      <c r="AH1976" t="str">
        <f t="shared" si="224"/>
        <v>1st Quality</v>
      </c>
      <c r="AJ1976">
        <f>((T1976-X1976)*2)/15.2</f>
        <v>163.16721932531</v>
      </c>
      <c r="AK1976">
        <f t="shared" si="222"/>
        <v>1623648.64691489</v>
      </c>
    </row>
    <row r="1977" spans="1:37">
      <c r="A1977" t="s">
        <v>2043</v>
      </c>
      <c r="B1977">
        <v>26</v>
      </c>
      <c r="C1977" t="s">
        <v>44</v>
      </c>
      <c r="D1977" t="s">
        <v>45</v>
      </c>
      <c r="E1977">
        <v>597</v>
      </c>
      <c r="F1977">
        <v>5</v>
      </c>
      <c r="G1977">
        <v>31</v>
      </c>
      <c r="H1977">
        <v>3183.96</v>
      </c>
      <c r="I1977">
        <v>96946.56</v>
      </c>
      <c r="J1977">
        <v>97</v>
      </c>
      <c r="K1977">
        <v>1</v>
      </c>
      <c r="L1977">
        <v>0</v>
      </c>
      <c r="M1977">
        <v>42.7</v>
      </c>
      <c r="N1977" t="s">
        <v>46</v>
      </c>
      <c r="O1977" t="s">
        <v>47</v>
      </c>
      <c r="P1977" t="s">
        <v>68</v>
      </c>
      <c r="R1977">
        <f>SUMIF(A1977:A6976,"C01976",I1977:I6976)</f>
        <v>96946.56</v>
      </c>
      <c r="S1977" s="1">
        <v>1630.55</v>
      </c>
      <c r="T1977">
        <f t="shared" si="223"/>
        <v>999.449072164948</v>
      </c>
      <c r="U1977">
        <f t="shared" si="225"/>
        <v>4141.9</v>
      </c>
      <c r="V1977">
        <f>U1977</f>
        <v>4141.9</v>
      </c>
      <c r="W1977">
        <f t="shared" si="221"/>
        <v>33377.1733333333</v>
      </c>
      <c r="X1977">
        <f t="shared" si="226"/>
        <v>0.187502355557231</v>
      </c>
      <c r="AH1977" t="str">
        <f t="shared" si="224"/>
        <v>2nd Quality</v>
      </c>
      <c r="AJ1977">
        <f>((T1977-X1977)*2)/3</f>
        <v>666.174379872927</v>
      </c>
      <c r="AK1977">
        <f t="shared" si="222"/>
        <v>596671.096082474</v>
      </c>
    </row>
    <row r="1978" spans="1:37">
      <c r="A1978" t="s">
        <v>2044</v>
      </c>
      <c r="B1978">
        <v>36</v>
      </c>
      <c r="C1978" t="s">
        <v>44</v>
      </c>
      <c r="D1978" t="s">
        <v>45</v>
      </c>
      <c r="E1978">
        <v>1187</v>
      </c>
      <c r="F1978">
        <v>12</v>
      </c>
      <c r="G1978">
        <v>10</v>
      </c>
      <c r="H1978">
        <v>818.86</v>
      </c>
      <c r="I1978">
        <v>7490.98</v>
      </c>
      <c r="J1978">
        <v>75</v>
      </c>
      <c r="K1978">
        <v>2</v>
      </c>
      <c r="L1978">
        <v>23.2</v>
      </c>
      <c r="M1978">
        <v>12.8</v>
      </c>
      <c r="N1978" t="s">
        <v>78</v>
      </c>
      <c r="O1978" t="s">
        <v>47</v>
      </c>
      <c r="P1978" t="s">
        <v>58</v>
      </c>
      <c r="R1978">
        <f>SUMIF(A1978:A6977,"C01977",I1978:I6977)</f>
        <v>7490.98</v>
      </c>
      <c r="S1978" s="1">
        <v>1536.18</v>
      </c>
      <c r="T1978">
        <f t="shared" si="223"/>
        <v>99.8797333333333</v>
      </c>
      <c r="U1978">
        <f t="shared" si="225"/>
        <v>960</v>
      </c>
      <c r="V1978">
        <f>U1978</f>
        <v>960</v>
      </c>
      <c r="W1978">
        <f t="shared" si="221"/>
        <v>2770.28</v>
      </c>
      <c r="X1978">
        <f t="shared" si="226"/>
        <v>1.44957624013873</v>
      </c>
      <c r="AH1978" t="str">
        <f t="shared" si="224"/>
        <v>3rd Quality</v>
      </c>
      <c r="AJ1978">
        <f>((T1978-X1978)*2)/23.2</f>
        <v>8.48535837010298</v>
      </c>
      <c r="AK1978">
        <f t="shared" si="222"/>
        <v>118557.243466667</v>
      </c>
    </row>
    <row r="1979" spans="1:37">
      <c r="A1979" t="s">
        <v>2045</v>
      </c>
      <c r="B1979">
        <v>27</v>
      </c>
      <c r="C1979" t="s">
        <v>50</v>
      </c>
      <c r="D1979" t="s">
        <v>60</v>
      </c>
      <c r="E1979">
        <v>553</v>
      </c>
      <c r="F1979">
        <v>365</v>
      </c>
      <c r="G1979">
        <v>1</v>
      </c>
      <c r="H1979">
        <v>1633.43</v>
      </c>
      <c r="I1979">
        <v>1630.55</v>
      </c>
      <c r="J1979">
        <v>16</v>
      </c>
      <c r="K1979">
        <v>0</v>
      </c>
      <c r="L1979">
        <v>10.9</v>
      </c>
      <c r="M1979">
        <v>42.8</v>
      </c>
      <c r="N1979" t="s">
        <v>78</v>
      </c>
      <c r="O1979" t="s">
        <v>75</v>
      </c>
      <c r="P1979" t="s">
        <v>58</v>
      </c>
      <c r="R1979">
        <f>SUMIF(A1979:A6978,"C01978",I1979:I6978)</f>
        <v>1630.55</v>
      </c>
      <c r="S1979" s="1">
        <v>38561.19</v>
      </c>
      <c r="T1979">
        <f t="shared" si="223"/>
        <v>101.909375</v>
      </c>
      <c r="U1979">
        <f t="shared" si="225"/>
        <v>684.8</v>
      </c>
      <c r="V1979">
        <f t="shared" si="220"/>
        <v>57.0666666666667</v>
      </c>
      <c r="W1979">
        <f t="shared" si="221"/>
        <v>1088.32666666667</v>
      </c>
      <c r="X1979">
        <f t="shared" si="226"/>
        <v>0.3385513918564</v>
      </c>
      <c r="AH1979" t="str">
        <f t="shared" si="224"/>
        <v>3rd Quality</v>
      </c>
      <c r="AJ1979">
        <f>((T1979-X1979)*2)/10.9</f>
        <v>18.6368483684667</v>
      </c>
      <c r="AK1979">
        <f t="shared" si="222"/>
        <v>56355.884375</v>
      </c>
    </row>
    <row r="1980" spans="1:37">
      <c r="A1980" t="s">
        <v>2046</v>
      </c>
      <c r="B1980">
        <v>50</v>
      </c>
      <c r="C1980" t="s">
        <v>50</v>
      </c>
      <c r="D1980" t="s">
        <v>51</v>
      </c>
      <c r="E1980">
        <v>380</v>
      </c>
      <c r="F1980">
        <v>225</v>
      </c>
      <c r="G1980">
        <v>2</v>
      </c>
      <c r="H1980">
        <v>694.22</v>
      </c>
      <c r="I1980">
        <v>1536.18</v>
      </c>
      <c r="J1980">
        <v>16</v>
      </c>
      <c r="K1980">
        <v>0</v>
      </c>
      <c r="L1980">
        <v>29.2</v>
      </c>
      <c r="M1980">
        <v>45.3</v>
      </c>
      <c r="N1980" t="s">
        <v>57</v>
      </c>
      <c r="O1980" t="s">
        <v>47</v>
      </c>
      <c r="P1980" t="s">
        <v>68</v>
      </c>
      <c r="R1980">
        <f>SUMIF(A1980:A6979,"C01979",I1980:I6979)</f>
        <v>1536.18</v>
      </c>
      <c r="S1980" s="1">
        <v>2825.52</v>
      </c>
      <c r="T1980">
        <f t="shared" si="223"/>
        <v>96.01125</v>
      </c>
      <c r="U1980">
        <f t="shared" si="225"/>
        <v>724.8</v>
      </c>
      <c r="V1980">
        <f t="shared" si="220"/>
        <v>60.4</v>
      </c>
      <c r="W1980">
        <f t="shared" si="221"/>
        <v>743.8</v>
      </c>
      <c r="X1980">
        <f t="shared" si="226"/>
        <v>0.547376912218029</v>
      </c>
      <c r="AH1980" t="str">
        <f t="shared" si="224"/>
        <v>3rd Quality</v>
      </c>
      <c r="AJ1980">
        <f>((T1980-X1980)*2)/29.2</f>
        <v>6.53862144436863</v>
      </c>
      <c r="AK1980">
        <f t="shared" si="222"/>
        <v>36484.275</v>
      </c>
    </row>
    <row r="1981" spans="1:37">
      <c r="A1981" t="s">
        <v>2047</v>
      </c>
      <c r="B1981">
        <v>38</v>
      </c>
      <c r="C1981" t="s">
        <v>44</v>
      </c>
      <c r="D1981" t="s">
        <v>45</v>
      </c>
      <c r="E1981">
        <v>1153</v>
      </c>
      <c r="F1981">
        <v>11</v>
      </c>
      <c r="G1981">
        <v>16</v>
      </c>
      <c r="H1981">
        <v>2575.42</v>
      </c>
      <c r="I1981">
        <v>38561.19</v>
      </c>
      <c r="J1981">
        <v>139</v>
      </c>
      <c r="K1981">
        <v>0</v>
      </c>
      <c r="L1981">
        <v>7.8</v>
      </c>
      <c r="M1981">
        <v>14.3</v>
      </c>
      <c r="N1981" t="s">
        <v>78</v>
      </c>
      <c r="O1981" t="s">
        <v>47</v>
      </c>
      <c r="P1981" t="s">
        <v>54</v>
      </c>
      <c r="R1981">
        <f>SUMIF(A1981:A6980,"C01980",I1981:I6980)</f>
        <v>38561.19</v>
      </c>
      <c r="S1981" s="1">
        <v>5535.49</v>
      </c>
      <c r="T1981">
        <f t="shared" si="223"/>
        <v>277.418633093525</v>
      </c>
      <c r="U1981">
        <f t="shared" si="225"/>
        <v>1987.7</v>
      </c>
      <c r="V1981">
        <f t="shared" si="220"/>
        <v>165.641666666667</v>
      </c>
      <c r="W1981">
        <f t="shared" si="221"/>
        <v>13712.5366666667</v>
      </c>
      <c r="X1981">
        <f t="shared" si="226"/>
        <v>0.447693968362442</v>
      </c>
      <c r="AH1981" t="str">
        <f t="shared" si="224"/>
        <v>2nd Quality</v>
      </c>
      <c r="AJ1981">
        <f>((T1981-X1981)*2)/7.8</f>
        <v>71.0181895192725</v>
      </c>
      <c r="AK1981">
        <f t="shared" si="222"/>
        <v>319863.683956835</v>
      </c>
    </row>
    <row r="1982" spans="1:37">
      <c r="A1982" t="s">
        <v>2048</v>
      </c>
      <c r="B1982">
        <v>22</v>
      </c>
      <c r="C1982" t="s">
        <v>44</v>
      </c>
      <c r="D1982" t="s">
        <v>60</v>
      </c>
      <c r="E1982">
        <v>833</v>
      </c>
      <c r="F1982">
        <v>62</v>
      </c>
      <c r="G1982">
        <v>3</v>
      </c>
      <c r="H1982">
        <v>901.85</v>
      </c>
      <c r="I1982">
        <v>2825.52</v>
      </c>
      <c r="J1982">
        <v>27</v>
      </c>
      <c r="K1982">
        <v>0</v>
      </c>
      <c r="L1982">
        <v>13.2</v>
      </c>
      <c r="M1982">
        <v>16.4</v>
      </c>
      <c r="N1982" t="s">
        <v>46</v>
      </c>
      <c r="O1982" t="s">
        <v>47</v>
      </c>
      <c r="P1982" t="s">
        <v>58</v>
      </c>
      <c r="R1982">
        <f>SUMIF(A1982:A6981,"C01981",I1982:I6981)</f>
        <v>2825.52</v>
      </c>
      <c r="S1982" s="1">
        <v>3785.27</v>
      </c>
      <c r="T1982">
        <f t="shared" si="223"/>
        <v>104.648888888889</v>
      </c>
      <c r="U1982">
        <f t="shared" si="225"/>
        <v>442.8</v>
      </c>
      <c r="V1982">
        <f t="shared" si="220"/>
        <v>36.9</v>
      </c>
      <c r="W1982">
        <f t="shared" si="221"/>
        <v>1242.79</v>
      </c>
      <c r="X1982">
        <f t="shared" si="226"/>
        <v>0.923656927426956</v>
      </c>
      <c r="AH1982" t="str">
        <f t="shared" si="224"/>
        <v>3rd Quality</v>
      </c>
      <c r="AJ1982">
        <f>((T1982-X1982)*2)/13.2</f>
        <v>15.7159442365852</v>
      </c>
      <c r="AK1982">
        <f t="shared" si="222"/>
        <v>87172.5244444444</v>
      </c>
    </row>
    <row r="1983" spans="1:37">
      <c r="A1983" t="s">
        <v>2049</v>
      </c>
      <c r="B1983">
        <v>27</v>
      </c>
      <c r="C1983" t="s">
        <v>50</v>
      </c>
      <c r="D1983" t="s">
        <v>45</v>
      </c>
      <c r="E1983">
        <v>695</v>
      </c>
      <c r="F1983">
        <v>59</v>
      </c>
      <c r="G1983">
        <v>8</v>
      </c>
      <c r="H1983">
        <v>778.23</v>
      </c>
      <c r="I1983">
        <v>5535.49</v>
      </c>
      <c r="J1983">
        <v>62</v>
      </c>
      <c r="K1983">
        <v>0</v>
      </c>
      <c r="L1983">
        <v>26.5</v>
      </c>
      <c r="M1983">
        <v>52.1</v>
      </c>
      <c r="N1983" t="s">
        <v>57</v>
      </c>
      <c r="O1983" t="s">
        <v>47</v>
      </c>
      <c r="P1983" t="s">
        <v>58</v>
      </c>
      <c r="R1983">
        <f>SUMIF(A1983:A6982,"C01982",I1983:I6982)</f>
        <v>5535.49</v>
      </c>
      <c r="S1983" s="1">
        <v>6092.93</v>
      </c>
      <c r="T1983">
        <f t="shared" si="223"/>
        <v>89.2820967741935</v>
      </c>
      <c r="U1983">
        <f t="shared" si="225"/>
        <v>3230.2</v>
      </c>
      <c r="V1983">
        <f t="shared" si="220"/>
        <v>269.183333333333</v>
      </c>
      <c r="W1983">
        <f t="shared" si="221"/>
        <v>2104.90666666667</v>
      </c>
      <c r="X1983">
        <f t="shared" si="226"/>
        <v>0.893052182516737</v>
      </c>
      <c r="AH1983" t="str">
        <f t="shared" si="224"/>
        <v>3rd Quality</v>
      </c>
      <c r="AJ1983">
        <f>((T1983-X1983)*2)/26.5</f>
        <v>6.67087128993787</v>
      </c>
      <c r="AK1983">
        <f t="shared" si="222"/>
        <v>62051.0572580645</v>
      </c>
    </row>
    <row r="1984" spans="1:37">
      <c r="A1984" t="s">
        <v>2050</v>
      </c>
      <c r="B1984">
        <v>33</v>
      </c>
      <c r="C1984" t="s">
        <v>44</v>
      </c>
      <c r="D1984" t="s">
        <v>60</v>
      </c>
      <c r="E1984">
        <v>920</v>
      </c>
      <c r="F1984">
        <v>360</v>
      </c>
      <c r="G1984">
        <v>6</v>
      </c>
      <c r="H1984">
        <v>609.83</v>
      </c>
      <c r="I1984">
        <v>3785.27</v>
      </c>
      <c r="J1984">
        <v>31</v>
      </c>
      <c r="K1984">
        <v>0</v>
      </c>
      <c r="L1984">
        <v>22.1</v>
      </c>
      <c r="M1984">
        <v>18.8</v>
      </c>
      <c r="N1984" t="s">
        <v>81</v>
      </c>
      <c r="O1984" t="s">
        <v>53</v>
      </c>
      <c r="P1984" t="s">
        <v>58</v>
      </c>
      <c r="R1984">
        <f>SUMIF(A1984:A6983,"C01983",I1984:I6983)</f>
        <v>3785.27</v>
      </c>
      <c r="S1984" s="1">
        <v>40873.16</v>
      </c>
      <c r="T1984">
        <f t="shared" si="223"/>
        <v>122.105483870968</v>
      </c>
      <c r="U1984">
        <f t="shared" si="225"/>
        <v>582.8</v>
      </c>
      <c r="V1984">
        <f t="shared" si="220"/>
        <v>48.5666666666667</v>
      </c>
      <c r="W1984">
        <f t="shared" si="221"/>
        <v>1465.36666666667</v>
      </c>
      <c r="X1984">
        <f t="shared" si="226"/>
        <v>1.50861715560074</v>
      </c>
      <c r="AH1984" t="str">
        <f t="shared" si="224"/>
        <v>3rd Quality</v>
      </c>
      <c r="AJ1984">
        <f>((T1984-X1984)*2)/22.1</f>
        <v>10.9137435941509</v>
      </c>
      <c r="AK1984">
        <f t="shared" si="222"/>
        <v>112337.04516129</v>
      </c>
    </row>
    <row r="1985" spans="1:37">
      <c r="A1985" t="s">
        <v>2051</v>
      </c>
      <c r="B1985">
        <v>32</v>
      </c>
      <c r="C1985" t="s">
        <v>44</v>
      </c>
      <c r="D1985" t="s">
        <v>45</v>
      </c>
      <c r="E1985">
        <v>825</v>
      </c>
      <c r="F1985">
        <v>26</v>
      </c>
      <c r="G1985">
        <v>6</v>
      </c>
      <c r="H1985">
        <v>918.99</v>
      </c>
      <c r="I1985">
        <v>6092.93</v>
      </c>
      <c r="J1985">
        <v>32</v>
      </c>
      <c r="K1985">
        <v>0</v>
      </c>
      <c r="L1985">
        <v>18.2</v>
      </c>
      <c r="M1985">
        <v>33.8</v>
      </c>
      <c r="N1985" t="s">
        <v>63</v>
      </c>
      <c r="O1985" t="s">
        <v>47</v>
      </c>
      <c r="P1985" t="s">
        <v>66</v>
      </c>
      <c r="R1985">
        <f>SUMIF(A1985:A6984,"C01984",I1985:I6984)</f>
        <v>6092.93</v>
      </c>
      <c r="S1985" s="1">
        <v>1365.99</v>
      </c>
      <c r="T1985">
        <f t="shared" si="223"/>
        <v>190.4040625</v>
      </c>
      <c r="U1985">
        <f t="shared" si="225"/>
        <v>1081.6</v>
      </c>
      <c r="V1985">
        <f t="shared" ref="V1985:V2048" si="227">U1985/12</f>
        <v>90.1333333333333</v>
      </c>
      <c r="W1985">
        <f t="shared" si="221"/>
        <v>2337.64</v>
      </c>
      <c r="X1985">
        <f t="shared" si="226"/>
        <v>0.897724676003003</v>
      </c>
      <c r="AH1985" t="str">
        <f t="shared" si="224"/>
        <v>3rd Quality</v>
      </c>
      <c r="AJ1985">
        <f>((T1985-X1985)*2)/18.2</f>
        <v>20.8248722883513</v>
      </c>
      <c r="AK1985">
        <f t="shared" si="222"/>
        <v>157083.3515625</v>
      </c>
    </row>
    <row r="1986" spans="1:37">
      <c r="A1986" t="s">
        <v>2052</v>
      </c>
      <c r="B1986">
        <v>36</v>
      </c>
      <c r="C1986" t="s">
        <v>50</v>
      </c>
      <c r="D1986" t="s">
        <v>60</v>
      </c>
      <c r="E1986">
        <v>635</v>
      </c>
      <c r="F1986">
        <v>97</v>
      </c>
      <c r="G1986">
        <v>5</v>
      </c>
      <c r="H1986">
        <v>8625.19</v>
      </c>
      <c r="I1986">
        <v>40873.16</v>
      </c>
      <c r="J1986">
        <v>43</v>
      </c>
      <c r="K1986">
        <v>0</v>
      </c>
      <c r="L1986">
        <v>6.4</v>
      </c>
      <c r="M1986">
        <v>54.6</v>
      </c>
      <c r="N1986" t="s">
        <v>52</v>
      </c>
      <c r="O1986" t="s">
        <v>47</v>
      </c>
      <c r="P1986" t="s">
        <v>48</v>
      </c>
      <c r="R1986">
        <f>SUMIF(A1986:A6985,"C01985",I1986:I6985)</f>
        <v>40873.16</v>
      </c>
      <c r="S1986" s="1">
        <v>7441.17</v>
      </c>
      <c r="T1986">
        <f t="shared" si="223"/>
        <v>950.538604651163</v>
      </c>
      <c r="U1986">
        <f t="shared" si="225"/>
        <v>2347.8</v>
      </c>
      <c r="V1986">
        <f t="shared" si="227"/>
        <v>195.65</v>
      </c>
      <c r="W1986">
        <f t="shared" si="221"/>
        <v>16499.7833333333</v>
      </c>
      <c r="X1986">
        <f t="shared" si="226"/>
        <v>0.0736215665973735</v>
      </c>
      <c r="AH1986" t="str">
        <f t="shared" si="224"/>
        <v>2nd Quality</v>
      </c>
      <c r="AJ1986">
        <f>((T1986-X1986)*2)/6.4</f>
        <v>297.020307213927</v>
      </c>
      <c r="AK1986">
        <f t="shared" si="222"/>
        <v>603592.013953488</v>
      </c>
    </row>
    <row r="1987" spans="1:37">
      <c r="A1987" t="s">
        <v>2053</v>
      </c>
      <c r="B1987">
        <v>18</v>
      </c>
      <c r="C1987" t="s">
        <v>44</v>
      </c>
      <c r="D1987" t="s">
        <v>60</v>
      </c>
      <c r="E1987">
        <v>862</v>
      </c>
      <c r="F1987">
        <v>138</v>
      </c>
      <c r="G1987">
        <v>1</v>
      </c>
      <c r="H1987">
        <v>1269.63</v>
      </c>
      <c r="I1987">
        <v>1365.99</v>
      </c>
      <c r="J1987">
        <v>13</v>
      </c>
      <c r="K1987">
        <v>0</v>
      </c>
      <c r="L1987">
        <v>19.6</v>
      </c>
      <c r="M1987">
        <v>16.2</v>
      </c>
      <c r="N1987" t="s">
        <v>78</v>
      </c>
      <c r="O1987" t="s">
        <v>47</v>
      </c>
      <c r="P1987" t="s">
        <v>54</v>
      </c>
      <c r="R1987">
        <f>SUMIF(A1987:A6986,"C01986",I1987:I6986)</f>
        <v>1365.99</v>
      </c>
      <c r="S1987" s="1">
        <v>4322.26</v>
      </c>
      <c r="T1987">
        <f t="shared" si="223"/>
        <v>105.076153846154</v>
      </c>
      <c r="U1987">
        <f t="shared" si="225"/>
        <v>210.6</v>
      </c>
      <c r="V1987">
        <f t="shared" si="227"/>
        <v>17.55</v>
      </c>
      <c r="W1987">
        <f t="shared" ref="W1987:W1992" si="228">(H1987+I1987+1)/3</f>
        <v>878.873333333333</v>
      </c>
      <c r="X1987">
        <f t="shared" si="226"/>
        <v>0.678937958302813</v>
      </c>
      <c r="AH1987" t="str">
        <f t="shared" si="224"/>
        <v>3rd Quality</v>
      </c>
      <c r="AJ1987">
        <f>((T1987-X1987)*2)/19.6</f>
        <v>10.6527771314134</v>
      </c>
      <c r="AK1987">
        <f t="shared" ref="AK1987:AK2050" si="229">I1987/J1987*E1987</f>
        <v>90575.6446153846</v>
      </c>
    </row>
    <row r="1988" spans="1:37">
      <c r="A1988" t="s">
        <v>2054</v>
      </c>
      <c r="B1988">
        <v>54</v>
      </c>
      <c r="C1988" t="s">
        <v>50</v>
      </c>
      <c r="D1988" t="s">
        <v>45</v>
      </c>
      <c r="E1988">
        <v>408</v>
      </c>
      <c r="F1988">
        <v>9</v>
      </c>
      <c r="G1988">
        <v>8</v>
      </c>
      <c r="H1988">
        <v>1033.74</v>
      </c>
      <c r="I1988">
        <v>7441.17</v>
      </c>
      <c r="J1988">
        <v>62</v>
      </c>
      <c r="K1988">
        <v>1</v>
      </c>
      <c r="L1988">
        <v>25.1</v>
      </c>
      <c r="M1988">
        <v>19.6</v>
      </c>
      <c r="N1988" t="s">
        <v>46</v>
      </c>
      <c r="O1988" t="s">
        <v>53</v>
      </c>
      <c r="P1988" t="s">
        <v>48</v>
      </c>
      <c r="R1988">
        <f>SUMIF(A1988:A6987,"C01987",I1988:I6987)</f>
        <v>7441.17</v>
      </c>
      <c r="S1988" s="1">
        <v>1265.24</v>
      </c>
      <c r="T1988">
        <f t="shared" si="223"/>
        <v>120.018870967742</v>
      </c>
      <c r="U1988">
        <f t="shared" si="225"/>
        <v>1215.2</v>
      </c>
      <c r="V1988">
        <f>U1988</f>
        <v>1215.2</v>
      </c>
      <c r="W1988">
        <f t="shared" si="228"/>
        <v>2825.30333333333</v>
      </c>
      <c r="X1988">
        <f t="shared" si="226"/>
        <v>0.394683382668756</v>
      </c>
      <c r="AH1988" t="str">
        <f t="shared" si="224"/>
        <v>3rd Quality</v>
      </c>
      <c r="AJ1988">
        <f>((T1988-X1988)*2)/25.1</f>
        <v>9.53180777570305</v>
      </c>
      <c r="AK1988">
        <f t="shared" si="229"/>
        <v>48967.6993548387</v>
      </c>
    </row>
    <row r="1989" spans="1:37">
      <c r="A1989" t="s">
        <v>2055</v>
      </c>
      <c r="B1989">
        <v>28</v>
      </c>
      <c r="C1989" t="s">
        <v>50</v>
      </c>
      <c r="D1989" t="s">
        <v>60</v>
      </c>
      <c r="E1989">
        <v>1224</v>
      </c>
      <c r="F1989">
        <v>97</v>
      </c>
      <c r="G1989">
        <v>5</v>
      </c>
      <c r="H1989">
        <v>894.9</v>
      </c>
      <c r="I1989">
        <v>4322.26</v>
      </c>
      <c r="J1989">
        <v>44</v>
      </c>
      <c r="K1989">
        <v>1</v>
      </c>
      <c r="L1989">
        <v>34.5</v>
      </c>
      <c r="M1989">
        <v>37.3</v>
      </c>
      <c r="N1989" t="s">
        <v>61</v>
      </c>
      <c r="O1989" t="s">
        <v>75</v>
      </c>
      <c r="P1989" t="s">
        <v>58</v>
      </c>
      <c r="R1989">
        <f>SUMIF(A1989:A6988,"C01988",I1989:I6988)</f>
        <v>4322.26</v>
      </c>
      <c r="S1989" s="1">
        <v>68076.15</v>
      </c>
      <c r="T1989">
        <f t="shared" si="223"/>
        <v>98.2331818181818</v>
      </c>
      <c r="U1989">
        <f t="shared" si="225"/>
        <v>1641.2</v>
      </c>
      <c r="V1989">
        <f>U1989</f>
        <v>1641.2</v>
      </c>
      <c r="W1989">
        <f t="shared" si="228"/>
        <v>1739.38666666667</v>
      </c>
      <c r="X1989">
        <f t="shared" si="226"/>
        <v>1.36775058665773</v>
      </c>
      <c r="AH1989" t="str">
        <f t="shared" si="224"/>
        <v>3rd Quality</v>
      </c>
      <c r="AJ1989">
        <f>((T1989-X1989)*2)/34.5</f>
        <v>5.61538731776951</v>
      </c>
      <c r="AK1989">
        <f t="shared" si="229"/>
        <v>120237.414545455</v>
      </c>
    </row>
    <row r="1990" spans="1:37">
      <c r="A1990" t="s">
        <v>2056</v>
      </c>
      <c r="B1990">
        <v>25</v>
      </c>
      <c r="C1990" t="s">
        <v>50</v>
      </c>
      <c r="D1990" t="s">
        <v>60</v>
      </c>
      <c r="E1990">
        <v>1392</v>
      </c>
      <c r="F1990">
        <v>43</v>
      </c>
      <c r="G1990">
        <v>1</v>
      </c>
      <c r="H1990">
        <v>1435.15</v>
      </c>
      <c r="I1990">
        <v>1265.24</v>
      </c>
      <c r="J1990">
        <v>12</v>
      </c>
      <c r="K1990">
        <v>0</v>
      </c>
      <c r="L1990">
        <v>0</v>
      </c>
      <c r="M1990">
        <v>28.1</v>
      </c>
      <c r="N1990" t="s">
        <v>46</v>
      </c>
      <c r="O1990" t="s">
        <v>47</v>
      </c>
      <c r="P1990" t="s">
        <v>58</v>
      </c>
      <c r="R1990">
        <f>SUMIF(A1990:A6989,"C01989",I1990:I6989)</f>
        <v>1265.24</v>
      </c>
      <c r="S1990" s="1">
        <v>35975.75</v>
      </c>
      <c r="T1990">
        <f t="shared" si="223"/>
        <v>105.436666666667</v>
      </c>
      <c r="U1990">
        <f t="shared" si="225"/>
        <v>337.2</v>
      </c>
      <c r="V1990">
        <f t="shared" si="227"/>
        <v>28.1</v>
      </c>
      <c r="W1990">
        <f t="shared" si="228"/>
        <v>900.463333333333</v>
      </c>
      <c r="X1990">
        <f t="shared" si="226"/>
        <v>0.969933456433125</v>
      </c>
      <c r="AH1990" t="str">
        <f t="shared" si="224"/>
        <v>3rd Quality</v>
      </c>
      <c r="AJ1990">
        <f>((T1990-X1990)*2)</f>
        <v>208.933466420468</v>
      </c>
      <c r="AK1990">
        <f t="shared" si="229"/>
        <v>146767.84</v>
      </c>
    </row>
    <row r="1991" spans="1:37">
      <c r="A1991" t="s">
        <v>2057</v>
      </c>
      <c r="B1991">
        <v>22</v>
      </c>
      <c r="C1991" t="s">
        <v>44</v>
      </c>
      <c r="D1991" t="s">
        <v>45</v>
      </c>
      <c r="E1991">
        <v>996</v>
      </c>
      <c r="F1991">
        <v>16</v>
      </c>
      <c r="G1991">
        <v>22</v>
      </c>
      <c r="H1991">
        <v>3205.85</v>
      </c>
      <c r="I1991">
        <v>68076.15</v>
      </c>
      <c r="J1991">
        <v>140</v>
      </c>
      <c r="K1991">
        <v>2</v>
      </c>
      <c r="L1991">
        <v>12.4</v>
      </c>
      <c r="M1991">
        <v>21.5</v>
      </c>
      <c r="N1991" t="s">
        <v>57</v>
      </c>
      <c r="O1991" t="s">
        <v>47</v>
      </c>
      <c r="P1991" t="s">
        <v>66</v>
      </c>
      <c r="R1991">
        <f>SUMIF(A1991:A6990,"C01990",I1991:I6990)</f>
        <v>68076.15</v>
      </c>
      <c r="S1991" s="1">
        <v>1298.28</v>
      </c>
      <c r="T1991">
        <f t="shared" si="223"/>
        <v>486.258214285714</v>
      </c>
      <c r="U1991">
        <f t="shared" si="225"/>
        <v>3010</v>
      </c>
      <c r="V1991">
        <f>U1991</f>
        <v>3010</v>
      </c>
      <c r="W1991">
        <f t="shared" si="228"/>
        <v>23761</v>
      </c>
      <c r="X1991">
        <f t="shared" si="226"/>
        <v>0.310682034405852</v>
      </c>
      <c r="AH1991" t="str">
        <f t="shared" si="224"/>
        <v>1st Quality</v>
      </c>
      <c r="AJ1991">
        <f>((T1991-X1991)*2)/12.4</f>
        <v>78.378634234082</v>
      </c>
      <c r="AK1991">
        <f t="shared" si="229"/>
        <v>484313.181428571</v>
      </c>
    </row>
    <row r="1992" spans="1:37">
      <c r="A1992" t="s">
        <v>2058</v>
      </c>
      <c r="B1992">
        <v>22</v>
      </c>
      <c r="C1992" t="s">
        <v>50</v>
      </c>
      <c r="D1992" t="s">
        <v>51</v>
      </c>
      <c r="E1992">
        <v>1047</v>
      </c>
      <c r="F1992">
        <v>3</v>
      </c>
      <c r="G1992">
        <v>18</v>
      </c>
      <c r="H1992">
        <v>2094.23</v>
      </c>
      <c r="I1992">
        <v>35975.75</v>
      </c>
      <c r="J1992">
        <v>160</v>
      </c>
      <c r="K1992">
        <v>2</v>
      </c>
      <c r="L1992">
        <v>9.1</v>
      </c>
      <c r="M1992">
        <v>28.5</v>
      </c>
      <c r="N1992" t="s">
        <v>52</v>
      </c>
      <c r="O1992" t="s">
        <v>47</v>
      </c>
      <c r="P1992" t="s">
        <v>58</v>
      </c>
      <c r="R1992">
        <f>SUMIF(A1992:A6991,"C01991",I1992:I6991)</f>
        <v>35975.75</v>
      </c>
      <c r="S1992" s="1">
        <v>13936.1</v>
      </c>
      <c r="T1992">
        <f t="shared" si="223"/>
        <v>224.8484375</v>
      </c>
      <c r="U1992">
        <f t="shared" si="225"/>
        <v>4560</v>
      </c>
      <c r="V1992">
        <f>U1992</f>
        <v>4560</v>
      </c>
      <c r="W1992">
        <f t="shared" si="228"/>
        <v>12690.3266666667</v>
      </c>
      <c r="X1992">
        <f t="shared" si="226"/>
        <v>0.499945087215826</v>
      </c>
      <c r="AH1992" t="str">
        <f t="shared" si="224"/>
        <v>1st Quality</v>
      </c>
      <c r="AJ1992">
        <f>((T1992-X1992)*2)/9.1</f>
        <v>49.3073609698427</v>
      </c>
      <c r="AK1992">
        <f t="shared" si="229"/>
        <v>235416.3140625</v>
      </c>
    </row>
    <row r="1993" spans="1:37">
      <c r="A1993" t="s">
        <v>2059</v>
      </c>
      <c r="B1993">
        <v>42</v>
      </c>
      <c r="C1993" t="s">
        <v>101</v>
      </c>
      <c r="D1993" t="s">
        <v>45</v>
      </c>
      <c r="E1993">
        <v>1178</v>
      </c>
      <c r="F1993">
        <v>134</v>
      </c>
      <c r="G1993">
        <v>2</v>
      </c>
      <c r="H1993">
        <v>620.44</v>
      </c>
      <c r="I1993">
        <v>1298.28</v>
      </c>
      <c r="J1993">
        <v>18</v>
      </c>
      <c r="K1993">
        <v>0</v>
      </c>
      <c r="L1993">
        <v>25.1</v>
      </c>
      <c r="M1993">
        <v>26.7</v>
      </c>
      <c r="N1993" t="s">
        <v>63</v>
      </c>
      <c r="O1993" t="s">
        <v>47</v>
      </c>
      <c r="P1993" t="s">
        <v>68</v>
      </c>
      <c r="R1993">
        <f>SUMIF(A1993:A6992,"C01992",I1993:I6992)</f>
        <v>1298.28</v>
      </c>
      <c r="S1993" s="1">
        <v>58198.79</v>
      </c>
      <c r="T1993">
        <f t="shared" si="223"/>
        <v>72.1266666666667</v>
      </c>
      <c r="U1993">
        <f t="shared" si="225"/>
        <v>480.6</v>
      </c>
      <c r="V1993">
        <f t="shared" si="227"/>
        <v>40.05</v>
      </c>
      <c r="W1993">
        <f t="shared" ref="W1993:W2056" si="230">(H1993+I1993+1)/3</f>
        <v>639.906666666667</v>
      </c>
      <c r="X1993">
        <f t="shared" si="226"/>
        <v>1.89865256914448</v>
      </c>
      <c r="AH1993" t="str">
        <f t="shared" si="224"/>
        <v>3rd Quality</v>
      </c>
      <c r="AJ1993">
        <f>((T1993-X1993)*2)/25.1</f>
        <v>5.59585769701372</v>
      </c>
      <c r="AK1993">
        <f t="shared" si="229"/>
        <v>84965.2133333333</v>
      </c>
    </row>
    <row r="1994" spans="1:37">
      <c r="A1994" t="s">
        <v>2060</v>
      </c>
      <c r="B1994">
        <v>29</v>
      </c>
      <c r="C1994" t="s">
        <v>50</v>
      </c>
      <c r="D1994" t="s">
        <v>60</v>
      </c>
      <c r="E1994">
        <v>899</v>
      </c>
      <c r="F1994">
        <v>66</v>
      </c>
      <c r="G1994">
        <v>5</v>
      </c>
      <c r="H1994">
        <v>2931.81</v>
      </c>
      <c r="I1994">
        <v>13936.1</v>
      </c>
      <c r="J1994">
        <v>27</v>
      </c>
      <c r="K1994">
        <v>0</v>
      </c>
      <c r="L1994">
        <v>23.8</v>
      </c>
      <c r="M1994">
        <v>25.2</v>
      </c>
      <c r="N1994" t="s">
        <v>46</v>
      </c>
      <c r="O1994" t="s">
        <v>53</v>
      </c>
      <c r="P1994" t="s">
        <v>68</v>
      </c>
      <c r="R1994">
        <f>SUMIF(A1994:A6993,"C01993",I1994:I6993)</f>
        <v>13936.1</v>
      </c>
      <c r="S1994" s="1">
        <v>2879.91</v>
      </c>
      <c r="T1994">
        <f t="shared" si="223"/>
        <v>516.151851851852</v>
      </c>
      <c r="U1994">
        <f t="shared" si="225"/>
        <v>680.4</v>
      </c>
      <c r="V1994">
        <f t="shared" si="227"/>
        <v>56.7</v>
      </c>
      <c r="W1994">
        <f t="shared" si="230"/>
        <v>5622.97</v>
      </c>
      <c r="X1994">
        <f t="shared" si="226"/>
        <v>0.306636514644537</v>
      </c>
      <c r="AH1994" t="str">
        <f t="shared" si="224"/>
        <v>3rd Quality</v>
      </c>
      <c r="AJ1994">
        <f>((T1994-X1994)*2)/23.8</f>
        <v>43.3483374232947</v>
      </c>
      <c r="AK1994">
        <f t="shared" si="229"/>
        <v>464020.514814815</v>
      </c>
    </row>
    <row r="1995" spans="1:37">
      <c r="A1995" t="s">
        <v>2061</v>
      </c>
      <c r="B1995">
        <v>18</v>
      </c>
      <c r="C1995" t="s">
        <v>50</v>
      </c>
      <c r="D1995" t="s">
        <v>51</v>
      </c>
      <c r="E1995">
        <v>1447</v>
      </c>
      <c r="F1995">
        <v>31</v>
      </c>
      <c r="G1995">
        <v>22</v>
      </c>
      <c r="H1995">
        <v>2455.03</v>
      </c>
      <c r="I1995">
        <v>58198.79</v>
      </c>
      <c r="J1995">
        <v>98</v>
      </c>
      <c r="K1995">
        <v>5</v>
      </c>
      <c r="L1995">
        <v>15.4</v>
      </c>
      <c r="M1995">
        <v>19.6</v>
      </c>
      <c r="N1995" t="s">
        <v>81</v>
      </c>
      <c r="O1995" t="s">
        <v>53</v>
      </c>
      <c r="P1995" t="s">
        <v>58</v>
      </c>
      <c r="R1995">
        <f>SUMIF(A1995:A6994,"C01994",I1995:I6994)</f>
        <v>58198.79</v>
      </c>
      <c r="S1995" s="1">
        <v>903.73</v>
      </c>
      <c r="T1995">
        <f t="shared" si="223"/>
        <v>593.865204081633</v>
      </c>
      <c r="U1995">
        <f t="shared" si="225"/>
        <v>1920.8</v>
      </c>
      <c r="V1995">
        <f>U1995</f>
        <v>1920.8</v>
      </c>
      <c r="W1995">
        <f t="shared" si="230"/>
        <v>20218.2733333333</v>
      </c>
      <c r="X1995">
        <f t="shared" si="226"/>
        <v>0.589402166164976</v>
      </c>
      <c r="AH1995" t="str">
        <f t="shared" si="224"/>
        <v>1st Quality</v>
      </c>
      <c r="AJ1995">
        <f>((T1995-X1995)*2)/15.4</f>
        <v>77.0488054435673</v>
      </c>
      <c r="AK1995">
        <f t="shared" si="229"/>
        <v>859322.950306122</v>
      </c>
    </row>
    <row r="1996" spans="1:37">
      <c r="A1996" t="s">
        <v>2062</v>
      </c>
      <c r="B1996">
        <v>28</v>
      </c>
      <c r="C1996" t="s">
        <v>44</v>
      </c>
      <c r="D1996" t="s">
        <v>45</v>
      </c>
      <c r="E1996">
        <v>685</v>
      </c>
      <c r="F1996">
        <v>9</v>
      </c>
      <c r="G1996">
        <v>5</v>
      </c>
      <c r="H1996">
        <v>606.33</v>
      </c>
      <c r="I1996">
        <v>2879.91</v>
      </c>
      <c r="J1996">
        <v>23</v>
      </c>
      <c r="K1996">
        <v>0</v>
      </c>
      <c r="L1996">
        <v>15.9</v>
      </c>
      <c r="M1996">
        <v>27.1</v>
      </c>
      <c r="N1996" t="s">
        <v>46</v>
      </c>
      <c r="O1996" t="s">
        <v>47</v>
      </c>
      <c r="P1996" t="s">
        <v>58</v>
      </c>
      <c r="R1996">
        <f>SUMIF(A1996:A6995,"C01995",I1996:I6995)</f>
        <v>2879.91</v>
      </c>
      <c r="S1996" s="1">
        <v>7211.43</v>
      </c>
      <c r="T1996">
        <f t="shared" si="223"/>
        <v>125.21347826087</v>
      </c>
      <c r="U1996">
        <f t="shared" si="225"/>
        <v>623.3</v>
      </c>
      <c r="V1996">
        <f>U1996/12</f>
        <v>51.9416666666667</v>
      </c>
      <c r="W1996">
        <f t="shared" si="230"/>
        <v>1162.41333333333</v>
      </c>
      <c r="X1996">
        <f t="shared" si="226"/>
        <v>1.12974782709086</v>
      </c>
      <c r="AH1996" t="str">
        <f t="shared" si="224"/>
        <v>3rd Quality</v>
      </c>
      <c r="AJ1996">
        <f>((T1996-X1996)*2)/15.9</f>
        <v>15.6080164067647</v>
      </c>
      <c r="AK1996">
        <f t="shared" si="229"/>
        <v>85771.2326086956</v>
      </c>
    </row>
    <row r="1997" spans="1:37">
      <c r="A1997" t="s">
        <v>2063</v>
      </c>
      <c r="B1997">
        <v>37</v>
      </c>
      <c r="C1997" t="s">
        <v>101</v>
      </c>
      <c r="D1997" t="s">
        <v>45</v>
      </c>
      <c r="E1997">
        <v>1145</v>
      </c>
      <c r="F1997">
        <v>54</v>
      </c>
      <c r="G1997">
        <v>1</v>
      </c>
      <c r="H1997">
        <v>968.01</v>
      </c>
      <c r="I1997">
        <v>903.73</v>
      </c>
      <c r="J1997">
        <v>9</v>
      </c>
      <c r="K1997">
        <v>0</v>
      </c>
      <c r="L1997">
        <v>38.8</v>
      </c>
      <c r="M1997">
        <v>27</v>
      </c>
      <c r="N1997" t="s">
        <v>46</v>
      </c>
      <c r="O1997" t="s">
        <v>47</v>
      </c>
      <c r="P1997" t="s">
        <v>66</v>
      </c>
      <c r="R1997">
        <f>SUMIF(A1997:A6996,"C01996",I1997:I6996)</f>
        <v>903.73</v>
      </c>
      <c r="S1997" s="1">
        <v>18440.21</v>
      </c>
      <c r="T1997">
        <f t="shared" si="223"/>
        <v>100.414444444444</v>
      </c>
      <c r="U1997">
        <f t="shared" si="225"/>
        <v>243</v>
      </c>
      <c r="V1997">
        <f t="shared" si="227"/>
        <v>20.25</v>
      </c>
      <c r="W1997">
        <f t="shared" si="230"/>
        <v>624.246666666667</v>
      </c>
      <c r="X1997">
        <f t="shared" si="226"/>
        <v>1.18283902025806</v>
      </c>
      <c r="AH1997" t="str">
        <f t="shared" si="224"/>
        <v>3rd Quality</v>
      </c>
      <c r="AJ1997">
        <f>((T1997-X1997)*2)/38.8</f>
        <v>5.11503120743227</v>
      </c>
      <c r="AK1997">
        <f t="shared" si="229"/>
        <v>114974.538888889</v>
      </c>
    </row>
    <row r="1998" spans="1:37">
      <c r="A1998" t="s">
        <v>2064</v>
      </c>
      <c r="B1998">
        <v>42</v>
      </c>
      <c r="C1998" t="s">
        <v>50</v>
      </c>
      <c r="D1998" t="s">
        <v>45</v>
      </c>
      <c r="E1998">
        <v>677</v>
      </c>
      <c r="F1998">
        <v>27</v>
      </c>
      <c r="G1998">
        <v>7</v>
      </c>
      <c r="H1998">
        <v>1031.56</v>
      </c>
      <c r="I1998">
        <v>7211.43</v>
      </c>
      <c r="J1998">
        <v>42</v>
      </c>
      <c r="K1998">
        <v>0</v>
      </c>
      <c r="L1998">
        <v>30</v>
      </c>
      <c r="M1998">
        <v>44.4</v>
      </c>
      <c r="N1998" t="s">
        <v>63</v>
      </c>
      <c r="O1998" t="s">
        <v>75</v>
      </c>
      <c r="P1998" t="s">
        <v>58</v>
      </c>
      <c r="R1998">
        <f>SUMIF(A1998:A6997,"C01997",I1998:I6997)</f>
        <v>7211.43</v>
      </c>
      <c r="S1998" s="1">
        <v>1796.44</v>
      </c>
      <c r="T1998">
        <f t="shared" ref="T1998:T2005" si="231">I1998/J1998</f>
        <v>171.700714285714</v>
      </c>
      <c r="U1998">
        <f t="shared" si="225"/>
        <v>1864.8</v>
      </c>
      <c r="V1998">
        <f t="shared" si="227"/>
        <v>155.4</v>
      </c>
      <c r="W1998">
        <f t="shared" si="230"/>
        <v>2747.99666666667</v>
      </c>
      <c r="X1998">
        <f t="shared" si="226"/>
        <v>0.65628756446547</v>
      </c>
      <c r="AH1998" t="str">
        <f t="shared" ref="AH1998:AH2061" si="232">IF(AND(W1998&gt;=12550,B1998&lt;=33,E1998&gt;=915),"1st Quality",IF(AND(W1998&gt;=6275,B1998&lt;=43,E1998&gt;=457),"2nd Quality","3rd Quality"))</f>
        <v>3rd Quality</v>
      </c>
      <c r="AJ1998">
        <f>((T1998-X1998)*2)/30</f>
        <v>11.4029617814166</v>
      </c>
      <c r="AK1998">
        <f t="shared" si="229"/>
        <v>116241.383571429</v>
      </c>
    </row>
    <row r="1999" spans="1:37">
      <c r="A1999" t="s">
        <v>2065</v>
      </c>
      <c r="B1999">
        <v>19</v>
      </c>
      <c r="C1999" t="s">
        <v>44</v>
      </c>
      <c r="D1999" t="s">
        <v>51</v>
      </c>
      <c r="E1999">
        <v>674</v>
      </c>
      <c r="F1999">
        <v>53</v>
      </c>
      <c r="G1999">
        <v>12</v>
      </c>
      <c r="H1999">
        <v>1481.07</v>
      </c>
      <c r="I1999">
        <v>18440.21</v>
      </c>
      <c r="J1999">
        <v>82</v>
      </c>
      <c r="K1999">
        <v>1</v>
      </c>
      <c r="L1999">
        <v>24.6</v>
      </c>
      <c r="M1999">
        <v>41.1</v>
      </c>
      <c r="N1999" t="s">
        <v>63</v>
      </c>
      <c r="O1999" t="s">
        <v>47</v>
      </c>
      <c r="P1999" t="s">
        <v>58</v>
      </c>
      <c r="R1999">
        <f>SUMIF(A1999:A6998,"C01998",I1999:I6998)</f>
        <v>18440.21</v>
      </c>
      <c r="S1999" s="1">
        <v>37765.77</v>
      </c>
      <c r="T1999">
        <f t="shared" si="231"/>
        <v>224.880609756098</v>
      </c>
      <c r="U1999">
        <f t="shared" si="225"/>
        <v>3370.2</v>
      </c>
      <c r="V1999">
        <f>U1999</f>
        <v>3370.2</v>
      </c>
      <c r="W1999">
        <f t="shared" si="230"/>
        <v>6640.76</v>
      </c>
      <c r="X1999">
        <f t="shared" si="226"/>
        <v>0.455076397469397</v>
      </c>
      <c r="AH1999" t="str">
        <f t="shared" si="232"/>
        <v>2nd Quality</v>
      </c>
      <c r="AJ1999">
        <f>((T1999-X1999)*2)/24.6</f>
        <v>18.2459783218397</v>
      </c>
      <c r="AK1999">
        <f t="shared" si="229"/>
        <v>151569.53097561</v>
      </c>
    </row>
    <row r="2000" spans="1:37">
      <c r="A2000" t="s">
        <v>2066</v>
      </c>
      <c r="B2000">
        <v>18</v>
      </c>
      <c r="C2000" t="s">
        <v>44</v>
      </c>
      <c r="D2000" t="s">
        <v>60</v>
      </c>
      <c r="E2000">
        <v>842</v>
      </c>
      <c r="F2000">
        <v>84</v>
      </c>
      <c r="G2000">
        <v>2</v>
      </c>
      <c r="H2000">
        <v>821.57</v>
      </c>
      <c r="I2000">
        <v>1796.44</v>
      </c>
      <c r="J2000">
        <v>27</v>
      </c>
      <c r="K2000">
        <v>0</v>
      </c>
      <c r="L2000">
        <v>20.4</v>
      </c>
      <c r="M2000">
        <v>37.4</v>
      </c>
      <c r="N2000" t="s">
        <v>46</v>
      </c>
      <c r="O2000" t="s">
        <v>47</v>
      </c>
      <c r="P2000" t="s">
        <v>58</v>
      </c>
      <c r="R2000">
        <f>SUMIF(A2000:A6999,"C01999",I2000:I6999)</f>
        <v>1796.44</v>
      </c>
      <c r="S2000" s="1">
        <v>823.23</v>
      </c>
      <c r="T2000">
        <f t="shared" si="231"/>
        <v>66.5348148148148</v>
      </c>
      <c r="U2000">
        <f t="shared" si="225"/>
        <v>1009.8</v>
      </c>
      <c r="V2000">
        <f t="shared" si="227"/>
        <v>84.15</v>
      </c>
      <c r="W2000">
        <f t="shared" si="230"/>
        <v>873.003333333333</v>
      </c>
      <c r="X2000">
        <f t="shared" si="226"/>
        <v>1.02486702289519</v>
      </c>
      <c r="AH2000" t="str">
        <f t="shared" si="232"/>
        <v>3rd Quality</v>
      </c>
      <c r="AJ2000">
        <f>((T2000-X2000)*2)/20.4</f>
        <v>6.42254390116859</v>
      </c>
      <c r="AK2000">
        <f t="shared" si="229"/>
        <v>56022.3140740741</v>
      </c>
    </row>
    <row r="2001" spans="1:37">
      <c r="A2001" t="s">
        <v>2067</v>
      </c>
      <c r="B2001">
        <v>21</v>
      </c>
      <c r="C2001" t="s">
        <v>50</v>
      </c>
      <c r="D2001" t="s">
        <v>60</v>
      </c>
      <c r="E2001">
        <v>1206</v>
      </c>
      <c r="F2001">
        <v>12</v>
      </c>
      <c r="G2001">
        <v>3</v>
      </c>
      <c r="H2001">
        <v>11707.68</v>
      </c>
      <c r="I2001">
        <v>37765.77</v>
      </c>
      <c r="J2001">
        <v>26</v>
      </c>
      <c r="K2001">
        <v>1</v>
      </c>
      <c r="L2001">
        <v>21.1</v>
      </c>
      <c r="M2001">
        <v>12.4</v>
      </c>
      <c r="N2001" t="s">
        <v>78</v>
      </c>
      <c r="O2001" t="s">
        <v>47</v>
      </c>
      <c r="P2001" t="s">
        <v>58</v>
      </c>
      <c r="R2001">
        <f>SUMIF(A2001:A7000,"C02000",I2001:I7000)</f>
        <v>37765.77</v>
      </c>
      <c r="S2001" s="1">
        <v>13808.23</v>
      </c>
      <c r="T2001">
        <f t="shared" si="231"/>
        <v>1452.52961538462</v>
      </c>
      <c r="U2001">
        <f t="shared" si="225"/>
        <v>322.4</v>
      </c>
      <c r="V2001">
        <f>U2001</f>
        <v>322.4</v>
      </c>
      <c r="W2001">
        <f t="shared" si="230"/>
        <v>16491.4833333333</v>
      </c>
      <c r="X2001">
        <f t="shared" si="226"/>
        <v>0.103009306711492</v>
      </c>
      <c r="AH2001" t="str">
        <f t="shared" si="232"/>
        <v>1st Quality</v>
      </c>
      <c r="AJ2001">
        <f>((T2001-X2001)*2)/21.1</f>
        <v>137.670768348617</v>
      </c>
      <c r="AK2001">
        <f t="shared" si="229"/>
        <v>1751750.71615385</v>
      </c>
    </row>
    <row r="2002" spans="1:37">
      <c r="A2002" t="s">
        <v>2068</v>
      </c>
      <c r="B2002">
        <v>55</v>
      </c>
      <c r="C2002" t="s">
        <v>50</v>
      </c>
      <c r="D2002" t="s">
        <v>45</v>
      </c>
      <c r="E2002">
        <v>815</v>
      </c>
      <c r="F2002">
        <v>61</v>
      </c>
      <c r="G2002">
        <v>1</v>
      </c>
      <c r="H2002">
        <v>818.42</v>
      </c>
      <c r="I2002">
        <v>823.23</v>
      </c>
      <c r="J2002">
        <v>16</v>
      </c>
      <c r="K2002">
        <v>0</v>
      </c>
      <c r="L2002">
        <v>31</v>
      </c>
      <c r="M2002">
        <v>55.6</v>
      </c>
      <c r="N2002" t="s">
        <v>61</v>
      </c>
      <c r="O2002" t="s">
        <v>75</v>
      </c>
      <c r="P2002" t="s">
        <v>58</v>
      </c>
      <c r="R2002">
        <f>SUMIF(A2002:A7001,"C02001",I2002:I7001)</f>
        <v>823.23</v>
      </c>
      <c r="S2002" s="1">
        <v>5002.4</v>
      </c>
      <c r="T2002">
        <f t="shared" si="231"/>
        <v>51.451875</v>
      </c>
      <c r="U2002">
        <f t="shared" si="225"/>
        <v>889.6</v>
      </c>
      <c r="V2002">
        <f t="shared" si="227"/>
        <v>74.1333333333333</v>
      </c>
      <c r="W2002">
        <f t="shared" si="230"/>
        <v>547.55</v>
      </c>
      <c r="X2002">
        <f t="shared" si="226"/>
        <v>0.995821216490311</v>
      </c>
      <c r="AH2002" t="str">
        <f t="shared" si="232"/>
        <v>3rd Quality</v>
      </c>
      <c r="AJ2002">
        <f>((T2002-X2002)*2)/31</f>
        <v>3.25522927635546</v>
      </c>
      <c r="AK2002">
        <f t="shared" si="229"/>
        <v>41933.278125</v>
      </c>
    </row>
    <row r="2003" spans="1:37">
      <c r="A2003" t="s">
        <v>2069</v>
      </c>
      <c r="B2003">
        <v>18</v>
      </c>
      <c r="C2003" t="s">
        <v>50</v>
      </c>
      <c r="D2003" t="s">
        <v>60</v>
      </c>
      <c r="E2003">
        <v>1297</v>
      </c>
      <c r="F2003">
        <v>42</v>
      </c>
      <c r="G2003">
        <v>10</v>
      </c>
      <c r="H2003">
        <v>1238.64</v>
      </c>
      <c r="I2003">
        <v>13808.23</v>
      </c>
      <c r="J2003">
        <v>87</v>
      </c>
      <c r="K2003">
        <v>0</v>
      </c>
      <c r="L2003">
        <v>23</v>
      </c>
      <c r="M2003">
        <v>6.8</v>
      </c>
      <c r="N2003" t="s">
        <v>78</v>
      </c>
      <c r="O2003" t="s">
        <v>47</v>
      </c>
      <c r="P2003" t="s">
        <v>58</v>
      </c>
      <c r="R2003">
        <f>SUMIF(A2003:A7002,"C02002",I2003:I7002)</f>
        <v>13808.23</v>
      </c>
      <c r="S2003" s="1">
        <v>18318.4</v>
      </c>
      <c r="T2003">
        <f t="shared" si="231"/>
        <v>158.715287356322</v>
      </c>
      <c r="U2003">
        <f t="shared" si="225"/>
        <v>591.6</v>
      </c>
      <c r="V2003">
        <f t="shared" si="227"/>
        <v>49.3</v>
      </c>
      <c r="W2003">
        <f t="shared" si="230"/>
        <v>5015.95666666667</v>
      </c>
      <c r="X2003">
        <f t="shared" si="226"/>
        <v>1.04711619195246</v>
      </c>
      <c r="AH2003" t="str">
        <f t="shared" si="232"/>
        <v>3rd Quality</v>
      </c>
      <c r="AJ2003">
        <f>((T2003-X2003)*2)/23</f>
        <v>13.7102757534234</v>
      </c>
      <c r="AK2003">
        <f t="shared" si="229"/>
        <v>205853.727701149</v>
      </c>
    </row>
    <row r="2004" spans="1:37">
      <c r="A2004" t="s">
        <v>2070</v>
      </c>
      <c r="B2004">
        <v>21</v>
      </c>
      <c r="C2004" t="s">
        <v>44</v>
      </c>
      <c r="D2004" t="s">
        <v>60</v>
      </c>
      <c r="E2004">
        <v>787</v>
      </c>
      <c r="F2004">
        <v>151</v>
      </c>
      <c r="G2004">
        <v>2</v>
      </c>
      <c r="H2004">
        <v>2629.62</v>
      </c>
      <c r="I2004">
        <v>5002.4</v>
      </c>
      <c r="J2004">
        <v>15</v>
      </c>
      <c r="K2004">
        <v>0</v>
      </c>
      <c r="L2004">
        <v>17.8</v>
      </c>
      <c r="M2004">
        <v>41.5</v>
      </c>
      <c r="N2004" t="s">
        <v>63</v>
      </c>
      <c r="O2004" t="s">
        <v>47</v>
      </c>
      <c r="P2004" t="s">
        <v>68</v>
      </c>
      <c r="R2004">
        <f>SUMIF(A2004:A7003,"C02003",I2004:I7003)</f>
        <v>5002.4</v>
      </c>
      <c r="S2004" s="1">
        <v>45131.38</v>
      </c>
      <c r="T2004">
        <f t="shared" si="231"/>
        <v>333.493333333333</v>
      </c>
      <c r="U2004">
        <f t="shared" si="225"/>
        <v>622.5</v>
      </c>
      <c r="V2004">
        <f t="shared" si="227"/>
        <v>51.875</v>
      </c>
      <c r="W2004">
        <f t="shared" si="230"/>
        <v>2544.34</v>
      </c>
      <c r="X2004">
        <f t="shared" si="226"/>
        <v>0.299282786105977</v>
      </c>
      <c r="AH2004" t="str">
        <f t="shared" si="232"/>
        <v>3rd Quality</v>
      </c>
      <c r="AJ2004">
        <f>((T2004-X2004)*2)/17.8</f>
        <v>37.4375337693513</v>
      </c>
      <c r="AK2004">
        <f t="shared" si="229"/>
        <v>262459.253333333</v>
      </c>
    </row>
    <row r="2005" spans="1:37">
      <c r="A2005" t="s">
        <v>2071</v>
      </c>
      <c r="B2005">
        <v>36</v>
      </c>
      <c r="C2005" t="s">
        <v>44</v>
      </c>
      <c r="D2005" t="s">
        <v>60</v>
      </c>
      <c r="E2005">
        <v>839</v>
      </c>
      <c r="F2005">
        <v>82</v>
      </c>
      <c r="G2005">
        <v>4</v>
      </c>
      <c r="H2005">
        <v>4089.4</v>
      </c>
      <c r="I2005">
        <v>18318.4</v>
      </c>
      <c r="J2005">
        <v>33</v>
      </c>
      <c r="K2005">
        <v>0</v>
      </c>
      <c r="L2005">
        <v>9.9</v>
      </c>
      <c r="M2005">
        <v>5.1</v>
      </c>
      <c r="N2005" t="s">
        <v>63</v>
      </c>
      <c r="O2005" t="s">
        <v>47</v>
      </c>
      <c r="P2005" t="s">
        <v>58</v>
      </c>
      <c r="R2005">
        <f>SUMIF(A2005:A7004,"C02004",I2005:I7004)</f>
        <v>18318.4</v>
      </c>
      <c r="S2005" s="1">
        <v>2343.22</v>
      </c>
      <c r="T2005">
        <f t="shared" si="231"/>
        <v>555.10303030303</v>
      </c>
      <c r="U2005">
        <f t="shared" si="225"/>
        <v>168.3</v>
      </c>
      <c r="V2005">
        <f t="shared" si="227"/>
        <v>14.025</v>
      </c>
      <c r="W2005">
        <f t="shared" si="230"/>
        <v>7469.6</v>
      </c>
      <c r="X2005">
        <f t="shared" si="226"/>
        <v>0.205164571819827</v>
      </c>
      <c r="AH2005" t="str">
        <f t="shared" si="232"/>
        <v>2nd Quality</v>
      </c>
      <c r="AJ2005">
        <f>((T2005-X2005)*2)/9.9</f>
        <v>112.100578935598</v>
      </c>
      <c r="AK2005">
        <f t="shared" si="229"/>
        <v>465731.442424242</v>
      </c>
    </row>
    <row r="2006" spans="1:37">
      <c r="A2006" t="s">
        <v>2072</v>
      </c>
      <c r="B2006">
        <v>60</v>
      </c>
      <c r="C2006" t="s">
        <v>44</v>
      </c>
      <c r="D2006" t="s">
        <v>45</v>
      </c>
      <c r="E2006">
        <v>937</v>
      </c>
      <c r="F2006">
        <v>13</v>
      </c>
      <c r="G2006">
        <v>24</v>
      </c>
      <c r="H2006">
        <v>1933.76</v>
      </c>
      <c r="I2006">
        <v>45131.38</v>
      </c>
      <c r="J2006">
        <v>155</v>
      </c>
      <c r="K2006">
        <v>3</v>
      </c>
      <c r="L2006">
        <v>15.5</v>
      </c>
      <c r="M2006">
        <v>30.7</v>
      </c>
      <c r="N2006" t="s">
        <v>78</v>
      </c>
      <c r="O2006" t="s">
        <v>47</v>
      </c>
      <c r="P2006" t="s">
        <v>48</v>
      </c>
      <c r="R2006">
        <f>SUMIF(A2006:A7005,"C02005",I2006:I7005)</f>
        <v>45131.38</v>
      </c>
      <c r="S2006" s="1">
        <v>4137.32</v>
      </c>
      <c r="T2006">
        <f t="shared" ref="T2006:T2069" si="233">I2006/J2006</f>
        <v>291.170193548387</v>
      </c>
      <c r="U2006">
        <f t="shared" si="225"/>
        <v>4758.5</v>
      </c>
      <c r="V2006">
        <f>U2006</f>
        <v>4758.5</v>
      </c>
      <c r="W2006">
        <f t="shared" si="230"/>
        <v>15688.7133333333</v>
      </c>
      <c r="X2006">
        <f t="shared" si="226"/>
        <v>0.484548237630316</v>
      </c>
      <c r="AH2006" t="str">
        <f t="shared" si="232"/>
        <v>3rd Quality</v>
      </c>
      <c r="AJ2006">
        <f>((T2006-X2006)*2)/15.5</f>
        <v>37.507825201388</v>
      </c>
      <c r="AK2006">
        <f t="shared" si="229"/>
        <v>272826.471354839</v>
      </c>
    </row>
    <row r="2007" spans="1:37">
      <c r="A2007" t="s">
        <v>2073</v>
      </c>
      <c r="B2007">
        <v>28</v>
      </c>
      <c r="C2007" t="s">
        <v>50</v>
      </c>
      <c r="D2007" t="s">
        <v>60</v>
      </c>
      <c r="E2007">
        <v>1089</v>
      </c>
      <c r="F2007">
        <v>86</v>
      </c>
      <c r="G2007">
        <v>2</v>
      </c>
      <c r="H2007">
        <v>1242.46</v>
      </c>
      <c r="I2007">
        <v>2343.22</v>
      </c>
      <c r="J2007">
        <v>23</v>
      </c>
      <c r="K2007">
        <v>0</v>
      </c>
      <c r="L2007">
        <v>16.8</v>
      </c>
      <c r="M2007">
        <v>29.6</v>
      </c>
      <c r="N2007" t="s">
        <v>78</v>
      </c>
      <c r="O2007" t="s">
        <v>75</v>
      </c>
      <c r="P2007" t="s">
        <v>68</v>
      </c>
      <c r="R2007">
        <f>SUMIF(A2007:A7006,"C02006",I2007:I7006)</f>
        <v>2343.22</v>
      </c>
      <c r="S2007" s="1">
        <v>84382.37</v>
      </c>
      <c r="T2007">
        <f t="shared" si="233"/>
        <v>101.879130434783</v>
      </c>
      <c r="U2007">
        <f t="shared" si="225"/>
        <v>680.8</v>
      </c>
      <c r="V2007">
        <f t="shared" si="227"/>
        <v>56.7333333333333</v>
      </c>
      <c r="W2007">
        <f t="shared" si="230"/>
        <v>1195.56</v>
      </c>
      <c r="X2007">
        <f t="shared" si="226"/>
        <v>0.876486969399417</v>
      </c>
      <c r="AH2007" t="str">
        <f t="shared" si="232"/>
        <v>3rd Quality</v>
      </c>
      <c r="AJ2007">
        <f>((T2007-X2007)*2)/16.8</f>
        <v>12.0241242220695</v>
      </c>
      <c r="AK2007">
        <f t="shared" si="229"/>
        <v>110946.373043478</v>
      </c>
    </row>
    <row r="2008" spans="1:37">
      <c r="A2008" t="s">
        <v>2074</v>
      </c>
      <c r="B2008">
        <v>37</v>
      </c>
      <c r="C2008" t="s">
        <v>44</v>
      </c>
      <c r="D2008" t="s">
        <v>60</v>
      </c>
      <c r="E2008">
        <v>845</v>
      </c>
      <c r="F2008">
        <v>34</v>
      </c>
      <c r="G2008">
        <v>6</v>
      </c>
      <c r="H2008">
        <v>709.51</v>
      </c>
      <c r="I2008">
        <v>4137.32</v>
      </c>
      <c r="J2008">
        <v>49</v>
      </c>
      <c r="K2008">
        <v>1</v>
      </c>
      <c r="L2008">
        <v>13.3</v>
      </c>
      <c r="M2008">
        <v>25.9</v>
      </c>
      <c r="N2008" t="s">
        <v>81</v>
      </c>
      <c r="O2008" t="s">
        <v>47</v>
      </c>
      <c r="P2008" t="s">
        <v>58</v>
      </c>
      <c r="R2008">
        <f>SUMIF(A2008:A7007,"C02007",I2008:I7007)</f>
        <v>4137.32</v>
      </c>
      <c r="S2008" s="1">
        <v>53609.64</v>
      </c>
      <c r="T2008">
        <f t="shared" si="233"/>
        <v>84.4351020408163</v>
      </c>
      <c r="U2008">
        <f t="shared" si="225"/>
        <v>1269.1</v>
      </c>
      <c r="V2008">
        <f>U2008</f>
        <v>1269.1</v>
      </c>
      <c r="W2008">
        <f t="shared" si="230"/>
        <v>1615.94333333333</v>
      </c>
      <c r="X2008">
        <f t="shared" si="226"/>
        <v>1.19096277712788</v>
      </c>
      <c r="AH2008" t="str">
        <f t="shared" si="232"/>
        <v>3rd Quality</v>
      </c>
      <c r="AJ2008">
        <f>((T2008-X2008)*2)/13.3</f>
        <v>12.5179156787501</v>
      </c>
      <c r="AK2008">
        <f t="shared" si="229"/>
        <v>71347.6612244898</v>
      </c>
    </row>
    <row r="2009" spans="1:37">
      <c r="A2009" t="s">
        <v>2075</v>
      </c>
      <c r="B2009">
        <v>47</v>
      </c>
      <c r="C2009" t="s">
        <v>56</v>
      </c>
      <c r="D2009" t="s">
        <v>45</v>
      </c>
      <c r="E2009">
        <v>905</v>
      </c>
      <c r="F2009">
        <v>15</v>
      </c>
      <c r="G2009">
        <v>31</v>
      </c>
      <c r="H2009">
        <v>2667.08</v>
      </c>
      <c r="I2009">
        <v>84382.37</v>
      </c>
      <c r="J2009">
        <v>65</v>
      </c>
      <c r="K2009">
        <v>5</v>
      </c>
      <c r="L2009">
        <v>16.2</v>
      </c>
      <c r="M2009">
        <v>41.3</v>
      </c>
      <c r="N2009" t="s">
        <v>46</v>
      </c>
      <c r="O2009" t="s">
        <v>47</v>
      </c>
      <c r="P2009" t="s">
        <v>54</v>
      </c>
      <c r="R2009">
        <f>SUMIF(A2009:A7008,"C02008",I2009:I7008)</f>
        <v>84382.37</v>
      </c>
      <c r="S2009" s="1">
        <v>4392.61</v>
      </c>
      <c r="T2009">
        <f t="shared" si="233"/>
        <v>1298.19030769231</v>
      </c>
      <c r="U2009">
        <f t="shared" si="225"/>
        <v>2684.5</v>
      </c>
      <c r="V2009">
        <f>U2009</f>
        <v>2684.5</v>
      </c>
      <c r="W2009">
        <f t="shared" si="230"/>
        <v>29016.8166666667</v>
      </c>
      <c r="X2009">
        <f t="shared" si="226"/>
        <v>0.339322405027221</v>
      </c>
      <c r="AH2009" t="str">
        <f t="shared" si="232"/>
        <v>3rd Quality</v>
      </c>
      <c r="AJ2009">
        <f>((T2009-X2009)*2)/16.2</f>
        <v>160.228516702134</v>
      </c>
      <c r="AK2009">
        <f t="shared" si="229"/>
        <v>1174862.22846154</v>
      </c>
    </row>
    <row r="2010" spans="1:37">
      <c r="A2010" t="s">
        <v>2076</v>
      </c>
      <c r="B2010">
        <v>22</v>
      </c>
      <c r="C2010" t="s">
        <v>50</v>
      </c>
      <c r="D2010" t="s">
        <v>45</v>
      </c>
      <c r="E2010">
        <v>437</v>
      </c>
      <c r="F2010">
        <v>12</v>
      </c>
      <c r="G2010">
        <v>21</v>
      </c>
      <c r="H2010">
        <v>2568.91</v>
      </c>
      <c r="I2010">
        <v>53609.64</v>
      </c>
      <c r="J2010">
        <v>73</v>
      </c>
      <c r="K2010">
        <v>2</v>
      </c>
      <c r="L2010">
        <v>3.3</v>
      </c>
      <c r="M2010">
        <v>58.1</v>
      </c>
      <c r="N2010" t="s">
        <v>78</v>
      </c>
      <c r="O2010" t="s">
        <v>47</v>
      </c>
      <c r="P2010" t="s">
        <v>66</v>
      </c>
      <c r="R2010">
        <f>SUMIF(A2010:A7009,"C02009",I2010:I7009)</f>
        <v>53609.64</v>
      </c>
      <c r="S2010" s="1">
        <v>56762.52</v>
      </c>
      <c r="T2010">
        <f t="shared" si="233"/>
        <v>734.378630136986</v>
      </c>
      <c r="U2010">
        <f t="shared" si="225"/>
        <v>4241.3</v>
      </c>
      <c r="V2010">
        <f>U2010</f>
        <v>4241.3</v>
      </c>
      <c r="W2010">
        <f t="shared" si="230"/>
        <v>18726.5166666667</v>
      </c>
      <c r="X2010">
        <f t="shared" si="226"/>
        <v>0.170111058775901</v>
      </c>
      <c r="AH2010" t="str">
        <f t="shared" si="232"/>
        <v>3rd Quality</v>
      </c>
      <c r="AJ2010">
        <f>((T2010-X2010)*2)/3.3</f>
        <v>444.9748600474</v>
      </c>
      <c r="AK2010">
        <f t="shared" si="229"/>
        <v>320923.461369863</v>
      </c>
    </row>
    <row r="2011" spans="1:37">
      <c r="A2011" t="s">
        <v>2077</v>
      </c>
      <c r="B2011">
        <v>52</v>
      </c>
      <c r="C2011" t="s">
        <v>50</v>
      </c>
      <c r="D2011" t="s">
        <v>51</v>
      </c>
      <c r="E2011">
        <v>509</v>
      </c>
      <c r="F2011">
        <v>64</v>
      </c>
      <c r="G2011">
        <v>4</v>
      </c>
      <c r="H2011">
        <v>1231.05</v>
      </c>
      <c r="I2011">
        <v>4392.61</v>
      </c>
      <c r="J2011">
        <v>32</v>
      </c>
      <c r="K2011">
        <v>0</v>
      </c>
      <c r="L2011">
        <v>22</v>
      </c>
      <c r="M2011">
        <v>5.9</v>
      </c>
      <c r="N2011" t="s">
        <v>46</v>
      </c>
      <c r="O2011" t="s">
        <v>47</v>
      </c>
      <c r="P2011" t="s">
        <v>58</v>
      </c>
      <c r="R2011">
        <f>SUMIF(A2011:A7010,"C02010",I2011:I7010)</f>
        <v>4392.61</v>
      </c>
      <c r="S2011" s="1">
        <v>12425.86</v>
      </c>
      <c r="T2011">
        <f t="shared" si="233"/>
        <v>137.2690625</v>
      </c>
      <c r="U2011">
        <f t="shared" si="225"/>
        <v>188.8</v>
      </c>
      <c r="V2011">
        <f t="shared" si="227"/>
        <v>15.7333333333333</v>
      </c>
      <c r="W2011">
        <f t="shared" si="230"/>
        <v>1874.88666666667</v>
      </c>
      <c r="X2011">
        <f t="shared" si="226"/>
        <v>0.413468177571991</v>
      </c>
      <c r="AH2011" t="str">
        <f t="shared" si="232"/>
        <v>3rd Quality</v>
      </c>
      <c r="AJ2011">
        <f>((T2011-X2011)*2)/22</f>
        <v>12.4414176656753</v>
      </c>
      <c r="AK2011">
        <f t="shared" si="229"/>
        <v>69869.9528125</v>
      </c>
    </row>
    <row r="2012" spans="1:37">
      <c r="A2012" t="s">
        <v>2078</v>
      </c>
      <c r="B2012">
        <v>23</v>
      </c>
      <c r="C2012" t="s">
        <v>50</v>
      </c>
      <c r="D2012" t="s">
        <v>60</v>
      </c>
      <c r="E2012">
        <v>523</v>
      </c>
      <c r="F2012">
        <v>8</v>
      </c>
      <c r="G2012">
        <v>19</v>
      </c>
      <c r="H2012">
        <v>3094.44</v>
      </c>
      <c r="I2012">
        <v>56762.52</v>
      </c>
      <c r="J2012">
        <v>63</v>
      </c>
      <c r="K2012">
        <v>1</v>
      </c>
      <c r="L2012">
        <v>8.6</v>
      </c>
      <c r="M2012">
        <v>24</v>
      </c>
      <c r="N2012" t="s">
        <v>52</v>
      </c>
      <c r="O2012" t="s">
        <v>47</v>
      </c>
      <c r="P2012" t="s">
        <v>58</v>
      </c>
      <c r="R2012">
        <f>SUMIF(A2012:A7011,"C02011",I2012:I7011)</f>
        <v>56762.52</v>
      </c>
      <c r="S2012" s="1">
        <v>80596.7</v>
      </c>
      <c r="T2012">
        <f t="shared" si="233"/>
        <v>900.992380952381</v>
      </c>
      <c r="U2012">
        <f t="shared" si="225"/>
        <v>1512</v>
      </c>
      <c r="V2012">
        <f>U2012</f>
        <v>1512</v>
      </c>
      <c r="W2012">
        <f t="shared" si="230"/>
        <v>19952.6533333333</v>
      </c>
      <c r="X2012">
        <f t="shared" si="226"/>
        <v>0.169012810072259</v>
      </c>
      <c r="AH2012" t="str">
        <f t="shared" si="232"/>
        <v>2nd Quality</v>
      </c>
      <c r="AJ2012">
        <f>((T2012-X2012)*2)/8.6</f>
        <v>209.493806544723</v>
      </c>
      <c r="AK2012">
        <f t="shared" si="229"/>
        <v>471219.015238095</v>
      </c>
    </row>
    <row r="2013" spans="1:37">
      <c r="A2013" t="s">
        <v>2079</v>
      </c>
      <c r="B2013">
        <v>41</v>
      </c>
      <c r="C2013" t="s">
        <v>44</v>
      </c>
      <c r="D2013" t="s">
        <v>45</v>
      </c>
      <c r="E2013">
        <v>1165</v>
      </c>
      <c r="F2013">
        <v>34</v>
      </c>
      <c r="G2013">
        <v>10</v>
      </c>
      <c r="H2013">
        <v>1245.03</v>
      </c>
      <c r="I2013">
        <v>12425.86</v>
      </c>
      <c r="J2013">
        <v>77</v>
      </c>
      <c r="K2013">
        <v>0</v>
      </c>
      <c r="L2013">
        <v>18.8</v>
      </c>
      <c r="M2013">
        <v>26.1</v>
      </c>
      <c r="N2013" t="s">
        <v>78</v>
      </c>
      <c r="O2013" t="s">
        <v>47</v>
      </c>
      <c r="P2013" t="s">
        <v>54</v>
      </c>
      <c r="R2013">
        <f>SUMIF(A2013:A7012,"C02012",I2013:I7012)</f>
        <v>12425.86</v>
      </c>
      <c r="S2013" s="1">
        <v>13046.39</v>
      </c>
      <c r="T2013">
        <f t="shared" si="233"/>
        <v>161.374805194805</v>
      </c>
      <c r="U2013">
        <f t="shared" si="225"/>
        <v>2009.7</v>
      </c>
      <c r="V2013">
        <f t="shared" si="227"/>
        <v>167.475</v>
      </c>
      <c r="W2013">
        <f t="shared" si="230"/>
        <v>4557.29666666667</v>
      </c>
      <c r="X2013">
        <f t="shared" si="226"/>
        <v>0.935720424407444</v>
      </c>
      <c r="AH2013" t="str">
        <f t="shared" si="232"/>
        <v>3rd Quality</v>
      </c>
      <c r="AJ2013">
        <f>((T2013-X2013)*2)/18.8</f>
        <v>17.0679877415317</v>
      </c>
      <c r="AK2013">
        <f t="shared" si="229"/>
        <v>188001.648051948</v>
      </c>
    </row>
    <row r="2014" spans="1:37">
      <c r="A2014" t="s">
        <v>2080</v>
      </c>
      <c r="B2014">
        <v>62</v>
      </c>
      <c r="C2014" t="s">
        <v>44</v>
      </c>
      <c r="D2014" t="s">
        <v>45</v>
      </c>
      <c r="E2014">
        <v>771</v>
      </c>
      <c r="F2014">
        <v>20</v>
      </c>
      <c r="G2014">
        <v>28</v>
      </c>
      <c r="H2014">
        <v>2769.9</v>
      </c>
      <c r="I2014">
        <v>80596.7</v>
      </c>
      <c r="J2014">
        <v>145</v>
      </c>
      <c r="K2014">
        <v>0</v>
      </c>
      <c r="L2014">
        <v>11.7</v>
      </c>
      <c r="M2014">
        <v>27.6</v>
      </c>
      <c r="N2014" t="s">
        <v>57</v>
      </c>
      <c r="O2014" t="s">
        <v>47</v>
      </c>
      <c r="P2014" t="s">
        <v>58</v>
      </c>
      <c r="R2014">
        <f>SUMIF(A2014:A7013,"C02013",I2014:I7013)</f>
        <v>80596.7</v>
      </c>
      <c r="S2014" s="1">
        <v>21010.58</v>
      </c>
      <c r="T2014">
        <f t="shared" si="233"/>
        <v>555.839310344828</v>
      </c>
      <c r="U2014">
        <f t="shared" si="225"/>
        <v>4002</v>
      </c>
      <c r="V2014">
        <f t="shared" si="227"/>
        <v>333.5</v>
      </c>
      <c r="W2014">
        <f t="shared" si="230"/>
        <v>27789.2</v>
      </c>
      <c r="X2014">
        <f t="shared" si="226"/>
        <v>0.278349398895267</v>
      </c>
      <c r="AH2014" t="str">
        <f t="shared" si="232"/>
        <v>3rd Quality</v>
      </c>
      <c r="AJ2014">
        <f>((T2014-X2014)*2)/11.7</f>
        <v>94.9676856317834</v>
      </c>
      <c r="AK2014">
        <f t="shared" si="229"/>
        <v>428552.108275862</v>
      </c>
    </row>
    <row r="2015" spans="1:37">
      <c r="A2015" t="s">
        <v>2081</v>
      </c>
      <c r="B2015">
        <v>26</v>
      </c>
      <c r="C2015" t="s">
        <v>44</v>
      </c>
      <c r="D2015" t="s">
        <v>45</v>
      </c>
      <c r="E2015">
        <v>854</v>
      </c>
      <c r="F2015">
        <v>56</v>
      </c>
      <c r="G2015">
        <v>13</v>
      </c>
      <c r="H2015">
        <v>905.15</v>
      </c>
      <c r="I2015">
        <v>13046.39</v>
      </c>
      <c r="J2015">
        <v>83</v>
      </c>
      <c r="K2015">
        <v>0</v>
      </c>
      <c r="L2015">
        <v>26</v>
      </c>
      <c r="M2015">
        <v>47</v>
      </c>
      <c r="N2015" t="s">
        <v>63</v>
      </c>
      <c r="O2015" t="s">
        <v>47</v>
      </c>
      <c r="P2015" t="s">
        <v>66</v>
      </c>
      <c r="R2015">
        <f>SUMIF(A2015:A7014,"C02014",I2015:I7014)</f>
        <v>13046.39</v>
      </c>
      <c r="S2015" s="1">
        <v>45290.42</v>
      </c>
      <c r="T2015">
        <f t="shared" si="233"/>
        <v>157.185421686747</v>
      </c>
      <c r="U2015">
        <f t="shared" si="225"/>
        <v>3901</v>
      </c>
      <c r="V2015">
        <f t="shared" si="227"/>
        <v>325.083333333333</v>
      </c>
      <c r="W2015">
        <f t="shared" si="230"/>
        <v>4650.84666666667</v>
      </c>
      <c r="X2015">
        <f t="shared" si="226"/>
        <v>0.943490029276915</v>
      </c>
      <c r="AH2015" t="str">
        <f t="shared" si="232"/>
        <v>3rd Quality</v>
      </c>
      <c r="AJ2015">
        <f>((T2015-X2015)*2)/26</f>
        <v>12.0186101274977</v>
      </c>
      <c r="AK2015">
        <f t="shared" si="229"/>
        <v>134236.350120482</v>
      </c>
    </row>
    <row r="2016" spans="1:37">
      <c r="A2016" t="s">
        <v>2082</v>
      </c>
      <c r="B2016">
        <v>32</v>
      </c>
      <c r="C2016" t="s">
        <v>44</v>
      </c>
      <c r="D2016" t="s">
        <v>60</v>
      </c>
      <c r="E2016">
        <v>956</v>
      </c>
      <c r="F2016">
        <v>8</v>
      </c>
      <c r="G2016">
        <v>10</v>
      </c>
      <c r="H2016">
        <v>1893.84</v>
      </c>
      <c r="I2016">
        <v>21010.58</v>
      </c>
      <c r="J2016">
        <v>79</v>
      </c>
      <c r="K2016">
        <v>1</v>
      </c>
      <c r="L2016">
        <v>18.7</v>
      </c>
      <c r="M2016">
        <v>10.5</v>
      </c>
      <c r="N2016" t="s">
        <v>52</v>
      </c>
      <c r="O2016" t="s">
        <v>53</v>
      </c>
      <c r="P2016" t="s">
        <v>58</v>
      </c>
      <c r="R2016">
        <f>SUMIF(A2016:A7015,"C02015",I2016:I7015)</f>
        <v>21010.58</v>
      </c>
      <c r="S2016" s="1">
        <v>8658.23</v>
      </c>
      <c r="T2016">
        <f t="shared" si="233"/>
        <v>265.95670886076</v>
      </c>
      <c r="U2016">
        <f t="shared" si="225"/>
        <v>829.5</v>
      </c>
      <c r="V2016">
        <f>U2016</f>
        <v>829.5</v>
      </c>
      <c r="W2016">
        <f t="shared" si="230"/>
        <v>7635.14</v>
      </c>
      <c r="X2016">
        <f t="shared" si="226"/>
        <v>0.50479449161492</v>
      </c>
      <c r="AH2016" t="str">
        <f t="shared" si="232"/>
        <v>2nd Quality</v>
      </c>
      <c r="AJ2016">
        <f>((T2016-X2016)*2)/18.7</f>
        <v>28.3905790769139</v>
      </c>
      <c r="AK2016">
        <f t="shared" si="229"/>
        <v>254254.613670886</v>
      </c>
    </row>
    <row r="2017" spans="1:37">
      <c r="A2017" t="s">
        <v>2083</v>
      </c>
      <c r="B2017">
        <v>29</v>
      </c>
      <c r="C2017" t="s">
        <v>50</v>
      </c>
      <c r="D2017" t="s">
        <v>60</v>
      </c>
      <c r="E2017">
        <v>747</v>
      </c>
      <c r="F2017">
        <v>79</v>
      </c>
      <c r="G2017">
        <v>3</v>
      </c>
      <c r="H2017">
        <v>15046.13</v>
      </c>
      <c r="I2017">
        <v>45290.42</v>
      </c>
      <c r="J2017">
        <v>21</v>
      </c>
      <c r="K2017">
        <v>0</v>
      </c>
      <c r="L2017">
        <v>6.8</v>
      </c>
      <c r="M2017">
        <v>29.4</v>
      </c>
      <c r="N2017" t="s">
        <v>63</v>
      </c>
      <c r="O2017" t="s">
        <v>47</v>
      </c>
      <c r="P2017" t="s">
        <v>48</v>
      </c>
      <c r="R2017">
        <f>SUMIF(A2017:A7016,"C02016",I2017:I7016)</f>
        <v>45290.42</v>
      </c>
      <c r="S2017" s="1">
        <v>136489.5</v>
      </c>
      <c r="T2017">
        <f t="shared" si="233"/>
        <v>2156.68666666667</v>
      </c>
      <c r="U2017">
        <f t="shared" si="225"/>
        <v>617.4</v>
      </c>
      <c r="V2017">
        <f t="shared" si="227"/>
        <v>51.45</v>
      </c>
      <c r="W2017">
        <f t="shared" si="230"/>
        <v>20112.5166666667</v>
      </c>
      <c r="X2017">
        <f t="shared" si="226"/>
        <v>0.0496473179482033</v>
      </c>
      <c r="AH2017" t="str">
        <f t="shared" si="232"/>
        <v>2nd Quality</v>
      </c>
      <c r="AJ2017">
        <f>((T2017-X2017)*2)/6.8</f>
        <v>634.305005690801</v>
      </c>
      <c r="AK2017">
        <f t="shared" si="229"/>
        <v>1611044.94</v>
      </c>
    </row>
    <row r="2018" spans="1:37">
      <c r="A2018" t="s">
        <v>2084</v>
      </c>
      <c r="B2018">
        <v>32</v>
      </c>
      <c r="C2018" t="s">
        <v>44</v>
      </c>
      <c r="D2018" t="s">
        <v>51</v>
      </c>
      <c r="E2018">
        <v>506</v>
      </c>
      <c r="F2018">
        <v>116</v>
      </c>
      <c r="G2018">
        <v>10</v>
      </c>
      <c r="H2018">
        <v>851.7</v>
      </c>
      <c r="I2018">
        <v>8658.23</v>
      </c>
      <c r="J2018">
        <v>73</v>
      </c>
      <c r="K2018">
        <v>0</v>
      </c>
      <c r="L2018">
        <v>18.6</v>
      </c>
      <c r="M2018">
        <v>13.2</v>
      </c>
      <c r="N2018" t="s">
        <v>78</v>
      </c>
      <c r="O2018" t="s">
        <v>53</v>
      </c>
      <c r="P2018" t="s">
        <v>68</v>
      </c>
      <c r="R2018">
        <f>SUMIF(A2018:A7017,"C02017",I2018:I7017)</f>
        <v>8658.23</v>
      </c>
      <c r="S2018" s="1">
        <v>31817.5</v>
      </c>
      <c r="T2018">
        <f t="shared" si="233"/>
        <v>118.605890410959</v>
      </c>
      <c r="U2018">
        <f t="shared" ref="U2018:U2081" si="234">J2018*M2018</f>
        <v>963.6</v>
      </c>
      <c r="V2018">
        <f t="shared" si="227"/>
        <v>80.3</v>
      </c>
      <c r="W2018">
        <f t="shared" si="230"/>
        <v>3170.31</v>
      </c>
      <c r="X2018">
        <f t="shared" si="226"/>
        <v>0.594105905835388</v>
      </c>
      <c r="AH2018" t="str">
        <f t="shared" si="232"/>
        <v>3rd Quality</v>
      </c>
      <c r="AJ2018">
        <f>((T2018-X2018)*2)/18.6</f>
        <v>12.6894391940993</v>
      </c>
      <c r="AK2018">
        <f t="shared" si="229"/>
        <v>60014.5805479452</v>
      </c>
    </row>
    <row r="2019" spans="1:37">
      <c r="A2019" t="s">
        <v>2085</v>
      </c>
      <c r="B2019">
        <v>28</v>
      </c>
      <c r="C2019" t="s">
        <v>44</v>
      </c>
      <c r="D2019" t="s">
        <v>51</v>
      </c>
      <c r="E2019">
        <v>880</v>
      </c>
      <c r="F2019">
        <v>7</v>
      </c>
      <c r="G2019">
        <v>22</v>
      </c>
      <c r="H2019">
        <v>5922.58</v>
      </c>
      <c r="I2019">
        <v>136489.5</v>
      </c>
      <c r="J2019">
        <v>72</v>
      </c>
      <c r="K2019">
        <v>4</v>
      </c>
      <c r="L2019">
        <v>14.4</v>
      </c>
      <c r="M2019">
        <v>39.4</v>
      </c>
      <c r="N2019" t="s">
        <v>57</v>
      </c>
      <c r="O2019" t="s">
        <v>47</v>
      </c>
      <c r="P2019" t="s">
        <v>58</v>
      </c>
      <c r="R2019">
        <f>SUMIF(A2019:A7018,"C02018",I2019:I7018)</f>
        <v>136489.5</v>
      </c>
      <c r="S2019" s="1">
        <v>8591.55</v>
      </c>
      <c r="T2019">
        <f t="shared" si="233"/>
        <v>1895.6875</v>
      </c>
      <c r="U2019">
        <f t="shared" si="234"/>
        <v>2836.8</v>
      </c>
      <c r="V2019">
        <f>U2019</f>
        <v>2836.8</v>
      </c>
      <c r="W2019">
        <f t="shared" si="230"/>
        <v>47471.0266666667</v>
      </c>
      <c r="X2019">
        <f t="shared" si="226"/>
        <v>0.148583894181252</v>
      </c>
      <c r="AH2019" t="str">
        <f t="shared" si="232"/>
        <v>2nd Quality</v>
      </c>
      <c r="AJ2019">
        <f>((T2019-X2019)*2)/14.4</f>
        <v>263.269293903586</v>
      </c>
      <c r="AK2019">
        <f t="shared" si="229"/>
        <v>1668205</v>
      </c>
    </row>
    <row r="2020" spans="1:37">
      <c r="A2020" t="s">
        <v>2086</v>
      </c>
      <c r="B2020">
        <v>41</v>
      </c>
      <c r="C2020" t="s">
        <v>50</v>
      </c>
      <c r="D2020" t="s">
        <v>45</v>
      </c>
      <c r="E2020">
        <v>745</v>
      </c>
      <c r="F2020">
        <v>42</v>
      </c>
      <c r="G2020">
        <v>4</v>
      </c>
      <c r="H2020">
        <v>7361.9</v>
      </c>
      <c r="I2020">
        <v>31817.5</v>
      </c>
      <c r="J2020">
        <v>35</v>
      </c>
      <c r="K2020">
        <v>0</v>
      </c>
      <c r="L2020">
        <v>9.4</v>
      </c>
      <c r="M2020">
        <v>40.4</v>
      </c>
      <c r="N2020" t="s">
        <v>57</v>
      </c>
      <c r="O2020" t="s">
        <v>53</v>
      </c>
      <c r="P2020" t="s">
        <v>58</v>
      </c>
      <c r="R2020">
        <f>SUMIF(A2020:A7019,"C02019",I2020:I7019)</f>
        <v>31817.5</v>
      </c>
      <c r="S2020" s="1">
        <v>35914.31</v>
      </c>
      <c r="T2020">
        <f t="shared" si="233"/>
        <v>909.071428571429</v>
      </c>
      <c r="U2020">
        <f t="shared" si="234"/>
        <v>1414</v>
      </c>
      <c r="V2020">
        <f t="shared" si="227"/>
        <v>117.833333333333</v>
      </c>
      <c r="W2020">
        <f t="shared" si="230"/>
        <v>13060.1333333333</v>
      </c>
      <c r="X2020">
        <f t="shared" si="226"/>
        <v>0.101196701938358</v>
      </c>
      <c r="AH2020" t="str">
        <f t="shared" si="232"/>
        <v>2nd Quality</v>
      </c>
      <c r="AJ2020">
        <f>((T2020-X2020)*2)/9.4</f>
        <v>193.39792167436</v>
      </c>
      <c r="AK2020">
        <f t="shared" si="229"/>
        <v>677258.214285714</v>
      </c>
    </row>
    <row r="2021" spans="1:37">
      <c r="A2021" t="s">
        <v>2087</v>
      </c>
      <c r="B2021">
        <v>35</v>
      </c>
      <c r="C2021" t="s">
        <v>50</v>
      </c>
      <c r="D2021" t="s">
        <v>60</v>
      </c>
      <c r="E2021">
        <v>1005</v>
      </c>
      <c r="F2021">
        <v>171</v>
      </c>
      <c r="G2021">
        <v>8</v>
      </c>
      <c r="H2021">
        <v>1014.25</v>
      </c>
      <c r="I2021">
        <v>8591.55</v>
      </c>
      <c r="J2021">
        <v>38</v>
      </c>
      <c r="K2021">
        <v>3</v>
      </c>
      <c r="L2021">
        <v>27</v>
      </c>
      <c r="M2021">
        <v>26</v>
      </c>
      <c r="N2021" t="s">
        <v>61</v>
      </c>
      <c r="O2021" t="s">
        <v>75</v>
      </c>
      <c r="P2021" t="s">
        <v>58</v>
      </c>
      <c r="R2021">
        <f>SUMIF(A2021:A7020,"C02020",I2021:I7020)</f>
        <v>8591.55</v>
      </c>
      <c r="S2021" s="1">
        <v>105618.21</v>
      </c>
      <c r="T2021">
        <f t="shared" si="233"/>
        <v>226.093421052632</v>
      </c>
      <c r="U2021">
        <f t="shared" si="234"/>
        <v>988</v>
      </c>
      <c r="V2021">
        <f>U2021</f>
        <v>988</v>
      </c>
      <c r="W2021">
        <f t="shared" si="230"/>
        <v>3202.26666666667</v>
      </c>
      <c r="X2021">
        <f t="shared" si="226"/>
        <v>0.990879960561992</v>
      </c>
      <c r="AH2021" t="str">
        <f t="shared" si="232"/>
        <v>3rd Quality</v>
      </c>
      <c r="AJ2021">
        <f>((T2021-X2021)*2)/27</f>
        <v>16.6742623031163</v>
      </c>
      <c r="AK2021">
        <f t="shared" si="229"/>
        <v>227223.888157895</v>
      </c>
    </row>
    <row r="2022" spans="1:37">
      <c r="A2022" t="s">
        <v>2088</v>
      </c>
      <c r="B2022">
        <v>37</v>
      </c>
      <c r="C2022" t="s">
        <v>50</v>
      </c>
      <c r="D2022" t="s">
        <v>60</v>
      </c>
      <c r="E2022">
        <v>1056</v>
      </c>
      <c r="F2022">
        <v>30</v>
      </c>
      <c r="G2022">
        <v>3</v>
      </c>
      <c r="H2022">
        <v>11369.72</v>
      </c>
      <c r="I2022">
        <v>35914.31</v>
      </c>
      <c r="J2022">
        <v>15</v>
      </c>
      <c r="K2022">
        <v>1</v>
      </c>
      <c r="L2022">
        <v>4</v>
      </c>
      <c r="M2022">
        <v>39.1</v>
      </c>
      <c r="N2022" t="s">
        <v>81</v>
      </c>
      <c r="O2022" t="s">
        <v>47</v>
      </c>
      <c r="P2022" t="s">
        <v>58</v>
      </c>
      <c r="R2022">
        <f>SUMIF(A2022:A7021,"C02021",I2022:I7021)</f>
        <v>35914.31</v>
      </c>
      <c r="S2022" s="1">
        <v>88147.63</v>
      </c>
      <c r="T2022">
        <f t="shared" si="233"/>
        <v>2394.28733333333</v>
      </c>
      <c r="U2022">
        <f t="shared" si="234"/>
        <v>586.5</v>
      </c>
      <c r="V2022">
        <f>U2022</f>
        <v>586.5</v>
      </c>
      <c r="W2022">
        <f t="shared" si="230"/>
        <v>15761.6766666667</v>
      </c>
      <c r="X2022">
        <f t="shared" si="226"/>
        <v>0.0928782766857935</v>
      </c>
      <c r="AH2022" t="str">
        <f t="shared" si="232"/>
        <v>2nd Quality</v>
      </c>
      <c r="AJ2022">
        <f>((T2022-X2022)*2)/4</f>
        <v>1197.09722752832</v>
      </c>
      <c r="AK2022">
        <f t="shared" si="229"/>
        <v>2528367.424</v>
      </c>
    </row>
    <row r="2023" spans="1:37">
      <c r="A2023" t="s">
        <v>2089</v>
      </c>
      <c r="B2023">
        <v>33</v>
      </c>
      <c r="C2023" t="s">
        <v>50</v>
      </c>
      <c r="D2023" t="s">
        <v>51</v>
      </c>
      <c r="E2023">
        <v>1195</v>
      </c>
      <c r="F2023">
        <v>12</v>
      </c>
      <c r="G2023">
        <v>27</v>
      </c>
      <c r="H2023">
        <v>3961.92</v>
      </c>
      <c r="I2023">
        <v>105618.21</v>
      </c>
      <c r="J2023">
        <v>175</v>
      </c>
      <c r="K2023">
        <v>0</v>
      </c>
      <c r="L2023">
        <v>10.8</v>
      </c>
      <c r="M2023">
        <v>33.1</v>
      </c>
      <c r="N2023" t="s">
        <v>52</v>
      </c>
      <c r="O2023" t="s">
        <v>53</v>
      </c>
      <c r="P2023" t="s">
        <v>58</v>
      </c>
      <c r="R2023">
        <f>SUMIF(A2023:A7022,"C02022",I2023:I7022)</f>
        <v>105618.21</v>
      </c>
      <c r="S2023" s="1">
        <v>13526.94</v>
      </c>
      <c r="T2023">
        <f t="shared" si="233"/>
        <v>603.532628571429</v>
      </c>
      <c r="U2023">
        <f t="shared" si="234"/>
        <v>5792.5</v>
      </c>
      <c r="V2023">
        <f t="shared" si="227"/>
        <v>482.708333333333</v>
      </c>
      <c r="W2023">
        <f t="shared" si="230"/>
        <v>36527.0433333333</v>
      </c>
      <c r="X2023">
        <f t="shared" si="226"/>
        <v>0.3016214360714</v>
      </c>
      <c r="AH2023" t="str">
        <f t="shared" si="232"/>
        <v>1st Quality</v>
      </c>
      <c r="AJ2023">
        <f>((T2023-X2023)*2)/10.8</f>
        <v>111.709445765807</v>
      </c>
      <c r="AK2023">
        <f t="shared" si="229"/>
        <v>721221.491142857</v>
      </c>
    </row>
    <row r="2024" spans="1:37">
      <c r="A2024" t="s">
        <v>2090</v>
      </c>
      <c r="B2024">
        <v>33</v>
      </c>
      <c r="C2024" t="s">
        <v>50</v>
      </c>
      <c r="D2024" t="s">
        <v>60</v>
      </c>
      <c r="E2024">
        <v>930</v>
      </c>
      <c r="F2024">
        <v>17</v>
      </c>
      <c r="G2024">
        <v>26</v>
      </c>
      <c r="H2024">
        <v>3114.51</v>
      </c>
      <c r="I2024">
        <v>88147.63</v>
      </c>
      <c r="J2024">
        <v>60</v>
      </c>
      <c r="K2024">
        <v>0</v>
      </c>
      <c r="L2024">
        <v>12.6</v>
      </c>
      <c r="M2024">
        <v>56</v>
      </c>
      <c r="N2024" t="s">
        <v>57</v>
      </c>
      <c r="O2024" t="s">
        <v>53</v>
      </c>
      <c r="P2024" t="s">
        <v>66</v>
      </c>
      <c r="R2024">
        <f>SUMIF(A2024:A7023,"C02023",I2024:I7023)</f>
        <v>88147.63</v>
      </c>
      <c r="S2024" s="1">
        <v>25158.98</v>
      </c>
      <c r="T2024">
        <f t="shared" si="233"/>
        <v>1469.12716666667</v>
      </c>
      <c r="U2024">
        <f t="shared" si="234"/>
        <v>3360</v>
      </c>
      <c r="V2024">
        <f t="shared" si="227"/>
        <v>280</v>
      </c>
      <c r="W2024">
        <f t="shared" si="230"/>
        <v>30421.0466666667</v>
      </c>
      <c r="X2024">
        <f t="shared" si="226"/>
        <v>0.298602348362985</v>
      </c>
      <c r="AH2024" t="str">
        <f t="shared" si="232"/>
        <v>1st Quality</v>
      </c>
      <c r="AJ2024">
        <f>((T2024-X2024)*2)/12.6</f>
        <v>233.147391161636</v>
      </c>
      <c r="AK2024">
        <f t="shared" si="229"/>
        <v>1366288.265</v>
      </c>
    </row>
    <row r="2025" spans="1:37">
      <c r="A2025" t="s">
        <v>2091</v>
      </c>
      <c r="B2025">
        <v>35</v>
      </c>
      <c r="C2025" t="s">
        <v>101</v>
      </c>
      <c r="D2025" t="s">
        <v>45</v>
      </c>
      <c r="E2025">
        <v>1361</v>
      </c>
      <c r="F2025">
        <v>87</v>
      </c>
      <c r="G2025">
        <v>11</v>
      </c>
      <c r="H2025">
        <v>1183.55</v>
      </c>
      <c r="I2025">
        <v>13526.94</v>
      </c>
      <c r="J2025">
        <v>67</v>
      </c>
      <c r="K2025">
        <v>1</v>
      </c>
      <c r="L2025">
        <v>27.2</v>
      </c>
      <c r="M2025">
        <v>29.7</v>
      </c>
      <c r="N2025" t="s">
        <v>46</v>
      </c>
      <c r="O2025" t="s">
        <v>75</v>
      </c>
      <c r="P2025" t="s">
        <v>66</v>
      </c>
      <c r="R2025">
        <f>SUMIF(A2025:A7024,"C02024",I2025:I7024)</f>
        <v>13526.94</v>
      </c>
      <c r="S2025" s="1">
        <v>11994.86</v>
      </c>
      <c r="T2025">
        <f t="shared" si="233"/>
        <v>201.894626865672</v>
      </c>
      <c r="U2025">
        <f t="shared" si="234"/>
        <v>1989.9</v>
      </c>
      <c r="V2025">
        <f>U2025</f>
        <v>1989.9</v>
      </c>
      <c r="W2025">
        <f t="shared" si="230"/>
        <v>4903.83</v>
      </c>
      <c r="X2025">
        <f t="shared" si="226"/>
        <v>1.14993029445313</v>
      </c>
      <c r="AH2025" t="str">
        <f t="shared" si="232"/>
        <v>3rd Quality</v>
      </c>
      <c r="AJ2025">
        <f>((T2025-X2025)*2)/27.2</f>
        <v>14.7606394537661</v>
      </c>
      <c r="AK2025">
        <f t="shared" si="229"/>
        <v>274778.587164179</v>
      </c>
    </row>
    <row r="2026" spans="1:37">
      <c r="A2026" t="s">
        <v>2092</v>
      </c>
      <c r="B2026">
        <v>34</v>
      </c>
      <c r="C2026" t="s">
        <v>50</v>
      </c>
      <c r="D2026" t="s">
        <v>60</v>
      </c>
      <c r="E2026">
        <v>1459</v>
      </c>
      <c r="F2026">
        <v>6</v>
      </c>
      <c r="G2026">
        <v>13</v>
      </c>
      <c r="H2026">
        <v>2107.7</v>
      </c>
      <c r="I2026">
        <v>25158.98</v>
      </c>
      <c r="J2026">
        <v>83</v>
      </c>
      <c r="K2026">
        <v>2</v>
      </c>
      <c r="L2026">
        <v>26.6</v>
      </c>
      <c r="M2026">
        <v>12.2</v>
      </c>
      <c r="N2026" t="s">
        <v>52</v>
      </c>
      <c r="O2026" t="s">
        <v>47</v>
      </c>
      <c r="P2026" t="s">
        <v>58</v>
      </c>
      <c r="R2026">
        <f>SUMIF(A2026:A7025,"C02025",I2026:I7025)</f>
        <v>25158.98</v>
      </c>
      <c r="S2026" s="1">
        <v>790.43</v>
      </c>
      <c r="T2026">
        <f t="shared" si="233"/>
        <v>303.120240963855</v>
      </c>
      <c r="U2026">
        <f t="shared" si="234"/>
        <v>1012.6</v>
      </c>
      <c r="V2026">
        <f>U2026</f>
        <v>1012.6</v>
      </c>
      <c r="W2026">
        <f t="shared" si="230"/>
        <v>9089.22666666667</v>
      </c>
      <c r="X2026">
        <f t="shared" si="226"/>
        <v>0.692223751008208</v>
      </c>
      <c r="AH2026" t="str">
        <f t="shared" si="232"/>
        <v>2nd Quality</v>
      </c>
      <c r="AJ2026">
        <f>((T2026-X2026)*2)/26.6</f>
        <v>22.7389486626201</v>
      </c>
      <c r="AK2026">
        <f t="shared" si="229"/>
        <v>442252.431566265</v>
      </c>
    </row>
    <row r="2027" spans="1:37">
      <c r="A2027" t="s">
        <v>2093</v>
      </c>
      <c r="B2027">
        <v>30</v>
      </c>
      <c r="C2027" t="s">
        <v>50</v>
      </c>
      <c r="D2027" t="s">
        <v>60</v>
      </c>
      <c r="E2027">
        <v>1116</v>
      </c>
      <c r="F2027">
        <v>35</v>
      </c>
      <c r="G2027">
        <v>11</v>
      </c>
      <c r="H2027">
        <v>1065.29</v>
      </c>
      <c r="I2027">
        <v>11994.86</v>
      </c>
      <c r="J2027">
        <v>97</v>
      </c>
      <c r="K2027">
        <v>1</v>
      </c>
      <c r="L2027">
        <v>21.1</v>
      </c>
      <c r="M2027">
        <v>20.7</v>
      </c>
      <c r="N2027" t="s">
        <v>46</v>
      </c>
      <c r="O2027" t="s">
        <v>75</v>
      </c>
      <c r="P2027" t="s">
        <v>58</v>
      </c>
      <c r="R2027">
        <f>SUMIF(A2027:A7026,"C02026",I2027:I7026)</f>
        <v>11994.86</v>
      </c>
      <c r="S2027" s="1">
        <v>11932.31</v>
      </c>
      <c r="T2027">
        <f t="shared" si="233"/>
        <v>123.658350515464</v>
      </c>
      <c r="U2027">
        <f t="shared" si="234"/>
        <v>2007.9</v>
      </c>
      <c r="V2027">
        <f>U2027</f>
        <v>2007.9</v>
      </c>
      <c r="W2027">
        <f t="shared" si="230"/>
        <v>4353.71666666667</v>
      </c>
      <c r="X2027">
        <f t="shared" si="226"/>
        <v>1.04760206141051</v>
      </c>
      <c r="AH2027" t="str">
        <f t="shared" si="232"/>
        <v>3rd Quality</v>
      </c>
      <c r="AJ2027">
        <f>((T2027-X2027)*2)/21.1</f>
        <v>11.6218718913795</v>
      </c>
      <c r="AK2027">
        <f t="shared" si="229"/>
        <v>138002.719175258</v>
      </c>
    </row>
    <row r="2028" spans="1:37">
      <c r="A2028" t="s">
        <v>2094</v>
      </c>
      <c r="B2028">
        <v>42</v>
      </c>
      <c r="C2028" t="s">
        <v>56</v>
      </c>
      <c r="D2028" t="s">
        <v>51</v>
      </c>
      <c r="E2028">
        <v>1386</v>
      </c>
      <c r="F2028">
        <v>228</v>
      </c>
      <c r="G2028">
        <v>1</v>
      </c>
      <c r="H2028">
        <v>828.08</v>
      </c>
      <c r="I2028">
        <v>790.43</v>
      </c>
      <c r="J2028">
        <v>9</v>
      </c>
      <c r="K2028">
        <v>0</v>
      </c>
      <c r="L2028">
        <v>21</v>
      </c>
      <c r="M2028">
        <v>23.5</v>
      </c>
      <c r="N2028" t="s">
        <v>81</v>
      </c>
      <c r="O2028" t="s">
        <v>47</v>
      </c>
      <c r="P2028" t="s">
        <v>58</v>
      </c>
      <c r="R2028">
        <f>SUMIF(A2028:A7027,"C02027",I2028:I7027)</f>
        <v>790.43</v>
      </c>
      <c r="S2028" s="1">
        <v>29598.97</v>
      </c>
      <c r="T2028">
        <f t="shared" si="233"/>
        <v>87.8255555555556</v>
      </c>
      <c r="U2028">
        <f t="shared" si="234"/>
        <v>211.5</v>
      </c>
      <c r="V2028">
        <f t="shared" si="227"/>
        <v>17.625</v>
      </c>
      <c r="W2028">
        <f t="shared" si="230"/>
        <v>539.836666666667</v>
      </c>
      <c r="X2028">
        <f t="shared" si="226"/>
        <v>1.67375132837407</v>
      </c>
      <c r="AH2028" t="str">
        <f t="shared" si="232"/>
        <v>3rd Quality</v>
      </c>
      <c r="AJ2028">
        <f>((T2028-X2028)*2)/21</f>
        <v>8.20493373592205</v>
      </c>
      <c r="AK2028">
        <f t="shared" si="229"/>
        <v>121726.22</v>
      </c>
    </row>
    <row r="2029" spans="1:37">
      <c r="A2029" t="s">
        <v>2095</v>
      </c>
      <c r="B2029">
        <v>32</v>
      </c>
      <c r="C2029" t="s">
        <v>44</v>
      </c>
      <c r="D2029" t="s">
        <v>60</v>
      </c>
      <c r="E2029">
        <v>1454</v>
      </c>
      <c r="F2029">
        <v>61</v>
      </c>
      <c r="G2029">
        <v>5</v>
      </c>
      <c r="H2029">
        <v>2569.58</v>
      </c>
      <c r="I2029">
        <v>11932.31</v>
      </c>
      <c r="J2029">
        <v>42</v>
      </c>
      <c r="K2029">
        <v>0</v>
      </c>
      <c r="L2029">
        <v>25.5</v>
      </c>
      <c r="M2029">
        <v>15.2</v>
      </c>
      <c r="N2029" t="s">
        <v>81</v>
      </c>
      <c r="O2029" t="s">
        <v>47</v>
      </c>
      <c r="P2029" t="s">
        <v>68</v>
      </c>
      <c r="R2029">
        <f>SUMIF(A2029:A7028,"C02028",I2029:I7028)</f>
        <v>11932.31</v>
      </c>
      <c r="S2029" s="1">
        <v>24758.96</v>
      </c>
      <c r="T2029">
        <f t="shared" si="233"/>
        <v>284.102619047619</v>
      </c>
      <c r="U2029">
        <f t="shared" si="234"/>
        <v>638.4</v>
      </c>
      <c r="V2029">
        <f t="shared" si="227"/>
        <v>53.2</v>
      </c>
      <c r="W2029">
        <f t="shared" si="230"/>
        <v>4834.29666666667</v>
      </c>
      <c r="X2029">
        <f t="shared" si="226"/>
        <v>0.565851228605453</v>
      </c>
      <c r="AH2029" t="str">
        <f t="shared" si="232"/>
        <v>3rd Quality</v>
      </c>
      <c r="AJ2029">
        <f>((T2029-X2029)*2)/25.5</f>
        <v>22.2381778681579</v>
      </c>
      <c r="AK2029">
        <f t="shared" si="229"/>
        <v>413085.208095238</v>
      </c>
    </row>
    <row r="2030" spans="1:37">
      <c r="A2030" t="s">
        <v>2096</v>
      </c>
      <c r="B2030">
        <v>40</v>
      </c>
      <c r="C2030" t="s">
        <v>50</v>
      </c>
      <c r="D2030" t="s">
        <v>60</v>
      </c>
      <c r="E2030">
        <v>1281</v>
      </c>
      <c r="F2030">
        <v>39</v>
      </c>
      <c r="G2030">
        <v>5</v>
      </c>
      <c r="H2030">
        <v>5715.61</v>
      </c>
      <c r="I2030">
        <v>29598.97</v>
      </c>
      <c r="J2030">
        <v>40</v>
      </c>
      <c r="K2030">
        <v>1</v>
      </c>
      <c r="L2030">
        <v>9.2</v>
      </c>
      <c r="M2030">
        <v>49.4</v>
      </c>
      <c r="N2030" t="s">
        <v>81</v>
      </c>
      <c r="O2030" t="s">
        <v>47</v>
      </c>
      <c r="P2030" t="s">
        <v>58</v>
      </c>
      <c r="R2030">
        <f>SUMIF(A2030:A7029,"C02029",I2030:I7029)</f>
        <v>29598.97</v>
      </c>
      <c r="S2030" s="1">
        <v>89076.34</v>
      </c>
      <c r="T2030">
        <f t="shared" si="233"/>
        <v>739.97425</v>
      </c>
      <c r="U2030">
        <f t="shared" si="234"/>
        <v>1976</v>
      </c>
      <c r="V2030">
        <f>U2030</f>
        <v>1976</v>
      </c>
      <c r="W2030">
        <f t="shared" si="230"/>
        <v>11771.86</v>
      </c>
      <c r="X2030">
        <f t="shared" si="226"/>
        <v>0.224123059480965</v>
      </c>
      <c r="AH2030" t="str">
        <f t="shared" si="232"/>
        <v>2nd Quality</v>
      </c>
      <c r="AJ2030">
        <f>((T2030-X2030)*2)/9.2</f>
        <v>160.815244987069</v>
      </c>
      <c r="AK2030">
        <f t="shared" si="229"/>
        <v>947907.01425</v>
      </c>
    </row>
    <row r="2031" spans="1:37">
      <c r="A2031" t="s">
        <v>2097</v>
      </c>
      <c r="B2031">
        <v>38</v>
      </c>
      <c r="C2031" t="s">
        <v>101</v>
      </c>
      <c r="D2031" t="s">
        <v>51</v>
      </c>
      <c r="E2031">
        <v>541</v>
      </c>
      <c r="F2031">
        <v>35</v>
      </c>
      <c r="G2031">
        <v>3</v>
      </c>
      <c r="H2031">
        <v>7980.53</v>
      </c>
      <c r="I2031">
        <v>24758.96</v>
      </c>
      <c r="J2031">
        <v>22</v>
      </c>
      <c r="K2031">
        <v>0</v>
      </c>
      <c r="L2031">
        <v>0</v>
      </c>
      <c r="M2031">
        <v>29.2</v>
      </c>
      <c r="N2031" t="s">
        <v>63</v>
      </c>
      <c r="O2031" t="s">
        <v>53</v>
      </c>
      <c r="P2031" t="s">
        <v>68</v>
      </c>
      <c r="R2031">
        <f>SUMIF(A2031:A7030,"C02030",I2031:I7030)</f>
        <v>24758.96</v>
      </c>
      <c r="S2031" s="1">
        <v>25875.56</v>
      </c>
      <c r="T2031">
        <f t="shared" si="233"/>
        <v>1125.40727272727</v>
      </c>
      <c r="U2031">
        <f t="shared" si="234"/>
        <v>642.4</v>
      </c>
      <c r="V2031">
        <f t="shared" si="227"/>
        <v>53.5333333333333</v>
      </c>
      <c r="W2031">
        <f t="shared" si="230"/>
        <v>10913.4966666667</v>
      </c>
      <c r="X2031">
        <f t="shared" ref="X2031:X2094" si="235">E2031/H2031</f>
        <v>0.0677899838732515</v>
      </c>
      <c r="AH2031" t="str">
        <f t="shared" si="232"/>
        <v>2nd Quality</v>
      </c>
      <c r="AJ2031">
        <f>((T2031-X2031)*2)</f>
        <v>2250.67896548679</v>
      </c>
      <c r="AK2031">
        <f t="shared" si="229"/>
        <v>608845.334545454</v>
      </c>
    </row>
    <row r="2032" spans="1:37">
      <c r="A2032" t="s">
        <v>2098</v>
      </c>
      <c r="B2032">
        <v>51</v>
      </c>
      <c r="C2032" t="s">
        <v>44</v>
      </c>
      <c r="D2032" t="s">
        <v>60</v>
      </c>
      <c r="E2032">
        <v>1103</v>
      </c>
      <c r="F2032">
        <v>24</v>
      </c>
      <c r="G2032">
        <v>17</v>
      </c>
      <c r="H2032">
        <v>4724.22</v>
      </c>
      <c r="I2032">
        <v>89076.34</v>
      </c>
      <c r="J2032">
        <v>143</v>
      </c>
      <c r="K2032">
        <v>3</v>
      </c>
      <c r="L2032">
        <v>14.9</v>
      </c>
      <c r="M2032">
        <v>15.5</v>
      </c>
      <c r="N2032" t="s">
        <v>78</v>
      </c>
      <c r="O2032" t="s">
        <v>47</v>
      </c>
      <c r="P2032" t="s">
        <v>54</v>
      </c>
      <c r="R2032">
        <f>SUMIF(A2032:A7031,"C02031",I2032:I7031)</f>
        <v>89076.34</v>
      </c>
      <c r="S2032" s="1">
        <v>16691.86</v>
      </c>
      <c r="T2032">
        <f t="shared" si="233"/>
        <v>622.911468531468</v>
      </c>
      <c r="U2032">
        <f t="shared" si="234"/>
        <v>2216.5</v>
      </c>
      <c r="V2032">
        <f>U2032</f>
        <v>2216.5</v>
      </c>
      <c r="W2032">
        <f t="shared" si="230"/>
        <v>31267.1866666667</v>
      </c>
      <c r="X2032">
        <f t="shared" si="235"/>
        <v>0.233477695788934</v>
      </c>
      <c r="AH2032" t="str">
        <f t="shared" si="232"/>
        <v>3rd Quality</v>
      </c>
      <c r="AJ2032">
        <f>((T2032-X2032)*2)/14.9</f>
        <v>83.5809383672052</v>
      </c>
      <c r="AK2032">
        <f t="shared" si="229"/>
        <v>687071.34979021</v>
      </c>
    </row>
    <row r="2033" spans="1:37">
      <c r="A2033" t="s">
        <v>2099</v>
      </c>
      <c r="B2033">
        <v>20</v>
      </c>
      <c r="C2033" t="s">
        <v>50</v>
      </c>
      <c r="D2033" t="s">
        <v>51</v>
      </c>
      <c r="E2033">
        <v>538</v>
      </c>
      <c r="F2033">
        <v>46</v>
      </c>
      <c r="G2033">
        <v>2</v>
      </c>
      <c r="H2033">
        <v>11610.75</v>
      </c>
      <c r="I2033">
        <v>25875.56</v>
      </c>
      <c r="J2033">
        <v>25</v>
      </c>
      <c r="K2033">
        <v>0</v>
      </c>
      <c r="L2033">
        <v>7.1</v>
      </c>
      <c r="M2033">
        <v>33.8</v>
      </c>
      <c r="N2033" t="s">
        <v>57</v>
      </c>
      <c r="O2033" t="s">
        <v>47</v>
      </c>
      <c r="P2033" t="s">
        <v>58</v>
      </c>
      <c r="R2033">
        <f>SUMIF(A2033:A7032,"C02032",I2033:I7032)</f>
        <v>25875.56</v>
      </c>
      <c r="S2033" s="1">
        <v>9796.85</v>
      </c>
      <c r="T2033">
        <f t="shared" si="233"/>
        <v>1035.0224</v>
      </c>
      <c r="U2033">
        <f t="shared" si="234"/>
        <v>845</v>
      </c>
      <c r="V2033">
        <f t="shared" si="227"/>
        <v>70.4166666666667</v>
      </c>
      <c r="W2033">
        <f t="shared" si="230"/>
        <v>12495.77</v>
      </c>
      <c r="X2033">
        <f t="shared" si="235"/>
        <v>0.0463363693129212</v>
      </c>
      <c r="AH2033" t="str">
        <f t="shared" si="232"/>
        <v>2nd Quality</v>
      </c>
      <c r="AJ2033">
        <f>((T2033-X2033)*2)/7.1</f>
        <v>291.542553135405</v>
      </c>
      <c r="AK2033">
        <f t="shared" si="229"/>
        <v>556842.0512</v>
      </c>
    </row>
    <row r="2034" spans="1:37">
      <c r="A2034" t="s">
        <v>2100</v>
      </c>
      <c r="B2034">
        <v>34</v>
      </c>
      <c r="C2034" t="s">
        <v>50</v>
      </c>
      <c r="D2034" t="s">
        <v>45</v>
      </c>
      <c r="E2034">
        <v>691</v>
      </c>
      <c r="F2034">
        <v>110</v>
      </c>
      <c r="G2034">
        <v>9</v>
      </c>
      <c r="H2034">
        <v>1896.16</v>
      </c>
      <c r="I2034">
        <v>16691.86</v>
      </c>
      <c r="J2034">
        <v>30</v>
      </c>
      <c r="K2034">
        <v>2</v>
      </c>
      <c r="L2034">
        <v>21.1</v>
      </c>
      <c r="M2034">
        <v>21.6</v>
      </c>
      <c r="N2034" t="s">
        <v>57</v>
      </c>
      <c r="O2034" t="s">
        <v>47</v>
      </c>
      <c r="P2034" t="s">
        <v>58</v>
      </c>
      <c r="R2034">
        <f>SUMIF(A2034:A7033,"C02033",I2034:I7033)</f>
        <v>16691.86</v>
      </c>
      <c r="S2034" s="1">
        <v>72673.38</v>
      </c>
      <c r="T2034">
        <f t="shared" si="233"/>
        <v>556.395333333333</v>
      </c>
      <c r="U2034">
        <f t="shared" si="234"/>
        <v>648</v>
      </c>
      <c r="V2034">
        <f>U2034</f>
        <v>648</v>
      </c>
      <c r="W2034">
        <f t="shared" si="230"/>
        <v>6196.34</v>
      </c>
      <c r="X2034">
        <f t="shared" si="235"/>
        <v>0.364420723989537</v>
      </c>
      <c r="AH2034" t="str">
        <f t="shared" si="232"/>
        <v>3rd Quality</v>
      </c>
      <c r="AJ2034">
        <f>((T2034-X2034)*2)/21.1</f>
        <v>52.7043519060989</v>
      </c>
      <c r="AK2034">
        <f t="shared" si="229"/>
        <v>384469.175333333</v>
      </c>
    </row>
    <row r="2035" spans="1:37">
      <c r="A2035" t="s">
        <v>2101</v>
      </c>
      <c r="B2035">
        <v>38</v>
      </c>
      <c r="C2035" t="s">
        <v>44</v>
      </c>
      <c r="D2035" t="s">
        <v>45</v>
      </c>
      <c r="E2035">
        <v>1232</v>
      </c>
      <c r="F2035">
        <v>32</v>
      </c>
      <c r="G2035">
        <v>13</v>
      </c>
      <c r="H2035">
        <v>816.61</v>
      </c>
      <c r="I2035">
        <v>9796.85</v>
      </c>
      <c r="J2035">
        <v>86</v>
      </c>
      <c r="K2035">
        <v>0</v>
      </c>
      <c r="L2035">
        <v>23.5</v>
      </c>
      <c r="M2035">
        <v>21.9</v>
      </c>
      <c r="N2035" t="s">
        <v>52</v>
      </c>
      <c r="O2035" t="s">
        <v>47</v>
      </c>
      <c r="P2035" t="s">
        <v>58</v>
      </c>
      <c r="R2035">
        <f>SUMIF(A2035:A7034,"C02034",I2035:I7034)</f>
        <v>9796.85</v>
      </c>
      <c r="S2035" s="1">
        <v>2548.5</v>
      </c>
      <c r="T2035">
        <f t="shared" si="233"/>
        <v>113.916860465116</v>
      </c>
      <c r="U2035">
        <f t="shared" si="234"/>
        <v>1883.4</v>
      </c>
      <c r="V2035">
        <f t="shared" si="227"/>
        <v>156.95</v>
      </c>
      <c r="W2035">
        <f t="shared" si="230"/>
        <v>3538.15333333333</v>
      </c>
      <c r="X2035">
        <f t="shared" si="235"/>
        <v>1.50867611222003</v>
      </c>
      <c r="AH2035" t="str">
        <f t="shared" si="232"/>
        <v>3rd Quality</v>
      </c>
      <c r="AJ2035">
        <f>((T2035-X2035)*2)/23.5</f>
        <v>9.56665398748051</v>
      </c>
      <c r="AK2035">
        <f t="shared" si="229"/>
        <v>140345.572093023</v>
      </c>
    </row>
    <row r="2036" spans="1:37">
      <c r="A2036" t="s">
        <v>2102</v>
      </c>
      <c r="B2036">
        <v>42</v>
      </c>
      <c r="C2036" t="s">
        <v>44</v>
      </c>
      <c r="D2036" t="s">
        <v>60</v>
      </c>
      <c r="E2036">
        <v>960</v>
      </c>
      <c r="F2036">
        <v>1</v>
      </c>
      <c r="G2036">
        <v>22</v>
      </c>
      <c r="H2036">
        <v>3615.3</v>
      </c>
      <c r="I2036">
        <v>72673.38</v>
      </c>
      <c r="J2036">
        <v>143</v>
      </c>
      <c r="K2036">
        <v>6</v>
      </c>
      <c r="L2036">
        <v>15.5</v>
      </c>
      <c r="M2036">
        <v>26.5</v>
      </c>
      <c r="N2036" t="s">
        <v>81</v>
      </c>
      <c r="O2036" t="s">
        <v>47</v>
      </c>
      <c r="P2036" t="s">
        <v>58</v>
      </c>
      <c r="R2036">
        <f>SUMIF(A2036:A7035,"C02035",I2036:I7035)</f>
        <v>72673.38</v>
      </c>
      <c r="S2036" s="1">
        <v>3930.79</v>
      </c>
      <c r="T2036">
        <f t="shared" si="233"/>
        <v>508.205454545455</v>
      </c>
      <c r="U2036">
        <f t="shared" si="234"/>
        <v>3789.5</v>
      </c>
      <c r="V2036">
        <f>U2036</f>
        <v>3789.5</v>
      </c>
      <c r="W2036">
        <f t="shared" si="230"/>
        <v>25429.8933333333</v>
      </c>
      <c r="X2036">
        <f t="shared" si="235"/>
        <v>0.265538129615799</v>
      </c>
      <c r="AH2036" t="str">
        <f t="shared" si="232"/>
        <v>2nd Quality</v>
      </c>
      <c r="AJ2036">
        <f>((T2036-X2036)*2)/15.5</f>
        <v>65.5406343762373</v>
      </c>
      <c r="AK2036">
        <f t="shared" si="229"/>
        <v>487877.236363636</v>
      </c>
    </row>
    <row r="2037" spans="1:37">
      <c r="A2037" t="s">
        <v>2103</v>
      </c>
      <c r="B2037">
        <v>29</v>
      </c>
      <c r="C2037" t="s">
        <v>44</v>
      </c>
      <c r="D2037" t="s">
        <v>60</v>
      </c>
      <c r="E2037">
        <v>1061</v>
      </c>
      <c r="F2037">
        <v>202</v>
      </c>
      <c r="G2037">
        <v>3</v>
      </c>
      <c r="H2037">
        <v>762.69</v>
      </c>
      <c r="I2037">
        <v>2548.5</v>
      </c>
      <c r="J2037">
        <v>24</v>
      </c>
      <c r="K2037">
        <v>0</v>
      </c>
      <c r="L2037">
        <v>39.9</v>
      </c>
      <c r="M2037">
        <v>15</v>
      </c>
      <c r="N2037" t="s">
        <v>46</v>
      </c>
      <c r="O2037" t="s">
        <v>47</v>
      </c>
      <c r="P2037" t="s">
        <v>68</v>
      </c>
      <c r="R2037">
        <f>SUMIF(A2037:A7036,"C02036",I2037:I7036)</f>
        <v>2548.5</v>
      </c>
      <c r="S2037" s="1">
        <v>108891.04</v>
      </c>
      <c r="T2037">
        <f t="shared" si="233"/>
        <v>106.1875</v>
      </c>
      <c r="U2037">
        <f t="shared" si="234"/>
        <v>360</v>
      </c>
      <c r="V2037">
        <f t="shared" si="227"/>
        <v>30</v>
      </c>
      <c r="W2037">
        <f t="shared" si="230"/>
        <v>1104.06333333333</v>
      </c>
      <c r="X2037">
        <f t="shared" si="235"/>
        <v>1.39112876791357</v>
      </c>
      <c r="AH2037" t="str">
        <f t="shared" si="232"/>
        <v>3rd Quality</v>
      </c>
      <c r="AJ2037">
        <f>((T2037-X2037)*2)/39.9</f>
        <v>5.2529509389517</v>
      </c>
      <c r="AK2037">
        <f t="shared" si="229"/>
        <v>112664.9375</v>
      </c>
    </row>
    <row r="2038" spans="1:37">
      <c r="A2038" t="s">
        <v>2104</v>
      </c>
      <c r="B2038">
        <v>47</v>
      </c>
      <c r="C2038" t="s">
        <v>44</v>
      </c>
      <c r="D2038" t="s">
        <v>45</v>
      </c>
      <c r="E2038">
        <v>803</v>
      </c>
      <c r="F2038">
        <v>171</v>
      </c>
      <c r="G2038">
        <v>1</v>
      </c>
      <c r="H2038">
        <v>4031.53</v>
      </c>
      <c r="I2038">
        <v>3930.79</v>
      </c>
      <c r="J2038">
        <v>13</v>
      </c>
      <c r="K2038">
        <v>0</v>
      </c>
      <c r="L2038">
        <v>16.6</v>
      </c>
      <c r="M2038">
        <v>15.8</v>
      </c>
      <c r="N2038" t="s">
        <v>78</v>
      </c>
      <c r="O2038" t="s">
        <v>53</v>
      </c>
      <c r="P2038" t="s">
        <v>58</v>
      </c>
      <c r="R2038">
        <f>SUMIF(A2038:A7037,"C02037",I2038:I7037)</f>
        <v>3930.79</v>
      </c>
      <c r="S2038" s="1">
        <v>19387.3</v>
      </c>
      <c r="T2038">
        <f t="shared" si="233"/>
        <v>302.368461538462</v>
      </c>
      <c r="U2038">
        <f t="shared" si="234"/>
        <v>205.4</v>
      </c>
      <c r="V2038">
        <f t="shared" si="227"/>
        <v>17.1166666666667</v>
      </c>
      <c r="W2038">
        <f t="shared" si="230"/>
        <v>2654.44</v>
      </c>
      <c r="X2038">
        <f t="shared" si="235"/>
        <v>0.199179963934288</v>
      </c>
      <c r="AH2038" t="str">
        <f t="shared" si="232"/>
        <v>3rd Quality</v>
      </c>
      <c r="AJ2038">
        <f>((T2038-X2038)*2)/16.6</f>
        <v>36.4059375390997</v>
      </c>
      <c r="AK2038">
        <f t="shared" si="229"/>
        <v>242801.874615385</v>
      </c>
    </row>
    <row r="2039" spans="1:37">
      <c r="A2039" t="s">
        <v>2105</v>
      </c>
      <c r="B2039">
        <v>18</v>
      </c>
      <c r="C2039" t="s">
        <v>44</v>
      </c>
      <c r="D2039" t="s">
        <v>60</v>
      </c>
      <c r="E2039">
        <v>1310</v>
      </c>
      <c r="F2039">
        <v>10</v>
      </c>
      <c r="G2039">
        <v>26</v>
      </c>
      <c r="H2039">
        <v>4352.34</v>
      </c>
      <c r="I2039">
        <v>108891.04</v>
      </c>
      <c r="J2039">
        <v>168</v>
      </c>
      <c r="K2039">
        <v>1</v>
      </c>
      <c r="L2039">
        <v>7.4</v>
      </c>
      <c r="M2039">
        <v>26.6</v>
      </c>
      <c r="N2039" t="s">
        <v>81</v>
      </c>
      <c r="O2039" t="s">
        <v>53</v>
      </c>
      <c r="P2039" t="s">
        <v>58</v>
      </c>
      <c r="R2039">
        <f>SUMIF(A2039:A7038,"C02038",I2039:I7038)</f>
        <v>108891.04</v>
      </c>
      <c r="S2039" s="1">
        <v>1693.76</v>
      </c>
      <c r="T2039">
        <f t="shared" si="233"/>
        <v>648.160952380952</v>
      </c>
      <c r="U2039">
        <f t="shared" si="234"/>
        <v>4468.8</v>
      </c>
      <c r="V2039">
        <f>U2039</f>
        <v>4468.8</v>
      </c>
      <c r="W2039">
        <f t="shared" si="230"/>
        <v>37748.1266666667</v>
      </c>
      <c r="X2039">
        <f t="shared" si="235"/>
        <v>0.300987514762174</v>
      </c>
      <c r="AH2039" t="str">
        <f t="shared" si="232"/>
        <v>1st Quality</v>
      </c>
      <c r="AJ2039">
        <f>((T2039-X2039)*2)/7.4</f>
        <v>175.097287801673</v>
      </c>
      <c r="AK2039">
        <f t="shared" si="229"/>
        <v>849090.847619048</v>
      </c>
    </row>
    <row r="2040" spans="1:37">
      <c r="A2040" t="s">
        <v>2106</v>
      </c>
      <c r="B2040">
        <v>35</v>
      </c>
      <c r="C2040" t="s">
        <v>44</v>
      </c>
      <c r="D2040" t="s">
        <v>45</v>
      </c>
      <c r="E2040">
        <v>749</v>
      </c>
      <c r="F2040">
        <v>37</v>
      </c>
      <c r="G2040">
        <v>2</v>
      </c>
      <c r="H2040">
        <v>9419.77</v>
      </c>
      <c r="I2040">
        <v>19387.3</v>
      </c>
      <c r="J2040">
        <v>21</v>
      </c>
      <c r="K2040">
        <v>0</v>
      </c>
      <c r="L2040">
        <v>10.3</v>
      </c>
      <c r="M2040">
        <v>41.8</v>
      </c>
      <c r="N2040" t="s">
        <v>63</v>
      </c>
      <c r="O2040" t="s">
        <v>47</v>
      </c>
      <c r="P2040" t="s">
        <v>48</v>
      </c>
      <c r="R2040">
        <f>SUMIF(A2040:A7039,"C02039",I2040:I7039)</f>
        <v>19387.3</v>
      </c>
      <c r="S2040" s="1">
        <v>17120.17</v>
      </c>
      <c r="T2040">
        <f t="shared" si="233"/>
        <v>923.204761904762</v>
      </c>
      <c r="U2040">
        <f t="shared" si="234"/>
        <v>877.8</v>
      </c>
      <c r="V2040">
        <f t="shared" si="227"/>
        <v>73.15</v>
      </c>
      <c r="W2040">
        <f t="shared" si="230"/>
        <v>9602.69</v>
      </c>
      <c r="X2040">
        <f t="shared" si="235"/>
        <v>0.0795136186976964</v>
      </c>
      <c r="AH2040" t="str">
        <f t="shared" si="232"/>
        <v>2nd Quality</v>
      </c>
      <c r="AJ2040">
        <f>((T2040-X2040)*2)/10.3</f>
        <v>179.24762102642</v>
      </c>
      <c r="AK2040">
        <f t="shared" si="229"/>
        <v>691480.366666667</v>
      </c>
    </row>
    <row r="2041" spans="1:37">
      <c r="A2041" t="s">
        <v>2107</v>
      </c>
      <c r="B2041">
        <v>51</v>
      </c>
      <c r="C2041" t="s">
        <v>50</v>
      </c>
      <c r="D2041" t="s">
        <v>60</v>
      </c>
      <c r="E2041">
        <v>1110</v>
      </c>
      <c r="F2041">
        <v>63</v>
      </c>
      <c r="G2041">
        <v>2</v>
      </c>
      <c r="H2041">
        <v>947.55</v>
      </c>
      <c r="I2041">
        <v>1693.76</v>
      </c>
      <c r="J2041">
        <v>12</v>
      </c>
      <c r="K2041">
        <v>0</v>
      </c>
      <c r="L2041">
        <v>19.6</v>
      </c>
      <c r="M2041">
        <v>63</v>
      </c>
      <c r="N2041" t="s">
        <v>78</v>
      </c>
      <c r="O2041" t="s">
        <v>47</v>
      </c>
      <c r="P2041" t="s">
        <v>58</v>
      </c>
      <c r="R2041">
        <f>SUMIF(A2041:A7040,"C02040",I2041:I7040)</f>
        <v>1693.76</v>
      </c>
      <c r="S2041" s="1">
        <v>1208.58</v>
      </c>
      <c r="T2041">
        <f t="shared" si="233"/>
        <v>141.146666666667</v>
      </c>
      <c r="U2041">
        <f t="shared" si="234"/>
        <v>756</v>
      </c>
      <c r="V2041">
        <f t="shared" si="227"/>
        <v>63</v>
      </c>
      <c r="W2041">
        <f t="shared" si="230"/>
        <v>880.77</v>
      </c>
      <c r="X2041">
        <f t="shared" si="235"/>
        <v>1.17144214025645</v>
      </c>
      <c r="AH2041" t="str">
        <f t="shared" si="232"/>
        <v>3rd Quality</v>
      </c>
      <c r="AJ2041">
        <f>((T2041-X2041)*2)/19.6</f>
        <v>14.2831861761643</v>
      </c>
      <c r="AK2041">
        <f t="shared" si="229"/>
        <v>156672.8</v>
      </c>
    </row>
    <row r="2042" spans="1:37">
      <c r="A2042" t="s">
        <v>2108</v>
      </c>
      <c r="B2042">
        <v>33</v>
      </c>
      <c r="C2042" t="s">
        <v>44</v>
      </c>
      <c r="D2042" t="s">
        <v>51</v>
      </c>
      <c r="E2042">
        <v>1213</v>
      </c>
      <c r="F2042">
        <v>11</v>
      </c>
      <c r="G2042">
        <v>12</v>
      </c>
      <c r="H2042">
        <v>1378.14</v>
      </c>
      <c r="I2042">
        <v>17120.17</v>
      </c>
      <c r="J2042">
        <v>66</v>
      </c>
      <c r="K2042">
        <v>1</v>
      </c>
      <c r="L2042">
        <v>28</v>
      </c>
      <c r="M2042">
        <v>46.5</v>
      </c>
      <c r="N2042" t="s">
        <v>57</v>
      </c>
      <c r="O2042" t="s">
        <v>53</v>
      </c>
      <c r="P2042" t="s">
        <v>68</v>
      </c>
      <c r="R2042">
        <f>SUMIF(A2042:A7041,"C02041",I2042:I7041)</f>
        <v>17120.17</v>
      </c>
      <c r="S2042" s="1">
        <v>36153.04</v>
      </c>
      <c r="T2042">
        <f t="shared" si="233"/>
        <v>259.396515151515</v>
      </c>
      <c r="U2042">
        <f t="shared" si="234"/>
        <v>3069</v>
      </c>
      <c r="V2042">
        <f>U2042</f>
        <v>3069</v>
      </c>
      <c r="W2042">
        <f t="shared" si="230"/>
        <v>6166.43666666667</v>
      </c>
      <c r="X2042">
        <f t="shared" si="235"/>
        <v>0.880171825794186</v>
      </c>
      <c r="AH2042" t="str">
        <f t="shared" si="232"/>
        <v>3rd Quality</v>
      </c>
      <c r="AJ2042">
        <f>((T2042-X2042)*2)/28</f>
        <v>18.4654530946943</v>
      </c>
      <c r="AK2042">
        <f t="shared" si="229"/>
        <v>314647.972878788</v>
      </c>
    </row>
    <row r="2043" spans="1:37">
      <c r="A2043" t="s">
        <v>2109</v>
      </c>
      <c r="B2043">
        <v>29</v>
      </c>
      <c r="C2043" t="s">
        <v>44</v>
      </c>
      <c r="D2043" t="s">
        <v>45</v>
      </c>
      <c r="E2043">
        <v>383</v>
      </c>
      <c r="F2043">
        <v>193</v>
      </c>
      <c r="G2043">
        <v>1</v>
      </c>
      <c r="H2043">
        <v>1108.61</v>
      </c>
      <c r="I2043">
        <v>1208.58</v>
      </c>
      <c r="J2043">
        <v>10</v>
      </c>
      <c r="K2043">
        <v>0</v>
      </c>
      <c r="L2043">
        <v>19.5</v>
      </c>
      <c r="M2043">
        <v>46.3</v>
      </c>
      <c r="N2043" t="s">
        <v>46</v>
      </c>
      <c r="O2043" t="s">
        <v>53</v>
      </c>
      <c r="P2043" t="s">
        <v>68</v>
      </c>
      <c r="R2043">
        <f>SUMIF(A2043:A7042,"C02042",I2043:I7042)</f>
        <v>1208.58</v>
      </c>
      <c r="S2043" s="1">
        <v>2799.39</v>
      </c>
      <c r="T2043">
        <f t="shared" si="233"/>
        <v>120.858</v>
      </c>
      <c r="U2043">
        <f t="shared" si="234"/>
        <v>463</v>
      </c>
      <c r="V2043">
        <f t="shared" si="227"/>
        <v>38.5833333333333</v>
      </c>
      <c r="W2043">
        <f t="shared" si="230"/>
        <v>772.73</v>
      </c>
      <c r="X2043">
        <f t="shared" si="235"/>
        <v>0.345477670235701</v>
      </c>
      <c r="AH2043" t="str">
        <f t="shared" si="232"/>
        <v>3rd Quality</v>
      </c>
      <c r="AJ2043">
        <f>((T2043-X2043)*2)/19.5</f>
        <v>12.3602587004886</v>
      </c>
      <c r="AK2043">
        <f t="shared" si="229"/>
        <v>46288.614</v>
      </c>
    </row>
    <row r="2044" spans="1:37">
      <c r="A2044" t="s">
        <v>2110</v>
      </c>
      <c r="B2044">
        <v>45</v>
      </c>
      <c r="C2044" t="s">
        <v>44</v>
      </c>
      <c r="D2044" t="s">
        <v>60</v>
      </c>
      <c r="E2044">
        <v>1293</v>
      </c>
      <c r="F2044">
        <v>1</v>
      </c>
      <c r="G2044">
        <v>5</v>
      </c>
      <c r="H2044">
        <v>6861.3</v>
      </c>
      <c r="I2044">
        <v>36153.04</v>
      </c>
      <c r="J2044">
        <v>28</v>
      </c>
      <c r="K2044">
        <v>0</v>
      </c>
      <c r="L2044">
        <v>0</v>
      </c>
      <c r="M2044">
        <v>58.7</v>
      </c>
      <c r="N2044" t="s">
        <v>81</v>
      </c>
      <c r="O2044" t="s">
        <v>75</v>
      </c>
      <c r="P2044" t="s">
        <v>58</v>
      </c>
      <c r="R2044">
        <f>SUMIF(A2044:A7043,"C02043",I2044:I7043)</f>
        <v>36153.04</v>
      </c>
      <c r="S2044" s="1">
        <v>932.94</v>
      </c>
      <c r="T2044">
        <f t="shared" si="233"/>
        <v>1291.18</v>
      </c>
      <c r="U2044">
        <f t="shared" si="234"/>
        <v>1643.6</v>
      </c>
      <c r="V2044">
        <f t="shared" si="227"/>
        <v>136.966666666667</v>
      </c>
      <c r="W2044">
        <f t="shared" si="230"/>
        <v>14338.4466666667</v>
      </c>
      <c r="X2044">
        <f t="shared" si="235"/>
        <v>0.188448253246469</v>
      </c>
      <c r="AH2044" t="str">
        <f t="shared" si="232"/>
        <v>3rd Quality</v>
      </c>
      <c r="AJ2044">
        <f>((T2044-X2044)*2)</f>
        <v>2581.98310349351</v>
      </c>
      <c r="AK2044">
        <f t="shared" si="229"/>
        <v>1669495.74</v>
      </c>
    </row>
    <row r="2045" spans="1:37">
      <c r="A2045" t="s">
        <v>2111</v>
      </c>
      <c r="B2045">
        <v>32</v>
      </c>
      <c r="C2045" t="s">
        <v>44</v>
      </c>
      <c r="D2045" t="s">
        <v>60</v>
      </c>
      <c r="E2045">
        <v>1103</v>
      </c>
      <c r="F2045">
        <v>365</v>
      </c>
      <c r="G2045">
        <v>1</v>
      </c>
      <c r="H2045">
        <v>2855.97</v>
      </c>
      <c r="I2045">
        <v>2799.39</v>
      </c>
      <c r="J2045">
        <v>13</v>
      </c>
      <c r="K2045">
        <v>0</v>
      </c>
      <c r="L2045">
        <v>27.9</v>
      </c>
      <c r="M2045">
        <v>20.5</v>
      </c>
      <c r="N2045" t="s">
        <v>78</v>
      </c>
      <c r="O2045" t="s">
        <v>47</v>
      </c>
      <c r="P2045" t="s">
        <v>58</v>
      </c>
      <c r="R2045">
        <f>SUMIF(A2045:A7044,"C02044",I2045:I7044)</f>
        <v>2799.39</v>
      </c>
      <c r="S2045" s="1">
        <v>94089.67</v>
      </c>
      <c r="T2045">
        <f t="shared" si="233"/>
        <v>215.337692307692</v>
      </c>
      <c r="U2045">
        <f t="shared" si="234"/>
        <v>266.5</v>
      </c>
      <c r="V2045">
        <f t="shared" si="227"/>
        <v>22.2083333333333</v>
      </c>
      <c r="W2045">
        <f t="shared" si="230"/>
        <v>1885.45333333333</v>
      </c>
      <c r="X2045">
        <f t="shared" si="235"/>
        <v>0.386208538605097</v>
      </c>
      <c r="AH2045" t="str">
        <f t="shared" si="232"/>
        <v>3rd Quality</v>
      </c>
      <c r="AJ2045">
        <f>((T2045-X2045)*2)/27.9</f>
        <v>15.408708513913</v>
      </c>
      <c r="AK2045">
        <f t="shared" si="229"/>
        <v>237517.474615385</v>
      </c>
    </row>
    <row r="2046" spans="1:37">
      <c r="A2046" t="s">
        <v>2112</v>
      </c>
      <c r="B2046">
        <v>18</v>
      </c>
      <c r="C2046" t="s">
        <v>44</v>
      </c>
      <c r="D2046" t="s">
        <v>51</v>
      </c>
      <c r="E2046">
        <v>584</v>
      </c>
      <c r="F2046">
        <v>227</v>
      </c>
      <c r="G2046">
        <v>1</v>
      </c>
      <c r="H2046">
        <v>1027.61</v>
      </c>
      <c r="I2046">
        <v>932.94</v>
      </c>
      <c r="J2046">
        <v>18</v>
      </c>
      <c r="K2046">
        <v>0</v>
      </c>
      <c r="L2046">
        <v>2.4</v>
      </c>
      <c r="M2046">
        <v>28.2</v>
      </c>
      <c r="N2046" t="s">
        <v>61</v>
      </c>
      <c r="O2046" t="s">
        <v>47</v>
      </c>
      <c r="P2046" t="s">
        <v>68</v>
      </c>
      <c r="R2046">
        <f>SUMIF(A2046:A7045,"C02045",I2046:I7045)</f>
        <v>932.94</v>
      </c>
      <c r="S2046" s="1">
        <v>9313.96</v>
      </c>
      <c r="T2046">
        <f t="shared" si="233"/>
        <v>51.83</v>
      </c>
      <c r="U2046">
        <f t="shared" si="234"/>
        <v>507.6</v>
      </c>
      <c r="V2046">
        <f t="shared" si="227"/>
        <v>42.3</v>
      </c>
      <c r="W2046">
        <f t="shared" si="230"/>
        <v>653.85</v>
      </c>
      <c r="X2046">
        <f t="shared" si="235"/>
        <v>0.568308988818715</v>
      </c>
      <c r="AH2046" t="str">
        <f t="shared" si="232"/>
        <v>3rd Quality</v>
      </c>
      <c r="AJ2046">
        <f>((T2046-X2046)*2)/2.4</f>
        <v>42.7180758426511</v>
      </c>
      <c r="AK2046">
        <f t="shared" si="229"/>
        <v>30268.72</v>
      </c>
    </row>
    <row r="2047" spans="1:37">
      <c r="A2047" t="s">
        <v>2113</v>
      </c>
      <c r="B2047">
        <v>41</v>
      </c>
      <c r="C2047" t="s">
        <v>44</v>
      </c>
      <c r="D2047" t="s">
        <v>45</v>
      </c>
      <c r="E2047">
        <v>600</v>
      </c>
      <c r="F2047">
        <v>1</v>
      </c>
      <c r="G2047">
        <v>29</v>
      </c>
      <c r="H2047">
        <v>3459.3</v>
      </c>
      <c r="I2047">
        <v>94089.67</v>
      </c>
      <c r="J2047">
        <v>65</v>
      </c>
      <c r="K2047">
        <v>1</v>
      </c>
      <c r="L2047">
        <v>18.2</v>
      </c>
      <c r="M2047">
        <v>27.3</v>
      </c>
      <c r="N2047" t="s">
        <v>61</v>
      </c>
      <c r="O2047" t="s">
        <v>47</v>
      </c>
      <c r="P2047" t="s">
        <v>58</v>
      </c>
      <c r="R2047">
        <f>SUMIF(A2047:A7046,"C02046",I2047:I7046)</f>
        <v>94089.67</v>
      </c>
      <c r="S2047" s="1">
        <v>75113.51</v>
      </c>
      <c r="T2047">
        <f t="shared" si="233"/>
        <v>1447.53338461538</v>
      </c>
      <c r="U2047">
        <f t="shared" si="234"/>
        <v>1774.5</v>
      </c>
      <c r="V2047">
        <f>U2047</f>
        <v>1774.5</v>
      </c>
      <c r="W2047">
        <f t="shared" si="230"/>
        <v>32516.6566666667</v>
      </c>
      <c r="X2047">
        <f t="shared" si="235"/>
        <v>0.173445494753274</v>
      </c>
      <c r="AH2047" t="str">
        <f t="shared" si="232"/>
        <v>2nd Quality</v>
      </c>
      <c r="AJ2047">
        <f>((T2047-X2047)*2)/18.2</f>
        <v>159.050542760508</v>
      </c>
      <c r="AK2047">
        <f t="shared" si="229"/>
        <v>868520.030769231</v>
      </c>
    </row>
    <row r="2048" spans="1:37">
      <c r="A2048" t="s">
        <v>2114</v>
      </c>
      <c r="B2048">
        <v>25</v>
      </c>
      <c r="C2048" t="s">
        <v>44</v>
      </c>
      <c r="D2048" t="s">
        <v>45</v>
      </c>
      <c r="E2048">
        <v>445</v>
      </c>
      <c r="F2048">
        <v>81</v>
      </c>
      <c r="G2048">
        <v>10</v>
      </c>
      <c r="H2048">
        <v>986.96</v>
      </c>
      <c r="I2048">
        <v>9313.96</v>
      </c>
      <c r="J2048">
        <v>68</v>
      </c>
      <c r="K2048">
        <v>2</v>
      </c>
      <c r="L2048">
        <v>32.9</v>
      </c>
      <c r="M2048">
        <v>2.6</v>
      </c>
      <c r="N2048" t="s">
        <v>46</v>
      </c>
      <c r="O2048" t="s">
        <v>75</v>
      </c>
      <c r="P2048" t="s">
        <v>48</v>
      </c>
      <c r="R2048">
        <f>SUMIF(A2048:A7047,"C02047",I2048:I7047)</f>
        <v>9313.96</v>
      </c>
      <c r="S2048" s="1">
        <v>89211.29</v>
      </c>
      <c r="T2048">
        <f t="shared" si="233"/>
        <v>136.97</v>
      </c>
      <c r="U2048">
        <f t="shared" si="234"/>
        <v>176.8</v>
      </c>
      <c r="V2048">
        <f>U2048</f>
        <v>176.8</v>
      </c>
      <c r="W2048">
        <f t="shared" si="230"/>
        <v>3433.97333333333</v>
      </c>
      <c r="X2048">
        <f t="shared" si="235"/>
        <v>0.450879468266191</v>
      </c>
      <c r="AH2048" t="str">
        <f t="shared" si="232"/>
        <v>3rd Quality</v>
      </c>
      <c r="AJ2048">
        <f>((T2048-X2048)*2)/32.9</f>
        <v>8.29903468278017</v>
      </c>
      <c r="AK2048">
        <f t="shared" si="229"/>
        <v>60951.65</v>
      </c>
    </row>
    <row r="2049" spans="1:37">
      <c r="A2049" t="s">
        <v>2115</v>
      </c>
      <c r="B2049">
        <v>41</v>
      </c>
      <c r="C2049" t="s">
        <v>50</v>
      </c>
      <c r="D2049" t="s">
        <v>45</v>
      </c>
      <c r="E2049">
        <v>857</v>
      </c>
      <c r="F2049">
        <v>5</v>
      </c>
      <c r="G2049">
        <v>8</v>
      </c>
      <c r="H2049">
        <v>9655.87</v>
      </c>
      <c r="I2049">
        <v>75113.51</v>
      </c>
      <c r="J2049">
        <v>21</v>
      </c>
      <c r="K2049">
        <v>0</v>
      </c>
      <c r="L2049">
        <v>8.4</v>
      </c>
      <c r="M2049">
        <v>16.8</v>
      </c>
      <c r="N2049" t="s">
        <v>61</v>
      </c>
      <c r="O2049" t="s">
        <v>47</v>
      </c>
      <c r="P2049" t="s">
        <v>68</v>
      </c>
      <c r="R2049">
        <f>SUMIF(A2049:A7048,"C02048",I2049:I7048)</f>
        <v>75113.51</v>
      </c>
      <c r="S2049" s="1">
        <v>5019.4</v>
      </c>
      <c r="T2049">
        <f t="shared" si="233"/>
        <v>3576.83380952381</v>
      </c>
      <c r="U2049">
        <f t="shared" si="234"/>
        <v>352.8</v>
      </c>
      <c r="V2049">
        <f t="shared" ref="V2049:V2112" si="236">U2049/12</f>
        <v>29.4</v>
      </c>
      <c r="W2049">
        <f t="shared" si="230"/>
        <v>28256.7933333333</v>
      </c>
      <c r="X2049">
        <f t="shared" si="235"/>
        <v>0.0887543017874101</v>
      </c>
      <c r="AH2049" t="str">
        <f t="shared" si="232"/>
        <v>2nd Quality</v>
      </c>
      <c r="AJ2049">
        <f>((T2049-X2049)*2)/8.4</f>
        <v>851.605965529053</v>
      </c>
      <c r="AK2049">
        <f t="shared" si="229"/>
        <v>3065346.5747619</v>
      </c>
    </row>
    <row r="2050" spans="1:37">
      <c r="A2050" t="s">
        <v>2116</v>
      </c>
      <c r="B2050">
        <v>43</v>
      </c>
      <c r="C2050" t="s">
        <v>44</v>
      </c>
      <c r="D2050" t="s">
        <v>51</v>
      </c>
      <c r="E2050">
        <v>431</v>
      </c>
      <c r="F2050">
        <v>6</v>
      </c>
      <c r="G2050">
        <v>21</v>
      </c>
      <c r="H2050">
        <v>4658.05</v>
      </c>
      <c r="I2050">
        <v>89211.29</v>
      </c>
      <c r="J2050">
        <v>134</v>
      </c>
      <c r="K2050">
        <v>4</v>
      </c>
      <c r="L2050">
        <v>13.2</v>
      </c>
      <c r="M2050">
        <v>51.3</v>
      </c>
      <c r="N2050" t="s">
        <v>78</v>
      </c>
      <c r="O2050" t="s">
        <v>47</v>
      </c>
      <c r="P2050" t="s">
        <v>58</v>
      </c>
      <c r="R2050">
        <f>SUMIF(A2050:A7049,"C02049",I2050:I7049)</f>
        <v>89211.29</v>
      </c>
      <c r="S2050" s="1">
        <v>1542.83</v>
      </c>
      <c r="T2050">
        <f t="shared" si="233"/>
        <v>665.755895522388</v>
      </c>
      <c r="U2050">
        <f t="shared" si="234"/>
        <v>6874.2</v>
      </c>
      <c r="V2050">
        <f>U2050</f>
        <v>6874.2</v>
      </c>
      <c r="W2050">
        <f t="shared" si="230"/>
        <v>31290.1133333333</v>
      </c>
      <c r="X2050">
        <f t="shared" si="235"/>
        <v>0.0925279891800217</v>
      </c>
      <c r="AH2050" t="str">
        <f t="shared" si="232"/>
        <v>3rd Quality</v>
      </c>
      <c r="AJ2050">
        <f>((T2050-X2050)*2)/13.2</f>
        <v>100.85808598988</v>
      </c>
      <c r="AK2050">
        <f t="shared" si="229"/>
        <v>286940.790970149</v>
      </c>
    </row>
    <row r="2051" spans="1:37">
      <c r="A2051" t="s">
        <v>2117</v>
      </c>
      <c r="B2051">
        <v>48</v>
      </c>
      <c r="C2051" t="s">
        <v>50</v>
      </c>
      <c r="D2051" t="s">
        <v>60</v>
      </c>
      <c r="E2051">
        <v>1124</v>
      </c>
      <c r="F2051">
        <v>118</v>
      </c>
      <c r="G2051">
        <v>7</v>
      </c>
      <c r="H2051">
        <v>704.27</v>
      </c>
      <c r="I2051">
        <v>5019.4</v>
      </c>
      <c r="J2051">
        <v>59</v>
      </c>
      <c r="K2051">
        <v>0</v>
      </c>
      <c r="L2051">
        <v>11</v>
      </c>
      <c r="M2051">
        <v>15.5</v>
      </c>
      <c r="N2051" t="s">
        <v>78</v>
      </c>
      <c r="O2051" t="s">
        <v>47</v>
      </c>
      <c r="P2051" t="s">
        <v>58</v>
      </c>
      <c r="R2051">
        <f>SUMIF(A2051:A7050,"C02050",I2051:I7050)</f>
        <v>5019.4</v>
      </c>
      <c r="S2051" s="1">
        <v>55499.32</v>
      </c>
      <c r="T2051">
        <f t="shared" si="233"/>
        <v>85.0745762711864</v>
      </c>
      <c r="U2051">
        <f t="shared" si="234"/>
        <v>914.5</v>
      </c>
      <c r="V2051">
        <f t="shared" si="236"/>
        <v>76.2083333333333</v>
      </c>
      <c r="W2051">
        <f t="shared" si="230"/>
        <v>1908.22333333333</v>
      </c>
      <c r="X2051">
        <f t="shared" si="235"/>
        <v>1.59597881494313</v>
      </c>
      <c r="AH2051" t="str">
        <f t="shared" si="232"/>
        <v>3rd Quality</v>
      </c>
      <c r="AJ2051">
        <f>((T2051-X2051)*2)/11</f>
        <v>15.1779268102261</v>
      </c>
      <c r="AK2051">
        <f t="shared" ref="AK2051:AK2114" si="237">I2051/J2051*E2051</f>
        <v>95623.8237288135</v>
      </c>
    </row>
    <row r="2052" spans="1:37">
      <c r="A2052" t="s">
        <v>2118</v>
      </c>
      <c r="B2052">
        <v>39</v>
      </c>
      <c r="C2052" t="s">
        <v>50</v>
      </c>
      <c r="D2052" t="s">
        <v>60</v>
      </c>
      <c r="E2052">
        <v>449</v>
      </c>
      <c r="F2052">
        <v>309</v>
      </c>
      <c r="G2052">
        <v>1</v>
      </c>
      <c r="H2052">
        <v>1593.97</v>
      </c>
      <c r="I2052">
        <v>1542.83</v>
      </c>
      <c r="J2052">
        <v>13</v>
      </c>
      <c r="K2052">
        <v>0</v>
      </c>
      <c r="L2052">
        <v>13.6</v>
      </c>
      <c r="M2052">
        <v>31.7</v>
      </c>
      <c r="N2052" t="s">
        <v>78</v>
      </c>
      <c r="O2052" t="s">
        <v>53</v>
      </c>
      <c r="P2052" t="s">
        <v>58</v>
      </c>
      <c r="R2052">
        <f>SUMIF(A2052:A7051,"C02051",I2052:I7051)</f>
        <v>1542.83</v>
      </c>
      <c r="S2052" s="1">
        <v>5757.08</v>
      </c>
      <c r="T2052">
        <f t="shared" si="233"/>
        <v>118.679230769231</v>
      </c>
      <c r="U2052">
        <f t="shared" si="234"/>
        <v>412.1</v>
      </c>
      <c r="V2052">
        <f t="shared" si="236"/>
        <v>34.3416666666667</v>
      </c>
      <c r="W2052">
        <f t="shared" si="230"/>
        <v>1045.93333333333</v>
      </c>
      <c r="X2052">
        <f t="shared" si="235"/>
        <v>0.281686606397862</v>
      </c>
      <c r="AH2052" t="str">
        <f t="shared" si="232"/>
        <v>3rd Quality</v>
      </c>
      <c r="AJ2052">
        <f>((T2052-X2052)*2)/13.6</f>
        <v>17.4114035533578</v>
      </c>
      <c r="AK2052">
        <f t="shared" si="237"/>
        <v>53286.9746153846</v>
      </c>
    </row>
    <row r="2053" spans="1:37">
      <c r="A2053" t="s">
        <v>2119</v>
      </c>
      <c r="B2053">
        <v>42</v>
      </c>
      <c r="C2053" t="s">
        <v>44</v>
      </c>
      <c r="D2053" t="s">
        <v>60</v>
      </c>
      <c r="E2053">
        <v>1086</v>
      </c>
      <c r="F2053">
        <v>13</v>
      </c>
      <c r="G2053">
        <v>30</v>
      </c>
      <c r="H2053">
        <v>1851.59</v>
      </c>
      <c r="I2053">
        <v>55499.32</v>
      </c>
      <c r="J2053">
        <v>156</v>
      </c>
      <c r="K2053">
        <v>2</v>
      </c>
      <c r="L2053">
        <v>11.5</v>
      </c>
      <c r="M2053">
        <v>45.9</v>
      </c>
      <c r="N2053" t="s">
        <v>81</v>
      </c>
      <c r="O2053" t="s">
        <v>53</v>
      </c>
      <c r="P2053" t="s">
        <v>58</v>
      </c>
      <c r="R2053">
        <f>SUMIF(A2053:A7052,"C02052",I2053:I7052)</f>
        <v>55499.32</v>
      </c>
      <c r="S2053" s="1">
        <v>1457.7</v>
      </c>
      <c r="T2053">
        <f t="shared" si="233"/>
        <v>355.764871794872</v>
      </c>
      <c r="U2053">
        <f t="shared" si="234"/>
        <v>7160.4</v>
      </c>
      <c r="V2053">
        <f>U2053</f>
        <v>7160.4</v>
      </c>
      <c r="W2053">
        <f t="shared" si="230"/>
        <v>19117.3033333333</v>
      </c>
      <c r="X2053">
        <f t="shared" si="235"/>
        <v>0.586522934342916</v>
      </c>
      <c r="AH2053" t="str">
        <f t="shared" si="232"/>
        <v>2nd Quality</v>
      </c>
      <c r="AJ2053">
        <f>((T2053-X2053)*2)/11.5</f>
        <v>61.7701476279181</v>
      </c>
      <c r="AK2053">
        <f t="shared" si="237"/>
        <v>386360.650769231</v>
      </c>
    </row>
    <row r="2054" spans="1:37">
      <c r="A2054" t="s">
        <v>2120</v>
      </c>
      <c r="B2054">
        <v>32</v>
      </c>
      <c r="C2054" t="s">
        <v>44</v>
      </c>
      <c r="D2054" t="s">
        <v>60</v>
      </c>
      <c r="E2054">
        <v>1168</v>
      </c>
      <c r="F2054">
        <v>52</v>
      </c>
      <c r="G2054">
        <v>5</v>
      </c>
      <c r="H2054">
        <v>1214.02</v>
      </c>
      <c r="I2054">
        <v>5757.08</v>
      </c>
      <c r="J2054">
        <v>22</v>
      </c>
      <c r="K2054">
        <v>0</v>
      </c>
      <c r="L2054">
        <v>24.3</v>
      </c>
      <c r="M2054">
        <v>32.4</v>
      </c>
      <c r="N2054" t="s">
        <v>61</v>
      </c>
      <c r="O2054" t="s">
        <v>75</v>
      </c>
      <c r="P2054" t="s">
        <v>58</v>
      </c>
      <c r="R2054">
        <f>SUMIF(A2054:A7053,"C02053",I2054:I7053)</f>
        <v>5757.08</v>
      </c>
      <c r="S2054" s="1">
        <v>10562.07</v>
      </c>
      <c r="T2054">
        <f t="shared" si="233"/>
        <v>261.685454545455</v>
      </c>
      <c r="U2054">
        <f t="shared" si="234"/>
        <v>712.8</v>
      </c>
      <c r="V2054">
        <f t="shared" si="236"/>
        <v>59.4</v>
      </c>
      <c r="W2054">
        <f t="shared" si="230"/>
        <v>2324.03333333333</v>
      </c>
      <c r="X2054">
        <f t="shared" si="235"/>
        <v>0.962092881501128</v>
      </c>
      <c r="AH2054" t="str">
        <f t="shared" si="232"/>
        <v>3rd Quality</v>
      </c>
      <c r="AJ2054">
        <f>((T2054-X2054)*2)/24.3</f>
        <v>21.4587128941526</v>
      </c>
      <c r="AK2054">
        <f t="shared" si="237"/>
        <v>305648.610909091</v>
      </c>
    </row>
    <row r="2055" spans="1:37">
      <c r="A2055" t="s">
        <v>2121</v>
      </c>
      <c r="B2055">
        <v>46</v>
      </c>
      <c r="C2055" t="s">
        <v>50</v>
      </c>
      <c r="D2055" t="s">
        <v>60</v>
      </c>
      <c r="E2055">
        <v>787</v>
      </c>
      <c r="F2055">
        <v>44</v>
      </c>
      <c r="G2055">
        <v>3</v>
      </c>
      <c r="H2055">
        <v>491.34</v>
      </c>
      <c r="I2055">
        <v>1457.7</v>
      </c>
      <c r="J2055">
        <v>33</v>
      </c>
      <c r="K2055">
        <v>0</v>
      </c>
      <c r="L2055">
        <v>32.1</v>
      </c>
      <c r="M2055">
        <v>12.6</v>
      </c>
      <c r="N2055" t="s">
        <v>78</v>
      </c>
      <c r="O2055" t="s">
        <v>47</v>
      </c>
      <c r="P2055" t="s">
        <v>48</v>
      </c>
      <c r="R2055">
        <f>SUMIF(A2055:A7054,"C02054",I2055:I7054)</f>
        <v>1457.7</v>
      </c>
      <c r="S2055" s="1">
        <v>8277.53</v>
      </c>
      <c r="T2055">
        <f t="shared" si="233"/>
        <v>44.1727272727273</v>
      </c>
      <c r="U2055">
        <f t="shared" si="234"/>
        <v>415.8</v>
      </c>
      <c r="V2055">
        <f t="shared" si="236"/>
        <v>34.65</v>
      </c>
      <c r="W2055">
        <f t="shared" si="230"/>
        <v>650.013333333333</v>
      </c>
      <c r="X2055">
        <f t="shared" si="235"/>
        <v>1.60174217446168</v>
      </c>
      <c r="AH2055" t="str">
        <f t="shared" si="232"/>
        <v>3rd Quality</v>
      </c>
      <c r="AJ2055">
        <f>((T2055-X2055)*2)/32.1</f>
        <v>2.65239782543711</v>
      </c>
      <c r="AK2055">
        <f t="shared" si="237"/>
        <v>34763.9363636364</v>
      </c>
    </row>
    <row r="2056" spans="1:37">
      <c r="A2056" t="s">
        <v>2122</v>
      </c>
      <c r="B2056">
        <v>45</v>
      </c>
      <c r="C2056" t="s">
        <v>50</v>
      </c>
      <c r="D2056" t="s">
        <v>45</v>
      </c>
      <c r="E2056">
        <v>751</v>
      </c>
      <c r="F2056">
        <v>54</v>
      </c>
      <c r="G2056">
        <v>7</v>
      </c>
      <c r="H2056">
        <v>1435.6</v>
      </c>
      <c r="I2056">
        <v>10562.07</v>
      </c>
      <c r="J2056">
        <v>67</v>
      </c>
      <c r="K2056">
        <v>1</v>
      </c>
      <c r="L2056">
        <v>24.3</v>
      </c>
      <c r="M2056">
        <v>2.1</v>
      </c>
      <c r="N2056" t="s">
        <v>78</v>
      </c>
      <c r="O2056" t="s">
        <v>75</v>
      </c>
      <c r="P2056" t="s">
        <v>58</v>
      </c>
      <c r="R2056">
        <f>SUMIF(A2056:A7055,"C02055",I2056:I7055)</f>
        <v>10562.07</v>
      </c>
      <c r="S2056" s="1">
        <v>2263.59</v>
      </c>
      <c r="T2056">
        <f t="shared" si="233"/>
        <v>157.642835820896</v>
      </c>
      <c r="U2056">
        <f t="shared" si="234"/>
        <v>140.7</v>
      </c>
      <c r="V2056">
        <f>U2056</f>
        <v>140.7</v>
      </c>
      <c r="W2056">
        <f t="shared" si="230"/>
        <v>3999.55666666667</v>
      </c>
      <c r="X2056">
        <f t="shared" si="235"/>
        <v>0.523126219002508</v>
      </c>
      <c r="AH2056" t="str">
        <f t="shared" si="232"/>
        <v>3rd Quality</v>
      </c>
      <c r="AJ2056">
        <f>((T2056-X2056)*2)/24.3</f>
        <v>12.9316633417196</v>
      </c>
      <c r="AK2056">
        <f t="shared" si="237"/>
        <v>118389.769701493</v>
      </c>
    </row>
    <row r="2057" spans="1:37">
      <c r="A2057" t="s">
        <v>2123</v>
      </c>
      <c r="B2057">
        <v>44</v>
      </c>
      <c r="C2057" t="s">
        <v>44</v>
      </c>
      <c r="D2057" t="s">
        <v>45</v>
      </c>
      <c r="E2057">
        <v>1147</v>
      </c>
      <c r="F2057">
        <v>49</v>
      </c>
      <c r="G2057">
        <v>8</v>
      </c>
      <c r="H2057">
        <v>1148.16</v>
      </c>
      <c r="I2057">
        <v>8277.53</v>
      </c>
      <c r="J2057">
        <v>37</v>
      </c>
      <c r="K2057">
        <v>1</v>
      </c>
      <c r="L2057">
        <v>22.1</v>
      </c>
      <c r="M2057">
        <v>2</v>
      </c>
      <c r="N2057" t="s">
        <v>46</v>
      </c>
      <c r="O2057" t="s">
        <v>47</v>
      </c>
      <c r="P2057" t="s">
        <v>68</v>
      </c>
      <c r="R2057">
        <f>SUMIF(A2057:A7056,"C02056",I2057:I7056)</f>
        <v>8277.53</v>
      </c>
      <c r="S2057" s="1">
        <v>22143.48</v>
      </c>
      <c r="T2057">
        <f t="shared" si="233"/>
        <v>223.717027027027</v>
      </c>
      <c r="U2057">
        <f t="shared" si="234"/>
        <v>74</v>
      </c>
      <c r="V2057">
        <f>U2057</f>
        <v>74</v>
      </c>
      <c r="W2057">
        <f t="shared" ref="W2057:W2120" si="238">(H2057+I2057+1)/3</f>
        <v>3142.23</v>
      </c>
      <c r="X2057">
        <f t="shared" si="235"/>
        <v>0.998989687848383</v>
      </c>
      <c r="AH2057" t="str">
        <f t="shared" si="232"/>
        <v>3rd Quality</v>
      </c>
      <c r="AJ2057">
        <f>((T2057-X2057)*2)/22.1</f>
        <v>20.1554784922334</v>
      </c>
      <c r="AK2057">
        <f t="shared" si="237"/>
        <v>256603.43</v>
      </c>
    </row>
    <row r="2058" spans="1:37">
      <c r="A2058" t="s">
        <v>2124</v>
      </c>
      <c r="B2058">
        <v>43</v>
      </c>
      <c r="C2058" t="s">
        <v>44</v>
      </c>
      <c r="D2058" t="s">
        <v>45</v>
      </c>
      <c r="E2058">
        <v>1354</v>
      </c>
      <c r="F2058">
        <v>196</v>
      </c>
      <c r="G2058">
        <v>1</v>
      </c>
      <c r="H2058">
        <v>2258.12</v>
      </c>
      <c r="I2058">
        <v>2263.59</v>
      </c>
      <c r="J2058">
        <v>16</v>
      </c>
      <c r="K2058">
        <v>0</v>
      </c>
      <c r="L2058">
        <v>8.4</v>
      </c>
      <c r="M2058">
        <v>42</v>
      </c>
      <c r="N2058" t="s">
        <v>57</v>
      </c>
      <c r="O2058" t="s">
        <v>47</v>
      </c>
      <c r="P2058" t="s">
        <v>66</v>
      </c>
      <c r="R2058">
        <f>SUMIF(A2058:A7057,"C02057",I2058:I7057)</f>
        <v>2263.59</v>
      </c>
      <c r="S2058" s="1">
        <v>86898.95</v>
      </c>
      <c r="T2058">
        <f t="shared" si="233"/>
        <v>141.474375</v>
      </c>
      <c r="U2058">
        <f t="shared" si="234"/>
        <v>672</v>
      </c>
      <c r="V2058">
        <f t="shared" si="236"/>
        <v>56</v>
      </c>
      <c r="W2058">
        <f t="shared" si="238"/>
        <v>1507.57</v>
      </c>
      <c r="X2058">
        <f t="shared" si="235"/>
        <v>0.599613838059979</v>
      </c>
      <c r="AH2058" t="str">
        <f t="shared" si="232"/>
        <v>3rd Quality</v>
      </c>
      <c r="AJ2058">
        <f>((T2058-X2058)*2)/8.4</f>
        <v>33.5416098004619</v>
      </c>
      <c r="AK2058">
        <f t="shared" si="237"/>
        <v>191556.30375</v>
      </c>
    </row>
    <row r="2059" spans="1:37">
      <c r="A2059" t="s">
        <v>2125</v>
      </c>
      <c r="B2059">
        <v>25</v>
      </c>
      <c r="C2059" t="s">
        <v>44</v>
      </c>
      <c r="D2059" t="s">
        <v>45</v>
      </c>
      <c r="E2059">
        <v>1400</v>
      </c>
      <c r="F2059">
        <v>96</v>
      </c>
      <c r="G2059">
        <v>10</v>
      </c>
      <c r="H2059">
        <v>2153.2</v>
      </c>
      <c r="I2059">
        <v>22143.48</v>
      </c>
      <c r="J2059">
        <v>60</v>
      </c>
      <c r="K2059">
        <v>0</v>
      </c>
      <c r="L2059">
        <v>24.5</v>
      </c>
      <c r="M2059">
        <v>17.7</v>
      </c>
      <c r="N2059" t="s">
        <v>78</v>
      </c>
      <c r="O2059" t="s">
        <v>47</v>
      </c>
      <c r="P2059" t="s">
        <v>58</v>
      </c>
      <c r="R2059">
        <f>SUMIF(A2059:A7058,"C02058",I2059:I7058)</f>
        <v>22143.48</v>
      </c>
      <c r="S2059" s="1">
        <v>133649.59</v>
      </c>
      <c r="T2059">
        <f t="shared" si="233"/>
        <v>369.058</v>
      </c>
      <c r="U2059">
        <f t="shared" si="234"/>
        <v>1062</v>
      </c>
      <c r="V2059">
        <f t="shared" si="236"/>
        <v>88.5</v>
      </c>
      <c r="W2059">
        <f t="shared" si="238"/>
        <v>8099.22666666667</v>
      </c>
      <c r="X2059">
        <f t="shared" si="235"/>
        <v>0.650195058517555</v>
      </c>
      <c r="AH2059" t="str">
        <f t="shared" si="232"/>
        <v>2nd Quality</v>
      </c>
      <c r="AJ2059">
        <f>((T2059-X2059)*2)/24.5</f>
        <v>30.0741065258353</v>
      </c>
      <c r="AK2059">
        <f t="shared" si="237"/>
        <v>516681.2</v>
      </c>
    </row>
    <row r="2060" spans="1:37">
      <c r="A2060" t="s">
        <v>2126</v>
      </c>
      <c r="B2060">
        <v>48</v>
      </c>
      <c r="C2060" t="s">
        <v>44</v>
      </c>
      <c r="D2060" t="s">
        <v>60</v>
      </c>
      <c r="E2060">
        <v>1048</v>
      </c>
      <c r="F2060">
        <v>19</v>
      </c>
      <c r="G2060">
        <v>26</v>
      </c>
      <c r="H2060">
        <v>3212.97</v>
      </c>
      <c r="I2060">
        <v>86898.95</v>
      </c>
      <c r="J2060">
        <v>86</v>
      </c>
      <c r="K2060">
        <v>3</v>
      </c>
      <c r="L2060">
        <v>1</v>
      </c>
      <c r="M2060">
        <v>10</v>
      </c>
      <c r="N2060" t="s">
        <v>52</v>
      </c>
      <c r="O2060" t="s">
        <v>47</v>
      </c>
      <c r="P2060" t="s">
        <v>68</v>
      </c>
      <c r="R2060">
        <f>SUMIF(A2060:A7059,"C02059",I2060:I7059)</f>
        <v>86898.95</v>
      </c>
      <c r="S2060" s="1">
        <v>3068.7</v>
      </c>
      <c r="T2060">
        <f t="shared" si="233"/>
        <v>1010.45290697674</v>
      </c>
      <c r="U2060">
        <f t="shared" si="234"/>
        <v>860</v>
      </c>
      <c r="V2060">
        <f>U2060</f>
        <v>860</v>
      </c>
      <c r="W2060">
        <f t="shared" si="238"/>
        <v>30037.64</v>
      </c>
      <c r="X2060">
        <f t="shared" si="235"/>
        <v>0.326177959956053</v>
      </c>
      <c r="AH2060" t="str">
        <f t="shared" si="232"/>
        <v>3rd Quality</v>
      </c>
      <c r="AJ2060">
        <f>((T2060-X2060)*2)/1</f>
        <v>2020.25345803357</v>
      </c>
      <c r="AK2060">
        <f t="shared" si="237"/>
        <v>1058954.64651163</v>
      </c>
    </row>
    <row r="2061" spans="1:37">
      <c r="A2061" t="s">
        <v>2127</v>
      </c>
      <c r="B2061">
        <v>42</v>
      </c>
      <c r="C2061" t="s">
        <v>44</v>
      </c>
      <c r="D2061" t="s">
        <v>60</v>
      </c>
      <c r="E2061">
        <v>621</v>
      </c>
      <c r="F2061">
        <v>3</v>
      </c>
      <c r="G2061">
        <v>27</v>
      </c>
      <c r="H2061">
        <v>4493.98</v>
      </c>
      <c r="I2061">
        <v>133649.59</v>
      </c>
      <c r="J2061">
        <v>168</v>
      </c>
      <c r="K2061">
        <v>0</v>
      </c>
      <c r="L2061">
        <v>6.4</v>
      </c>
      <c r="M2061">
        <v>34.4</v>
      </c>
      <c r="N2061" t="s">
        <v>78</v>
      </c>
      <c r="O2061" t="s">
        <v>47</v>
      </c>
      <c r="P2061" t="s">
        <v>66</v>
      </c>
      <c r="R2061">
        <f>SUMIF(A2061:A7060,"C02060",I2061:I7060)</f>
        <v>133649.59</v>
      </c>
      <c r="S2061" s="1">
        <v>10054.95</v>
      </c>
      <c r="T2061">
        <f t="shared" si="233"/>
        <v>795.533273809524</v>
      </c>
      <c r="U2061">
        <f t="shared" si="234"/>
        <v>5779.2</v>
      </c>
      <c r="V2061">
        <f t="shared" si="236"/>
        <v>481.6</v>
      </c>
      <c r="W2061">
        <f t="shared" si="238"/>
        <v>46048.19</v>
      </c>
      <c r="X2061">
        <f t="shared" si="235"/>
        <v>0.138184860635784</v>
      </c>
      <c r="AH2061" t="str">
        <f t="shared" si="232"/>
        <v>2nd Quality</v>
      </c>
      <c r="AJ2061">
        <f>((T2061-X2061)*2)/6.4</f>
        <v>248.560965296528</v>
      </c>
      <c r="AK2061">
        <f t="shared" si="237"/>
        <v>494026.163035714</v>
      </c>
    </row>
    <row r="2062" spans="1:37">
      <c r="A2062" t="s">
        <v>2128</v>
      </c>
      <c r="B2062">
        <v>18</v>
      </c>
      <c r="C2062" t="s">
        <v>50</v>
      </c>
      <c r="D2062" t="s">
        <v>45</v>
      </c>
      <c r="E2062">
        <v>753</v>
      </c>
      <c r="F2062">
        <v>160</v>
      </c>
      <c r="G2062">
        <v>1</v>
      </c>
      <c r="H2062">
        <v>2874.74</v>
      </c>
      <c r="I2062">
        <v>3068.7</v>
      </c>
      <c r="J2062">
        <v>12</v>
      </c>
      <c r="K2062">
        <v>0</v>
      </c>
      <c r="L2062">
        <v>26.7</v>
      </c>
      <c r="M2062">
        <v>18.8</v>
      </c>
      <c r="N2062" t="s">
        <v>61</v>
      </c>
      <c r="O2062" t="s">
        <v>47</v>
      </c>
      <c r="P2062" t="s">
        <v>58</v>
      </c>
      <c r="R2062">
        <f>SUMIF(A2062:A7061,"C02061",I2062:I7061)</f>
        <v>3068.7</v>
      </c>
      <c r="S2062" s="1">
        <v>35672.1</v>
      </c>
      <c r="T2062">
        <f t="shared" si="233"/>
        <v>255.725</v>
      </c>
      <c r="U2062">
        <f t="shared" si="234"/>
        <v>225.6</v>
      </c>
      <c r="V2062">
        <f t="shared" si="236"/>
        <v>18.8</v>
      </c>
      <c r="W2062">
        <f t="shared" si="238"/>
        <v>1981.48</v>
      </c>
      <c r="X2062">
        <f t="shared" si="235"/>
        <v>0.261936731669647</v>
      </c>
      <c r="AH2062" t="str">
        <f t="shared" ref="AH2062:AH2125" si="239">IF(AND(W2062&gt;=12550,B2062&lt;=33,E2062&gt;=915),"1st Quality",IF(AND(W2062&gt;=6275,B2062&lt;=43,E2062&gt;=457),"2nd Quality","3rd Quality"))</f>
        <v>3rd Quality</v>
      </c>
      <c r="AJ2062">
        <f>((T2062-X2062)*2)/26.7</f>
        <v>19.1358099826465</v>
      </c>
      <c r="AK2062">
        <f t="shared" si="237"/>
        <v>192560.925</v>
      </c>
    </row>
    <row r="2063" spans="1:37">
      <c r="A2063" t="s">
        <v>2129</v>
      </c>
      <c r="B2063">
        <v>49</v>
      </c>
      <c r="C2063" t="s">
        <v>44</v>
      </c>
      <c r="D2063" t="s">
        <v>60</v>
      </c>
      <c r="E2063">
        <v>500</v>
      </c>
      <c r="F2063">
        <v>23</v>
      </c>
      <c r="G2063">
        <v>10</v>
      </c>
      <c r="H2063">
        <v>950.95</v>
      </c>
      <c r="I2063">
        <v>10054.95</v>
      </c>
      <c r="J2063">
        <v>60</v>
      </c>
      <c r="K2063">
        <v>1</v>
      </c>
      <c r="L2063">
        <v>11</v>
      </c>
      <c r="M2063">
        <v>29.6</v>
      </c>
      <c r="N2063" t="s">
        <v>46</v>
      </c>
      <c r="O2063" t="s">
        <v>47</v>
      </c>
      <c r="P2063" t="s">
        <v>58</v>
      </c>
      <c r="R2063">
        <f>SUMIF(A2063:A7062,"C02062",I2063:I7062)</f>
        <v>10054.95</v>
      </c>
      <c r="S2063" s="1">
        <v>107546.48</v>
      </c>
      <c r="T2063">
        <f t="shared" si="233"/>
        <v>167.5825</v>
      </c>
      <c r="U2063">
        <f t="shared" si="234"/>
        <v>1776</v>
      </c>
      <c r="V2063">
        <f>U2063</f>
        <v>1776</v>
      </c>
      <c r="W2063">
        <f t="shared" si="238"/>
        <v>3668.96666666667</v>
      </c>
      <c r="X2063">
        <f t="shared" si="235"/>
        <v>0.52578999947421</v>
      </c>
      <c r="AH2063" t="str">
        <f t="shared" si="239"/>
        <v>3rd Quality</v>
      </c>
      <c r="AJ2063">
        <f>((T2063-X2063)*2)/11</f>
        <v>30.3739472728229</v>
      </c>
      <c r="AK2063">
        <f t="shared" si="237"/>
        <v>83791.25</v>
      </c>
    </row>
    <row r="2064" spans="1:37">
      <c r="A2064" t="s">
        <v>2130</v>
      </c>
      <c r="B2064">
        <v>32</v>
      </c>
      <c r="C2064" t="s">
        <v>44</v>
      </c>
      <c r="D2064" t="s">
        <v>60</v>
      </c>
      <c r="E2064">
        <v>400</v>
      </c>
      <c r="F2064">
        <v>14</v>
      </c>
      <c r="G2064">
        <v>2</v>
      </c>
      <c r="H2064">
        <v>16388.61</v>
      </c>
      <c r="I2064">
        <v>35672.1</v>
      </c>
      <c r="J2064">
        <v>20</v>
      </c>
      <c r="K2064">
        <v>0</v>
      </c>
      <c r="L2064">
        <v>5.1</v>
      </c>
      <c r="M2064">
        <v>29.7</v>
      </c>
      <c r="N2064" t="s">
        <v>61</v>
      </c>
      <c r="O2064" t="s">
        <v>47</v>
      </c>
      <c r="P2064" t="s">
        <v>58</v>
      </c>
      <c r="R2064">
        <f>SUMIF(A2064:A7063,"C02063",I2064:I7063)</f>
        <v>35672.1</v>
      </c>
      <c r="S2064" s="1">
        <v>9059.76</v>
      </c>
      <c r="T2064">
        <f t="shared" si="233"/>
        <v>1783.605</v>
      </c>
      <c r="U2064">
        <f t="shared" si="234"/>
        <v>594</v>
      </c>
      <c r="V2064">
        <f t="shared" si="236"/>
        <v>49.5</v>
      </c>
      <c r="W2064">
        <f t="shared" si="238"/>
        <v>17353.9033333333</v>
      </c>
      <c r="X2064">
        <f t="shared" si="235"/>
        <v>0.0244071949970132</v>
      </c>
      <c r="AH2064" t="str">
        <f t="shared" si="239"/>
        <v>3rd Quality</v>
      </c>
      <c r="AJ2064">
        <f>((T2064-X2064)*2)/5.1</f>
        <v>699.443369727452</v>
      </c>
      <c r="AK2064">
        <f t="shared" si="237"/>
        <v>713442</v>
      </c>
    </row>
    <row r="2065" spans="1:37">
      <c r="A2065" t="s">
        <v>2131</v>
      </c>
      <c r="B2065">
        <v>36</v>
      </c>
      <c r="C2065" t="s">
        <v>50</v>
      </c>
      <c r="D2065" t="s">
        <v>51</v>
      </c>
      <c r="E2065">
        <v>517</v>
      </c>
      <c r="F2065">
        <v>25</v>
      </c>
      <c r="G2065">
        <v>31</v>
      </c>
      <c r="H2065">
        <v>3155.4</v>
      </c>
      <c r="I2065">
        <v>107546.48</v>
      </c>
      <c r="J2065">
        <v>256</v>
      </c>
      <c r="K2065">
        <v>2</v>
      </c>
      <c r="L2065">
        <v>15.1</v>
      </c>
      <c r="M2065">
        <v>48.5</v>
      </c>
      <c r="N2065" t="s">
        <v>46</v>
      </c>
      <c r="O2065" t="s">
        <v>47</v>
      </c>
      <c r="P2065" t="s">
        <v>68</v>
      </c>
      <c r="R2065">
        <f>SUMIF(A2065:A7064,"C02064",I2065:I7064)</f>
        <v>107546.48</v>
      </c>
      <c r="S2065" s="1">
        <v>1956.27</v>
      </c>
      <c r="T2065">
        <f t="shared" si="233"/>
        <v>420.1034375</v>
      </c>
      <c r="U2065">
        <f t="shared" si="234"/>
        <v>12416</v>
      </c>
      <c r="V2065">
        <f>U2065</f>
        <v>12416</v>
      </c>
      <c r="W2065">
        <f t="shared" si="238"/>
        <v>36900.96</v>
      </c>
      <c r="X2065">
        <f t="shared" si="235"/>
        <v>0.163846105089688</v>
      </c>
      <c r="AH2065" t="str">
        <f t="shared" si="239"/>
        <v>2nd Quality</v>
      </c>
      <c r="AJ2065">
        <f>((T2065-X2065)*2)/15.1</f>
        <v>55.6211379331007</v>
      </c>
      <c r="AK2065">
        <f t="shared" si="237"/>
        <v>217193.4771875</v>
      </c>
    </row>
    <row r="2066" spans="1:37">
      <c r="A2066" t="s">
        <v>2132</v>
      </c>
      <c r="B2066">
        <v>31</v>
      </c>
      <c r="C2066" t="s">
        <v>101</v>
      </c>
      <c r="D2066" t="s">
        <v>45</v>
      </c>
      <c r="E2066">
        <v>1211</v>
      </c>
      <c r="F2066">
        <v>27</v>
      </c>
      <c r="G2066">
        <v>9</v>
      </c>
      <c r="H2066">
        <v>930.83</v>
      </c>
      <c r="I2066">
        <v>9059.76</v>
      </c>
      <c r="J2066">
        <v>41</v>
      </c>
      <c r="K2066">
        <v>0</v>
      </c>
      <c r="L2066">
        <v>26.5</v>
      </c>
      <c r="M2066">
        <v>19.8</v>
      </c>
      <c r="N2066" t="s">
        <v>46</v>
      </c>
      <c r="O2066" t="s">
        <v>53</v>
      </c>
      <c r="P2066" t="s">
        <v>68</v>
      </c>
      <c r="R2066">
        <f>SUMIF(A2066:A7065,"C02065",I2066:I7065)</f>
        <v>9059.76</v>
      </c>
      <c r="S2066" s="1">
        <v>90039.53</v>
      </c>
      <c r="T2066">
        <f t="shared" si="233"/>
        <v>220.969756097561</v>
      </c>
      <c r="U2066">
        <f t="shared" si="234"/>
        <v>811.8</v>
      </c>
      <c r="V2066">
        <f t="shared" si="236"/>
        <v>67.65</v>
      </c>
      <c r="W2066">
        <f t="shared" si="238"/>
        <v>3330.53</v>
      </c>
      <c r="X2066">
        <f t="shared" si="235"/>
        <v>1.30098943953246</v>
      </c>
      <c r="AH2066" t="str">
        <f t="shared" si="239"/>
        <v>3rd Quality</v>
      </c>
      <c r="AJ2066">
        <f>((T2066-X2066)*2)/26.5</f>
        <v>16.5787748421154</v>
      </c>
      <c r="AK2066">
        <f t="shared" si="237"/>
        <v>267594.374634146</v>
      </c>
    </row>
    <row r="2067" spans="1:37">
      <c r="A2067" t="s">
        <v>2133</v>
      </c>
      <c r="B2067">
        <v>42</v>
      </c>
      <c r="C2067" t="s">
        <v>50</v>
      </c>
      <c r="D2067" t="s">
        <v>60</v>
      </c>
      <c r="E2067">
        <v>869</v>
      </c>
      <c r="F2067">
        <v>365</v>
      </c>
      <c r="G2067">
        <v>1</v>
      </c>
      <c r="H2067">
        <v>1904.17</v>
      </c>
      <c r="I2067">
        <v>1956.27</v>
      </c>
      <c r="J2067">
        <v>12</v>
      </c>
      <c r="K2067">
        <v>1</v>
      </c>
      <c r="L2067">
        <v>19.1</v>
      </c>
      <c r="M2067">
        <v>26.3</v>
      </c>
      <c r="N2067" t="s">
        <v>63</v>
      </c>
      <c r="O2067" t="s">
        <v>47</v>
      </c>
      <c r="P2067" t="s">
        <v>58</v>
      </c>
      <c r="R2067">
        <f>SUMIF(A2067:A7066,"C02066",I2067:I7066)</f>
        <v>1956.27</v>
      </c>
      <c r="S2067" s="1">
        <v>954.48</v>
      </c>
      <c r="T2067">
        <f t="shared" si="233"/>
        <v>163.0225</v>
      </c>
      <c r="U2067">
        <f t="shared" si="234"/>
        <v>315.6</v>
      </c>
      <c r="V2067">
        <f>U2067</f>
        <v>315.6</v>
      </c>
      <c r="W2067">
        <f t="shared" si="238"/>
        <v>1287.14666666667</v>
      </c>
      <c r="X2067">
        <f t="shared" si="235"/>
        <v>0.456366815988068</v>
      </c>
      <c r="AH2067" t="str">
        <f t="shared" si="239"/>
        <v>3rd Quality</v>
      </c>
      <c r="AJ2067">
        <f>((T2067-X2067)*2)/19.1</f>
        <v>17.022631747017</v>
      </c>
      <c r="AK2067">
        <f t="shared" si="237"/>
        <v>141666.5525</v>
      </c>
    </row>
    <row r="2068" spans="1:37">
      <c r="A2068" t="s">
        <v>2134</v>
      </c>
      <c r="B2068">
        <v>38</v>
      </c>
      <c r="C2068" t="s">
        <v>44</v>
      </c>
      <c r="D2068" t="s">
        <v>51</v>
      </c>
      <c r="E2068">
        <v>988</v>
      </c>
      <c r="F2068">
        <v>46</v>
      </c>
      <c r="G2068">
        <v>9</v>
      </c>
      <c r="H2068">
        <v>9243.27</v>
      </c>
      <c r="I2068">
        <v>90039.53</v>
      </c>
      <c r="J2068">
        <v>50</v>
      </c>
      <c r="K2068">
        <v>1</v>
      </c>
      <c r="L2068">
        <v>1.3</v>
      </c>
      <c r="M2068">
        <v>17.2</v>
      </c>
      <c r="N2068" t="s">
        <v>57</v>
      </c>
      <c r="O2068" t="s">
        <v>75</v>
      </c>
      <c r="P2068" t="s">
        <v>48</v>
      </c>
      <c r="R2068">
        <f>SUMIF(A2068:A7067,"C02067",I2068:I7067)</f>
        <v>90039.53</v>
      </c>
      <c r="S2068" s="1">
        <v>7878.42</v>
      </c>
      <c r="T2068">
        <f t="shared" si="233"/>
        <v>1800.7906</v>
      </c>
      <c r="U2068">
        <f t="shared" si="234"/>
        <v>860</v>
      </c>
      <c r="V2068">
        <f>U2068</f>
        <v>860</v>
      </c>
      <c r="W2068">
        <f t="shared" si="238"/>
        <v>33094.6</v>
      </c>
      <c r="X2068">
        <f t="shared" si="235"/>
        <v>0.10688857947458</v>
      </c>
      <c r="AH2068" t="str">
        <f t="shared" si="239"/>
        <v>2nd Quality</v>
      </c>
      <c r="AJ2068">
        <f>((T2068-X2068)*2)/1.3</f>
        <v>2770.28263295465</v>
      </c>
      <c r="AK2068">
        <f t="shared" si="237"/>
        <v>1779181.1128</v>
      </c>
    </row>
    <row r="2069" spans="1:37">
      <c r="A2069" t="s">
        <v>2135</v>
      </c>
      <c r="B2069">
        <v>32</v>
      </c>
      <c r="C2069" t="s">
        <v>50</v>
      </c>
      <c r="D2069" t="s">
        <v>45</v>
      </c>
      <c r="E2069">
        <v>695</v>
      </c>
      <c r="F2069">
        <v>75</v>
      </c>
      <c r="G2069">
        <v>1</v>
      </c>
      <c r="H2069">
        <v>995.97</v>
      </c>
      <c r="I2069">
        <v>954.48</v>
      </c>
      <c r="J2069">
        <v>10</v>
      </c>
      <c r="K2069">
        <v>1</v>
      </c>
      <c r="L2069">
        <v>26.2</v>
      </c>
      <c r="M2069">
        <v>5.8</v>
      </c>
      <c r="N2069" t="s">
        <v>61</v>
      </c>
      <c r="O2069" t="s">
        <v>75</v>
      </c>
      <c r="P2069" t="s">
        <v>58</v>
      </c>
      <c r="R2069">
        <f>SUMIF(A2069:A7068,"C02068",I2069:I7068)</f>
        <v>954.48</v>
      </c>
      <c r="S2069" s="1">
        <v>65245.39</v>
      </c>
      <c r="T2069">
        <f t="shared" si="233"/>
        <v>95.448</v>
      </c>
      <c r="U2069">
        <f t="shared" si="234"/>
        <v>58</v>
      </c>
      <c r="V2069">
        <f>U2069</f>
        <v>58</v>
      </c>
      <c r="W2069">
        <f t="shared" si="238"/>
        <v>650.483333333333</v>
      </c>
      <c r="X2069">
        <f t="shared" si="235"/>
        <v>0.697812183097885</v>
      </c>
      <c r="AH2069" t="str">
        <f t="shared" si="239"/>
        <v>3rd Quality</v>
      </c>
      <c r="AJ2069">
        <f>((T2069-X2069)*2)/26.2</f>
        <v>7.23283876464902</v>
      </c>
      <c r="AK2069">
        <f t="shared" si="237"/>
        <v>66336.36</v>
      </c>
    </row>
    <row r="2070" spans="1:37">
      <c r="A2070" t="s">
        <v>2136</v>
      </c>
      <c r="B2070">
        <v>18</v>
      </c>
      <c r="C2070" t="s">
        <v>44</v>
      </c>
      <c r="D2070" t="s">
        <v>60</v>
      </c>
      <c r="E2070">
        <v>435</v>
      </c>
      <c r="F2070">
        <v>88</v>
      </c>
      <c r="G2070">
        <v>8</v>
      </c>
      <c r="H2070">
        <v>888.43</v>
      </c>
      <c r="I2070">
        <v>7878.42</v>
      </c>
      <c r="J2070">
        <v>37</v>
      </c>
      <c r="K2070">
        <v>0</v>
      </c>
      <c r="L2070">
        <v>13.4</v>
      </c>
      <c r="M2070">
        <v>17.2</v>
      </c>
      <c r="N2070" t="s">
        <v>63</v>
      </c>
      <c r="O2070" t="s">
        <v>47</v>
      </c>
      <c r="P2070" t="s">
        <v>66</v>
      </c>
      <c r="R2070">
        <f>SUMIF(A2070:A7069,"C02069",I2070:I7069)</f>
        <v>7878.42</v>
      </c>
      <c r="S2070" s="1">
        <v>1767</v>
      </c>
      <c r="T2070">
        <f t="shared" ref="T2070:T2133" si="240">I2070/J2070</f>
        <v>212.93027027027</v>
      </c>
      <c r="U2070">
        <f t="shared" si="234"/>
        <v>636.4</v>
      </c>
      <c r="V2070">
        <f t="shared" si="236"/>
        <v>53.0333333333333</v>
      </c>
      <c r="W2070">
        <f t="shared" si="238"/>
        <v>2922.61666666667</v>
      </c>
      <c r="X2070">
        <f t="shared" si="235"/>
        <v>0.489627770336436</v>
      </c>
      <c r="AH2070" t="str">
        <f t="shared" si="239"/>
        <v>3rd Quality</v>
      </c>
      <c r="AJ2070">
        <f>((T2070-X2070)*2)/13.4</f>
        <v>31.7075585820796</v>
      </c>
      <c r="AK2070">
        <f t="shared" si="237"/>
        <v>92624.6675675676</v>
      </c>
    </row>
    <row r="2071" spans="1:37">
      <c r="A2071" t="s">
        <v>2137</v>
      </c>
      <c r="B2071">
        <v>52</v>
      </c>
      <c r="C2071" t="s">
        <v>56</v>
      </c>
      <c r="D2071" t="s">
        <v>51</v>
      </c>
      <c r="E2071">
        <v>880</v>
      </c>
      <c r="F2071">
        <v>30</v>
      </c>
      <c r="G2071">
        <v>4</v>
      </c>
      <c r="H2071">
        <v>17698.35</v>
      </c>
      <c r="I2071">
        <v>65245.39</v>
      </c>
      <c r="J2071">
        <v>36</v>
      </c>
      <c r="K2071">
        <v>0</v>
      </c>
      <c r="L2071">
        <v>10.9</v>
      </c>
      <c r="M2071">
        <v>25.9</v>
      </c>
      <c r="N2071" t="s">
        <v>81</v>
      </c>
      <c r="O2071" t="s">
        <v>47</v>
      </c>
      <c r="P2071" t="s">
        <v>58</v>
      </c>
      <c r="R2071">
        <f>SUMIF(A2071:A7070,"C02070",I2071:I7070)</f>
        <v>65245.39</v>
      </c>
      <c r="S2071" s="1">
        <v>23940.53</v>
      </c>
      <c r="T2071">
        <f t="shared" si="240"/>
        <v>1812.37194444444</v>
      </c>
      <c r="U2071">
        <f t="shared" si="234"/>
        <v>932.4</v>
      </c>
      <c r="V2071">
        <f t="shared" si="236"/>
        <v>77.7</v>
      </c>
      <c r="W2071">
        <f t="shared" si="238"/>
        <v>27648.2466666667</v>
      </c>
      <c r="X2071">
        <f t="shared" si="235"/>
        <v>0.0497221492399009</v>
      </c>
      <c r="AH2071" t="str">
        <f t="shared" si="239"/>
        <v>3rd Quality</v>
      </c>
      <c r="AJ2071">
        <f>((T2071-X2071)*2)/10.9</f>
        <v>332.536187577101</v>
      </c>
      <c r="AK2071">
        <f t="shared" si="237"/>
        <v>1594887.31111111</v>
      </c>
    </row>
    <row r="2072" spans="1:37">
      <c r="A2072" t="s">
        <v>2138</v>
      </c>
      <c r="B2072">
        <v>31</v>
      </c>
      <c r="C2072" t="s">
        <v>50</v>
      </c>
      <c r="D2072" t="s">
        <v>60</v>
      </c>
      <c r="E2072">
        <v>843</v>
      </c>
      <c r="F2072">
        <v>71</v>
      </c>
      <c r="G2072">
        <v>2</v>
      </c>
      <c r="H2072">
        <v>944.91</v>
      </c>
      <c r="I2072">
        <v>1767</v>
      </c>
      <c r="J2072">
        <v>11</v>
      </c>
      <c r="K2072">
        <v>0</v>
      </c>
      <c r="L2072">
        <v>30.1</v>
      </c>
      <c r="M2072">
        <v>35.5</v>
      </c>
      <c r="N2072" t="s">
        <v>63</v>
      </c>
      <c r="O2072" t="s">
        <v>53</v>
      </c>
      <c r="P2072" t="s">
        <v>58</v>
      </c>
      <c r="R2072">
        <f>SUMIF(A2072:A7071,"C02071",I2072:I7071)</f>
        <v>1767</v>
      </c>
      <c r="S2072" s="1">
        <v>13518.58</v>
      </c>
      <c r="T2072">
        <f t="shared" si="240"/>
        <v>160.636363636364</v>
      </c>
      <c r="U2072">
        <f t="shared" si="234"/>
        <v>390.5</v>
      </c>
      <c r="V2072">
        <f t="shared" si="236"/>
        <v>32.5416666666667</v>
      </c>
      <c r="W2072">
        <f t="shared" si="238"/>
        <v>904.303333333333</v>
      </c>
      <c r="X2072">
        <f t="shared" si="235"/>
        <v>0.892148458583357</v>
      </c>
      <c r="AH2072" t="str">
        <f t="shared" si="239"/>
        <v>3rd Quality</v>
      </c>
      <c r="AJ2072">
        <f>((T2072-X2072)*2)/30.1</f>
        <v>10.6142335666299</v>
      </c>
      <c r="AK2072">
        <f t="shared" si="237"/>
        <v>135416.454545455</v>
      </c>
    </row>
    <row r="2073" spans="1:37">
      <c r="A2073" t="s">
        <v>2139</v>
      </c>
      <c r="B2073">
        <v>21</v>
      </c>
      <c r="C2073" t="s">
        <v>50</v>
      </c>
      <c r="D2073" t="s">
        <v>60</v>
      </c>
      <c r="E2073">
        <v>462</v>
      </c>
      <c r="F2073">
        <v>9</v>
      </c>
      <c r="G2073">
        <v>11</v>
      </c>
      <c r="H2073">
        <v>2370.7</v>
      </c>
      <c r="I2073">
        <v>23940.53</v>
      </c>
      <c r="J2073">
        <v>62</v>
      </c>
      <c r="K2073">
        <v>2</v>
      </c>
      <c r="L2073">
        <v>16.5</v>
      </c>
      <c r="M2073">
        <v>23.2</v>
      </c>
      <c r="N2073" t="s">
        <v>81</v>
      </c>
      <c r="O2073" t="s">
        <v>75</v>
      </c>
      <c r="P2073" t="s">
        <v>54</v>
      </c>
      <c r="R2073">
        <f>SUMIF(A2073:A7072,"C02072",I2073:I7072)</f>
        <v>23940.53</v>
      </c>
      <c r="S2073" s="1">
        <v>3084.68</v>
      </c>
      <c r="T2073">
        <f t="shared" si="240"/>
        <v>386.137580645161</v>
      </c>
      <c r="U2073">
        <f t="shared" si="234"/>
        <v>1438.4</v>
      </c>
      <c r="V2073">
        <f>U2073</f>
        <v>1438.4</v>
      </c>
      <c r="W2073">
        <f t="shared" si="238"/>
        <v>8770.74333333333</v>
      </c>
      <c r="X2073">
        <f t="shared" si="235"/>
        <v>0.194879149618256</v>
      </c>
      <c r="AH2073" t="str">
        <f t="shared" si="239"/>
        <v>2nd Quality</v>
      </c>
      <c r="AJ2073">
        <f>((T2073-X2073)*2)/16.5</f>
        <v>46.7809335146112</v>
      </c>
      <c r="AK2073">
        <f t="shared" si="237"/>
        <v>178395.562258065</v>
      </c>
    </row>
    <row r="2074" spans="1:37">
      <c r="A2074" t="s">
        <v>2140</v>
      </c>
      <c r="B2074">
        <v>63</v>
      </c>
      <c r="C2074" t="s">
        <v>44</v>
      </c>
      <c r="D2074" t="s">
        <v>45</v>
      </c>
      <c r="E2074">
        <v>1093</v>
      </c>
      <c r="F2074">
        <v>18</v>
      </c>
      <c r="G2074">
        <v>11</v>
      </c>
      <c r="H2074">
        <v>1152.35</v>
      </c>
      <c r="I2074">
        <v>13518.58</v>
      </c>
      <c r="J2074">
        <v>67</v>
      </c>
      <c r="K2074">
        <v>0</v>
      </c>
      <c r="L2074">
        <v>19.3</v>
      </c>
      <c r="M2074">
        <v>53.9</v>
      </c>
      <c r="N2074" t="s">
        <v>46</v>
      </c>
      <c r="O2074" t="s">
        <v>47</v>
      </c>
      <c r="P2074" t="s">
        <v>58</v>
      </c>
      <c r="R2074">
        <f>SUMIF(A2074:A7073,"C02073",I2074:I7073)</f>
        <v>13518.58</v>
      </c>
      <c r="S2074" s="1">
        <v>6774.93</v>
      </c>
      <c r="T2074">
        <f t="shared" si="240"/>
        <v>201.769850746269</v>
      </c>
      <c r="U2074">
        <f t="shared" si="234"/>
        <v>3611.3</v>
      </c>
      <c r="V2074">
        <f t="shared" si="236"/>
        <v>300.941666666667</v>
      </c>
      <c r="W2074">
        <f t="shared" si="238"/>
        <v>4890.64333333333</v>
      </c>
      <c r="X2074">
        <f t="shared" si="235"/>
        <v>0.948496550527184</v>
      </c>
      <c r="AH2074" t="str">
        <f t="shared" si="239"/>
        <v>3rd Quality</v>
      </c>
      <c r="AJ2074">
        <f>((T2074-X2074)*2)/19.3</f>
        <v>20.8105030254655</v>
      </c>
      <c r="AK2074">
        <f t="shared" si="237"/>
        <v>220534.446865672</v>
      </c>
    </row>
    <row r="2075" spans="1:37">
      <c r="A2075" t="s">
        <v>2141</v>
      </c>
      <c r="B2075">
        <v>46</v>
      </c>
      <c r="C2075" t="s">
        <v>44</v>
      </c>
      <c r="D2075" t="s">
        <v>60</v>
      </c>
      <c r="E2075">
        <v>639</v>
      </c>
      <c r="F2075">
        <v>39</v>
      </c>
      <c r="G2075">
        <v>5</v>
      </c>
      <c r="H2075">
        <v>626.79</v>
      </c>
      <c r="I2075">
        <v>3084.68</v>
      </c>
      <c r="J2075">
        <v>25</v>
      </c>
      <c r="K2075">
        <v>0</v>
      </c>
      <c r="L2075">
        <v>41.7</v>
      </c>
      <c r="M2075">
        <v>12.2</v>
      </c>
      <c r="N2075" t="s">
        <v>81</v>
      </c>
      <c r="O2075" t="s">
        <v>47</v>
      </c>
      <c r="P2075" t="s">
        <v>68</v>
      </c>
      <c r="R2075">
        <f>SUMIF(A2075:A7074,"C02074",I2075:I7074)</f>
        <v>3084.68</v>
      </c>
      <c r="S2075" s="1">
        <v>82540.98</v>
      </c>
      <c r="T2075">
        <f t="shared" si="240"/>
        <v>123.3872</v>
      </c>
      <c r="U2075">
        <f t="shared" si="234"/>
        <v>305</v>
      </c>
      <c r="V2075">
        <f t="shared" si="236"/>
        <v>25.4166666666667</v>
      </c>
      <c r="W2075">
        <f t="shared" si="238"/>
        <v>1237.49</v>
      </c>
      <c r="X2075">
        <f t="shared" si="235"/>
        <v>1.01948020868233</v>
      </c>
      <c r="AH2075" t="str">
        <f t="shared" si="239"/>
        <v>3rd Quality</v>
      </c>
      <c r="AJ2075">
        <f>((T2075-X2075)*2)/41.7</f>
        <v>5.86895538567471</v>
      </c>
      <c r="AK2075">
        <f t="shared" si="237"/>
        <v>78844.4208</v>
      </c>
    </row>
    <row r="2076" spans="1:37">
      <c r="A2076" t="s">
        <v>2142</v>
      </c>
      <c r="B2076">
        <v>28</v>
      </c>
      <c r="C2076" t="s">
        <v>44</v>
      </c>
      <c r="D2076" t="s">
        <v>51</v>
      </c>
      <c r="E2076">
        <v>921</v>
      </c>
      <c r="F2076">
        <v>7</v>
      </c>
      <c r="G2076">
        <v>9</v>
      </c>
      <c r="H2076">
        <v>712.09</v>
      </c>
      <c r="I2076">
        <v>6774.93</v>
      </c>
      <c r="J2076">
        <v>44</v>
      </c>
      <c r="K2076">
        <v>1</v>
      </c>
      <c r="L2076">
        <v>13.9</v>
      </c>
      <c r="M2076">
        <v>11.4</v>
      </c>
      <c r="N2076" t="s">
        <v>63</v>
      </c>
      <c r="O2076" t="s">
        <v>47</v>
      </c>
      <c r="P2076" t="s">
        <v>68</v>
      </c>
      <c r="R2076">
        <f>SUMIF(A2076:A7075,"C02075",I2076:I7075)</f>
        <v>6774.93</v>
      </c>
      <c r="S2076" s="1">
        <v>5822.86</v>
      </c>
      <c r="T2076">
        <f t="shared" si="240"/>
        <v>153.975681818182</v>
      </c>
      <c r="U2076">
        <f t="shared" si="234"/>
        <v>501.6</v>
      </c>
      <c r="V2076">
        <f>U2076</f>
        <v>501.6</v>
      </c>
      <c r="W2076">
        <f t="shared" si="238"/>
        <v>2496.00666666667</v>
      </c>
      <c r="X2076">
        <f t="shared" si="235"/>
        <v>1.29337583732393</v>
      </c>
      <c r="AH2076" t="str">
        <f t="shared" si="239"/>
        <v>3rd Quality</v>
      </c>
      <c r="AJ2076">
        <f>((T2076-X2076)*2)/13.9</f>
        <v>21.9686771195479</v>
      </c>
      <c r="AK2076">
        <f t="shared" si="237"/>
        <v>141811.602954545</v>
      </c>
    </row>
    <row r="2077" spans="1:37">
      <c r="A2077" t="s">
        <v>2143</v>
      </c>
      <c r="B2077">
        <v>18</v>
      </c>
      <c r="C2077" t="s">
        <v>44</v>
      </c>
      <c r="D2077" t="s">
        <v>60</v>
      </c>
      <c r="E2077">
        <v>748</v>
      </c>
      <c r="F2077">
        <v>43</v>
      </c>
      <c r="G2077">
        <v>6</v>
      </c>
      <c r="H2077">
        <v>13723.68</v>
      </c>
      <c r="I2077">
        <v>82540.98</v>
      </c>
      <c r="J2077">
        <v>19</v>
      </c>
      <c r="K2077">
        <v>0</v>
      </c>
      <c r="L2077">
        <v>0</v>
      </c>
      <c r="M2077">
        <v>21.1</v>
      </c>
      <c r="N2077" t="s">
        <v>78</v>
      </c>
      <c r="O2077" t="s">
        <v>47</v>
      </c>
      <c r="P2077" t="s">
        <v>58</v>
      </c>
      <c r="R2077">
        <f>SUMIF(A2077:A7076,"C02076",I2077:I7076)</f>
        <v>82540.98</v>
      </c>
      <c r="S2077" s="1">
        <v>114062.02</v>
      </c>
      <c r="T2077">
        <f t="shared" si="240"/>
        <v>4344.26210526316</v>
      </c>
      <c r="U2077">
        <f t="shared" si="234"/>
        <v>400.9</v>
      </c>
      <c r="V2077">
        <f t="shared" si="236"/>
        <v>33.4083333333333</v>
      </c>
      <c r="W2077">
        <f t="shared" si="238"/>
        <v>32088.5533333333</v>
      </c>
      <c r="X2077">
        <f t="shared" si="235"/>
        <v>0.0545043311997948</v>
      </c>
      <c r="AH2077" t="str">
        <f t="shared" si="239"/>
        <v>2nd Quality</v>
      </c>
      <c r="AJ2077">
        <f>((T2077-X2077)*2)</f>
        <v>8688.41520186392</v>
      </c>
      <c r="AK2077">
        <f t="shared" si="237"/>
        <v>3249508.05473684</v>
      </c>
    </row>
    <row r="2078" spans="1:37">
      <c r="A2078" t="s">
        <v>2144</v>
      </c>
      <c r="B2078">
        <v>33</v>
      </c>
      <c r="C2078" t="s">
        <v>44</v>
      </c>
      <c r="D2078" t="s">
        <v>60</v>
      </c>
      <c r="E2078">
        <v>474</v>
      </c>
      <c r="F2078">
        <v>91</v>
      </c>
      <c r="G2078">
        <v>3</v>
      </c>
      <c r="H2078">
        <v>1987.08</v>
      </c>
      <c r="I2078">
        <v>5822.86</v>
      </c>
      <c r="J2078">
        <v>14</v>
      </c>
      <c r="K2078">
        <v>0</v>
      </c>
      <c r="L2078">
        <v>12.5</v>
      </c>
      <c r="M2078">
        <v>12.1</v>
      </c>
      <c r="N2078" t="s">
        <v>63</v>
      </c>
      <c r="O2078" t="s">
        <v>75</v>
      </c>
      <c r="P2078" t="s">
        <v>54</v>
      </c>
      <c r="R2078">
        <f>SUMIF(A2078:A7077,"C02077",I2078:I7077)</f>
        <v>5822.86</v>
      </c>
      <c r="S2078" s="1">
        <v>9826.23</v>
      </c>
      <c r="T2078">
        <f t="shared" si="240"/>
        <v>415.918571428571</v>
      </c>
      <c r="U2078">
        <f t="shared" si="234"/>
        <v>169.4</v>
      </c>
      <c r="V2078">
        <f t="shared" si="236"/>
        <v>14.1166666666667</v>
      </c>
      <c r="W2078">
        <f t="shared" si="238"/>
        <v>2603.64666666667</v>
      </c>
      <c r="X2078">
        <f t="shared" si="235"/>
        <v>0.23854097469654</v>
      </c>
      <c r="AH2078" t="str">
        <f t="shared" si="239"/>
        <v>3rd Quality</v>
      </c>
      <c r="AJ2078">
        <f>((T2078-X2078)*2)/12.5</f>
        <v>66.5088048726199</v>
      </c>
      <c r="AK2078">
        <f t="shared" si="237"/>
        <v>197145.402857143</v>
      </c>
    </row>
    <row r="2079" spans="1:37">
      <c r="A2079" t="s">
        <v>2145</v>
      </c>
      <c r="B2079">
        <v>49</v>
      </c>
      <c r="C2079" t="s">
        <v>50</v>
      </c>
      <c r="D2079" t="s">
        <v>45</v>
      </c>
      <c r="E2079">
        <v>1388</v>
      </c>
      <c r="F2079">
        <v>11</v>
      </c>
      <c r="G2079">
        <v>38</v>
      </c>
      <c r="H2079">
        <v>2740.89</v>
      </c>
      <c r="I2079">
        <v>114062.02</v>
      </c>
      <c r="J2079">
        <v>161</v>
      </c>
      <c r="K2079">
        <v>0</v>
      </c>
      <c r="L2079">
        <v>11.9</v>
      </c>
      <c r="M2079">
        <v>20.4</v>
      </c>
      <c r="N2079" t="s">
        <v>61</v>
      </c>
      <c r="O2079" t="s">
        <v>53</v>
      </c>
      <c r="P2079" t="s">
        <v>58</v>
      </c>
      <c r="R2079">
        <f>SUMIF(A2079:A7078,"C02078",I2079:I7078)</f>
        <v>114062.02</v>
      </c>
      <c r="S2079" s="1">
        <v>126249.11</v>
      </c>
      <c r="T2079">
        <f t="shared" si="240"/>
        <v>708.459751552795</v>
      </c>
      <c r="U2079">
        <f t="shared" si="234"/>
        <v>3284.4</v>
      </c>
      <c r="V2079">
        <f t="shared" si="236"/>
        <v>273.7</v>
      </c>
      <c r="W2079">
        <f t="shared" si="238"/>
        <v>38934.6366666667</v>
      </c>
      <c r="X2079">
        <f t="shared" si="235"/>
        <v>0.506404853897822</v>
      </c>
      <c r="AH2079" t="str">
        <f t="shared" si="239"/>
        <v>3rd Quality</v>
      </c>
      <c r="AJ2079">
        <f>((T2079-X2079)*2)/11.9</f>
        <v>118.983755747714</v>
      </c>
      <c r="AK2079">
        <f t="shared" si="237"/>
        <v>983342.13515528</v>
      </c>
    </row>
    <row r="2080" spans="1:37">
      <c r="A2080" t="s">
        <v>2146</v>
      </c>
      <c r="B2080">
        <v>19</v>
      </c>
      <c r="C2080" t="s">
        <v>44</v>
      </c>
      <c r="D2080" t="s">
        <v>60</v>
      </c>
      <c r="E2080">
        <v>1054</v>
      </c>
      <c r="F2080">
        <v>82</v>
      </c>
      <c r="G2080">
        <v>10</v>
      </c>
      <c r="H2080">
        <v>998.89</v>
      </c>
      <c r="I2080">
        <v>9826.23</v>
      </c>
      <c r="J2080">
        <v>32</v>
      </c>
      <c r="K2080">
        <v>2</v>
      </c>
      <c r="L2080">
        <v>32</v>
      </c>
      <c r="M2080">
        <v>27.2</v>
      </c>
      <c r="N2080" t="s">
        <v>78</v>
      </c>
      <c r="O2080" t="s">
        <v>47</v>
      </c>
      <c r="P2080" t="s">
        <v>66</v>
      </c>
      <c r="R2080">
        <f>SUMIF(A2080:A7079,"C02079",I2080:I7079)</f>
        <v>9826.23</v>
      </c>
      <c r="S2080" s="1">
        <v>10965.33</v>
      </c>
      <c r="T2080">
        <f t="shared" si="240"/>
        <v>307.0696875</v>
      </c>
      <c r="U2080">
        <f t="shared" si="234"/>
        <v>870.4</v>
      </c>
      <c r="V2080">
        <f>U2080</f>
        <v>870.4</v>
      </c>
      <c r="W2080">
        <f t="shared" si="238"/>
        <v>3608.70666666667</v>
      </c>
      <c r="X2080">
        <f t="shared" si="235"/>
        <v>1.05517124007648</v>
      </c>
      <c r="AH2080" t="str">
        <f t="shared" si="239"/>
        <v>3rd Quality</v>
      </c>
      <c r="AJ2080">
        <f>((T2080-X2080)*2)/32</f>
        <v>19.1259072662452</v>
      </c>
      <c r="AK2080">
        <f t="shared" si="237"/>
        <v>323651.450625</v>
      </c>
    </row>
    <row r="2081" spans="1:37">
      <c r="A2081" t="s">
        <v>2147</v>
      </c>
      <c r="B2081">
        <v>31</v>
      </c>
      <c r="C2081" t="s">
        <v>44</v>
      </c>
      <c r="D2081" t="s">
        <v>45</v>
      </c>
      <c r="E2081">
        <v>694</v>
      </c>
      <c r="F2081">
        <v>17</v>
      </c>
      <c r="G2081">
        <v>25</v>
      </c>
      <c r="H2081">
        <v>4910.43</v>
      </c>
      <c r="I2081">
        <v>126249.11</v>
      </c>
      <c r="J2081">
        <v>153</v>
      </c>
      <c r="K2081">
        <v>1</v>
      </c>
      <c r="L2081">
        <v>9.2</v>
      </c>
      <c r="M2081">
        <v>40.4</v>
      </c>
      <c r="N2081" t="s">
        <v>46</v>
      </c>
      <c r="O2081" t="s">
        <v>47</v>
      </c>
      <c r="P2081" t="s">
        <v>68</v>
      </c>
      <c r="R2081">
        <f>SUMIF(A2081:A7080,"C02080",I2081:I7080)</f>
        <v>126249.11</v>
      </c>
      <c r="S2081" s="1">
        <v>69914.48</v>
      </c>
      <c r="T2081">
        <f t="shared" si="240"/>
        <v>825.157581699346</v>
      </c>
      <c r="U2081">
        <f t="shared" si="234"/>
        <v>6181.2</v>
      </c>
      <c r="V2081">
        <f>U2081</f>
        <v>6181.2</v>
      </c>
      <c r="W2081">
        <f t="shared" si="238"/>
        <v>43720.18</v>
      </c>
      <c r="X2081">
        <f t="shared" si="235"/>
        <v>0.141331818191075</v>
      </c>
      <c r="AH2081" t="str">
        <f t="shared" si="239"/>
        <v>2nd Quality</v>
      </c>
      <c r="AJ2081">
        <f>((T2081-X2081)*2)/9.2</f>
        <v>179.351358669816</v>
      </c>
      <c r="AK2081">
        <f t="shared" si="237"/>
        <v>572659.361699346</v>
      </c>
    </row>
    <row r="2082" spans="1:37">
      <c r="A2082" t="s">
        <v>2148</v>
      </c>
      <c r="B2082">
        <v>48</v>
      </c>
      <c r="C2082" t="s">
        <v>50</v>
      </c>
      <c r="D2082" t="s">
        <v>60</v>
      </c>
      <c r="E2082">
        <v>618</v>
      </c>
      <c r="F2082">
        <v>45</v>
      </c>
      <c r="G2082">
        <v>8</v>
      </c>
      <c r="H2082">
        <v>1262.05</v>
      </c>
      <c r="I2082">
        <v>10965.33</v>
      </c>
      <c r="J2082">
        <v>48</v>
      </c>
      <c r="K2082">
        <v>0</v>
      </c>
      <c r="L2082">
        <v>10.6</v>
      </c>
      <c r="M2082">
        <v>74.1</v>
      </c>
      <c r="N2082" t="s">
        <v>57</v>
      </c>
      <c r="O2082" t="s">
        <v>47</v>
      </c>
      <c r="P2082" t="s">
        <v>58</v>
      </c>
      <c r="R2082">
        <f>SUMIF(A2082:A7081,"C02081",I2082:I7081)</f>
        <v>10965.33</v>
      </c>
      <c r="S2082" s="1">
        <v>660.72</v>
      </c>
      <c r="T2082">
        <f t="shared" si="240"/>
        <v>228.444375</v>
      </c>
      <c r="U2082">
        <f t="shared" ref="U2082:U2145" si="241">J2082*M2082</f>
        <v>3556.8</v>
      </c>
      <c r="V2082">
        <f t="shared" si="236"/>
        <v>296.4</v>
      </c>
      <c r="W2082">
        <f t="shared" si="238"/>
        <v>4076.12666666667</v>
      </c>
      <c r="X2082">
        <f t="shared" si="235"/>
        <v>0.489679489719108</v>
      </c>
      <c r="AH2082" t="str">
        <f t="shared" si="239"/>
        <v>3rd Quality</v>
      </c>
      <c r="AJ2082">
        <f>((T2082-X2082)*2)/10.6</f>
        <v>43.0103199076002</v>
      </c>
      <c r="AK2082">
        <f t="shared" si="237"/>
        <v>141178.62375</v>
      </c>
    </row>
    <row r="2083" spans="1:37">
      <c r="A2083" t="s">
        <v>2149</v>
      </c>
      <c r="B2083">
        <v>18</v>
      </c>
      <c r="C2083" t="s">
        <v>44</v>
      </c>
      <c r="D2083" t="s">
        <v>60</v>
      </c>
      <c r="E2083">
        <v>422</v>
      </c>
      <c r="F2083">
        <v>1</v>
      </c>
      <c r="G2083">
        <v>25</v>
      </c>
      <c r="H2083">
        <v>3003.77</v>
      </c>
      <c r="I2083">
        <v>69914.48</v>
      </c>
      <c r="J2083">
        <v>201</v>
      </c>
      <c r="K2083">
        <v>3</v>
      </c>
      <c r="L2083">
        <v>9.7</v>
      </c>
      <c r="M2083">
        <v>23.5</v>
      </c>
      <c r="N2083" t="s">
        <v>63</v>
      </c>
      <c r="O2083" t="s">
        <v>47</v>
      </c>
      <c r="P2083" t="s">
        <v>54</v>
      </c>
      <c r="R2083">
        <f>SUMIF(A2083:A7082,"C02082",I2083:I7082)</f>
        <v>69914.48</v>
      </c>
      <c r="S2083" s="1">
        <v>77728.97</v>
      </c>
      <c r="T2083">
        <f t="shared" si="240"/>
        <v>347.833233830846</v>
      </c>
      <c r="U2083">
        <f t="shared" si="241"/>
        <v>4723.5</v>
      </c>
      <c r="V2083">
        <f>U2083</f>
        <v>4723.5</v>
      </c>
      <c r="W2083">
        <f t="shared" si="238"/>
        <v>24306.4166666667</v>
      </c>
      <c r="X2083">
        <f t="shared" si="235"/>
        <v>0.14049011741911</v>
      </c>
      <c r="AH2083" t="str">
        <f t="shared" si="239"/>
        <v>3rd Quality</v>
      </c>
      <c r="AJ2083">
        <f>((T2083-X2083)*2)/9.7</f>
        <v>71.6892255079231</v>
      </c>
      <c r="AK2083">
        <f t="shared" si="237"/>
        <v>146785.624676617</v>
      </c>
    </row>
    <row r="2084" spans="1:37">
      <c r="A2084" t="s">
        <v>2150</v>
      </c>
      <c r="B2084">
        <v>22</v>
      </c>
      <c r="C2084" t="s">
        <v>44</v>
      </c>
      <c r="D2084" t="s">
        <v>60</v>
      </c>
      <c r="E2084">
        <v>1216</v>
      </c>
      <c r="F2084">
        <v>19</v>
      </c>
      <c r="G2084">
        <v>1</v>
      </c>
      <c r="H2084">
        <v>676.51</v>
      </c>
      <c r="I2084">
        <v>660.72</v>
      </c>
      <c r="J2084">
        <v>12</v>
      </c>
      <c r="K2084">
        <v>0</v>
      </c>
      <c r="L2084">
        <v>35</v>
      </c>
      <c r="M2084">
        <v>38.1</v>
      </c>
      <c r="N2084" t="s">
        <v>63</v>
      </c>
      <c r="O2084" t="s">
        <v>47</v>
      </c>
      <c r="P2084" t="s">
        <v>58</v>
      </c>
      <c r="R2084">
        <f>SUMIF(A2084:A7083,"C02083",I2084:I7083)</f>
        <v>660.72</v>
      </c>
      <c r="S2084" s="1">
        <v>2116.73</v>
      </c>
      <c r="T2084">
        <f t="shared" si="240"/>
        <v>55.06</v>
      </c>
      <c r="U2084">
        <f t="shared" si="241"/>
        <v>457.2</v>
      </c>
      <c r="V2084">
        <f t="shared" si="236"/>
        <v>38.1</v>
      </c>
      <c r="W2084">
        <f t="shared" si="238"/>
        <v>446.076666666667</v>
      </c>
      <c r="X2084">
        <f t="shared" si="235"/>
        <v>1.79746049577981</v>
      </c>
      <c r="AH2084" t="str">
        <f t="shared" si="239"/>
        <v>3rd Quality</v>
      </c>
      <c r="AJ2084">
        <f>((T2084-X2084)*2)/35</f>
        <v>3.04357368595544</v>
      </c>
      <c r="AK2084">
        <f t="shared" si="237"/>
        <v>66952.96</v>
      </c>
    </row>
    <row r="2085" spans="1:37">
      <c r="A2085" t="s">
        <v>2151</v>
      </c>
      <c r="B2085">
        <v>31</v>
      </c>
      <c r="C2085" t="s">
        <v>50</v>
      </c>
      <c r="D2085" t="s">
        <v>45</v>
      </c>
      <c r="E2085">
        <v>709</v>
      </c>
      <c r="F2085">
        <v>6</v>
      </c>
      <c r="G2085">
        <v>31</v>
      </c>
      <c r="H2085">
        <v>2740.98</v>
      </c>
      <c r="I2085">
        <v>77728.97</v>
      </c>
      <c r="J2085">
        <v>219</v>
      </c>
      <c r="K2085">
        <v>1</v>
      </c>
      <c r="L2085">
        <v>11.2</v>
      </c>
      <c r="M2085">
        <v>73.3</v>
      </c>
      <c r="N2085" t="s">
        <v>61</v>
      </c>
      <c r="O2085" t="s">
        <v>47</v>
      </c>
      <c r="P2085" t="s">
        <v>68</v>
      </c>
      <c r="R2085">
        <f>SUMIF(A2085:A7084,"C02084",I2085:I7084)</f>
        <v>77728.97</v>
      </c>
      <c r="S2085" s="1">
        <v>6742.87</v>
      </c>
      <c r="T2085">
        <f t="shared" si="240"/>
        <v>354.926803652968</v>
      </c>
      <c r="U2085">
        <f t="shared" si="241"/>
        <v>16052.7</v>
      </c>
      <c r="V2085">
        <f>U2085</f>
        <v>16052.7</v>
      </c>
      <c r="W2085">
        <f t="shared" si="238"/>
        <v>26823.65</v>
      </c>
      <c r="X2085">
        <f t="shared" si="235"/>
        <v>0.258666608293384</v>
      </c>
      <c r="AH2085" t="str">
        <f t="shared" si="239"/>
        <v>2nd Quality</v>
      </c>
      <c r="AJ2085">
        <f>((T2085-X2085)*2)/11.2</f>
        <v>63.3335959008348</v>
      </c>
      <c r="AK2085">
        <f t="shared" si="237"/>
        <v>251643.103789954</v>
      </c>
    </row>
    <row r="2086" spans="1:37">
      <c r="A2086" t="s">
        <v>2152</v>
      </c>
      <c r="B2086">
        <v>30</v>
      </c>
      <c r="C2086" t="s">
        <v>44</v>
      </c>
      <c r="D2086" t="s">
        <v>60</v>
      </c>
      <c r="E2086">
        <v>609</v>
      </c>
      <c r="F2086">
        <v>126</v>
      </c>
      <c r="G2086">
        <v>2</v>
      </c>
      <c r="H2086">
        <v>1047.63</v>
      </c>
      <c r="I2086">
        <v>2116.73</v>
      </c>
      <c r="J2086">
        <v>19</v>
      </c>
      <c r="K2086">
        <v>2</v>
      </c>
      <c r="L2086">
        <v>32.5</v>
      </c>
      <c r="M2086">
        <v>50.6</v>
      </c>
      <c r="N2086" t="s">
        <v>63</v>
      </c>
      <c r="O2086" t="s">
        <v>47</v>
      </c>
      <c r="P2086" t="s">
        <v>58</v>
      </c>
      <c r="R2086">
        <f>SUMIF(A2086:A7085,"C02085",I2086:I7085)</f>
        <v>2116.73</v>
      </c>
      <c r="S2086" s="1">
        <v>8703.79</v>
      </c>
      <c r="T2086">
        <f t="shared" si="240"/>
        <v>111.406842105263</v>
      </c>
      <c r="U2086">
        <f t="shared" si="241"/>
        <v>961.4</v>
      </c>
      <c r="V2086">
        <f>U2086</f>
        <v>961.4</v>
      </c>
      <c r="W2086">
        <f t="shared" si="238"/>
        <v>1055.12</v>
      </c>
      <c r="X2086">
        <f t="shared" si="235"/>
        <v>0.581312104464362</v>
      </c>
      <c r="AH2086" t="str">
        <f t="shared" si="239"/>
        <v>3rd Quality</v>
      </c>
      <c r="AJ2086">
        <f>((T2086-X2086)*2)/32.5</f>
        <v>6.82003261543376</v>
      </c>
      <c r="AK2086">
        <f t="shared" si="237"/>
        <v>67846.7668421053</v>
      </c>
    </row>
    <row r="2087" spans="1:37">
      <c r="A2087" t="s">
        <v>2153</v>
      </c>
      <c r="B2087">
        <v>38</v>
      </c>
      <c r="C2087" t="s">
        <v>44</v>
      </c>
      <c r="D2087" t="s">
        <v>60</v>
      </c>
      <c r="E2087">
        <v>1392</v>
      </c>
      <c r="F2087">
        <v>15</v>
      </c>
      <c r="G2087">
        <v>8</v>
      </c>
      <c r="H2087">
        <v>788.09</v>
      </c>
      <c r="I2087">
        <v>6742.87</v>
      </c>
      <c r="J2087">
        <v>58</v>
      </c>
      <c r="K2087">
        <v>0</v>
      </c>
      <c r="L2087">
        <v>8.9</v>
      </c>
      <c r="M2087">
        <v>6.4</v>
      </c>
      <c r="N2087" t="s">
        <v>57</v>
      </c>
      <c r="O2087" t="s">
        <v>75</v>
      </c>
      <c r="P2087" t="s">
        <v>58</v>
      </c>
      <c r="R2087">
        <f>SUMIF(A2087:A7086,"C02086",I2087:I7086)</f>
        <v>6742.87</v>
      </c>
      <c r="S2087" s="1">
        <v>15626.06</v>
      </c>
      <c r="T2087">
        <f t="shared" si="240"/>
        <v>116.256379310345</v>
      </c>
      <c r="U2087">
        <f t="shared" si="241"/>
        <v>371.2</v>
      </c>
      <c r="V2087">
        <f t="shared" si="236"/>
        <v>30.9333333333333</v>
      </c>
      <c r="W2087">
        <f t="shared" si="238"/>
        <v>2510.65333333333</v>
      </c>
      <c r="X2087">
        <f t="shared" si="235"/>
        <v>1.76629572764532</v>
      </c>
      <c r="AH2087" t="str">
        <f t="shared" si="239"/>
        <v>3rd Quality</v>
      </c>
      <c r="AJ2087">
        <f>((T2087-X2087)*2)/8.9</f>
        <v>25.7281086702696</v>
      </c>
      <c r="AK2087">
        <f t="shared" si="237"/>
        <v>161828.88</v>
      </c>
    </row>
    <row r="2088" spans="1:37">
      <c r="A2088" t="s">
        <v>2154</v>
      </c>
      <c r="B2088">
        <v>18</v>
      </c>
      <c r="C2088" t="s">
        <v>44</v>
      </c>
      <c r="D2088" t="s">
        <v>51</v>
      </c>
      <c r="E2088">
        <v>1459</v>
      </c>
      <c r="F2088">
        <v>14</v>
      </c>
      <c r="G2088">
        <v>7</v>
      </c>
      <c r="H2088">
        <v>1392.06</v>
      </c>
      <c r="I2088">
        <v>8703.79</v>
      </c>
      <c r="J2088">
        <v>22</v>
      </c>
      <c r="K2088">
        <v>0</v>
      </c>
      <c r="L2088">
        <v>12.6</v>
      </c>
      <c r="M2088">
        <v>59.9</v>
      </c>
      <c r="N2088" t="s">
        <v>46</v>
      </c>
      <c r="O2088" t="s">
        <v>47</v>
      </c>
      <c r="P2088" t="s">
        <v>66</v>
      </c>
      <c r="R2088">
        <f>SUMIF(A2088:A7087,"C02087",I2088:I7087)</f>
        <v>8703.79</v>
      </c>
      <c r="S2088" s="1">
        <v>6965.63</v>
      </c>
      <c r="T2088">
        <f t="shared" si="240"/>
        <v>395.626818181818</v>
      </c>
      <c r="U2088">
        <f t="shared" si="241"/>
        <v>1317.8</v>
      </c>
      <c r="V2088">
        <f t="shared" si="236"/>
        <v>109.816666666667</v>
      </c>
      <c r="W2088">
        <f t="shared" si="238"/>
        <v>3365.61666666667</v>
      </c>
      <c r="X2088">
        <f t="shared" si="235"/>
        <v>1.04808700774392</v>
      </c>
      <c r="AH2088" t="str">
        <f t="shared" si="239"/>
        <v>3rd Quality</v>
      </c>
      <c r="AJ2088">
        <f>((T2088-X2088)*2)/12.6</f>
        <v>62.6315446308054</v>
      </c>
      <c r="AK2088">
        <f t="shared" si="237"/>
        <v>577219.527727273</v>
      </c>
    </row>
    <row r="2089" spans="1:37">
      <c r="A2089" t="s">
        <v>2155</v>
      </c>
      <c r="B2089">
        <v>40</v>
      </c>
      <c r="C2089" t="s">
        <v>50</v>
      </c>
      <c r="D2089" t="s">
        <v>45</v>
      </c>
      <c r="E2089">
        <v>836</v>
      </c>
      <c r="F2089">
        <v>79</v>
      </c>
      <c r="G2089">
        <v>9</v>
      </c>
      <c r="H2089">
        <v>1941.05</v>
      </c>
      <c r="I2089">
        <v>15626.06</v>
      </c>
      <c r="J2089">
        <v>42</v>
      </c>
      <c r="K2089">
        <v>0</v>
      </c>
      <c r="L2089">
        <v>21.1</v>
      </c>
      <c r="M2089">
        <v>20.5</v>
      </c>
      <c r="N2089" t="s">
        <v>81</v>
      </c>
      <c r="O2089" t="s">
        <v>47</v>
      </c>
      <c r="P2089" t="s">
        <v>48</v>
      </c>
      <c r="R2089">
        <f>SUMIF(A2089:A7088,"C02088",I2089:I7088)</f>
        <v>15626.06</v>
      </c>
      <c r="S2089" s="1">
        <v>14815.83</v>
      </c>
      <c r="T2089">
        <f t="shared" si="240"/>
        <v>372.049047619048</v>
      </c>
      <c r="U2089">
        <f t="shared" si="241"/>
        <v>861</v>
      </c>
      <c r="V2089">
        <f t="shared" si="236"/>
        <v>71.75</v>
      </c>
      <c r="W2089">
        <f t="shared" si="238"/>
        <v>5856.03666666667</v>
      </c>
      <c r="X2089">
        <f t="shared" si="235"/>
        <v>0.430694727080704</v>
      </c>
      <c r="AH2089" t="str">
        <f t="shared" si="239"/>
        <v>3rd Quality</v>
      </c>
      <c r="AJ2089">
        <f>((T2089-X2089)*2)/21.1</f>
        <v>35.2244884257789</v>
      </c>
      <c r="AK2089">
        <f t="shared" si="237"/>
        <v>311033.003809524</v>
      </c>
    </row>
    <row r="2090" spans="1:37">
      <c r="A2090" t="s">
        <v>2156</v>
      </c>
      <c r="B2090">
        <v>31</v>
      </c>
      <c r="C2090" t="s">
        <v>50</v>
      </c>
      <c r="D2090" t="s">
        <v>51</v>
      </c>
      <c r="E2090">
        <v>1023</v>
      </c>
      <c r="F2090">
        <v>79</v>
      </c>
      <c r="G2090">
        <v>8</v>
      </c>
      <c r="H2090">
        <v>823.06</v>
      </c>
      <c r="I2090">
        <v>6965.63</v>
      </c>
      <c r="J2090">
        <v>64</v>
      </c>
      <c r="K2090">
        <v>0</v>
      </c>
      <c r="L2090">
        <v>36.9</v>
      </c>
      <c r="M2090">
        <v>34.9</v>
      </c>
      <c r="N2090" t="s">
        <v>63</v>
      </c>
      <c r="O2090" t="s">
        <v>47</v>
      </c>
      <c r="P2090" t="s">
        <v>48</v>
      </c>
      <c r="R2090">
        <f>SUMIF(A2090:A7089,"C02089",I2090:I7089)</f>
        <v>6965.63</v>
      </c>
      <c r="S2090" s="1">
        <v>17552.95</v>
      </c>
      <c r="T2090">
        <f t="shared" si="240"/>
        <v>108.83796875</v>
      </c>
      <c r="U2090">
        <f t="shared" si="241"/>
        <v>2233.6</v>
      </c>
      <c r="V2090">
        <f t="shared" si="236"/>
        <v>186.133333333333</v>
      </c>
      <c r="W2090">
        <f t="shared" si="238"/>
        <v>2596.56333333333</v>
      </c>
      <c r="X2090">
        <f t="shared" si="235"/>
        <v>1.24292275168275</v>
      </c>
      <c r="AH2090" t="str">
        <f t="shared" si="239"/>
        <v>3rd Quality</v>
      </c>
      <c r="AJ2090">
        <f>((T2090-X2090)*2)/36.9</f>
        <v>5.8317098102069</v>
      </c>
      <c r="AK2090">
        <f t="shared" si="237"/>
        <v>111341.24203125</v>
      </c>
    </row>
    <row r="2091" spans="1:37">
      <c r="A2091" t="s">
        <v>2157</v>
      </c>
      <c r="B2091">
        <v>38</v>
      </c>
      <c r="C2091" t="s">
        <v>44</v>
      </c>
      <c r="D2091" t="s">
        <v>60</v>
      </c>
      <c r="E2091">
        <v>1263</v>
      </c>
      <c r="F2091">
        <v>7</v>
      </c>
      <c r="G2091">
        <v>7</v>
      </c>
      <c r="H2091">
        <v>2015.18</v>
      </c>
      <c r="I2091">
        <v>14815.83</v>
      </c>
      <c r="J2091">
        <v>49</v>
      </c>
      <c r="K2091">
        <v>0</v>
      </c>
      <c r="L2091">
        <v>16.5</v>
      </c>
      <c r="M2091">
        <v>33.8</v>
      </c>
      <c r="N2091" t="s">
        <v>52</v>
      </c>
      <c r="O2091" t="s">
        <v>47</v>
      </c>
      <c r="P2091" t="s">
        <v>58</v>
      </c>
      <c r="R2091">
        <f>SUMIF(A2091:A7090,"C02090",I2091:I7090)</f>
        <v>14815.83</v>
      </c>
      <c r="S2091" s="1">
        <v>4632.68</v>
      </c>
      <c r="T2091">
        <f t="shared" si="240"/>
        <v>302.36387755102</v>
      </c>
      <c r="U2091">
        <f t="shared" si="241"/>
        <v>1656.2</v>
      </c>
      <c r="V2091">
        <f t="shared" si="236"/>
        <v>138.016666666667</v>
      </c>
      <c r="W2091">
        <f t="shared" si="238"/>
        <v>5610.67</v>
      </c>
      <c r="X2091">
        <f t="shared" si="235"/>
        <v>0.626743020474598</v>
      </c>
      <c r="AH2091" t="str">
        <f t="shared" si="239"/>
        <v>3rd Quality</v>
      </c>
      <c r="AJ2091">
        <f>((T2091-X2091)*2)/16.5</f>
        <v>36.5741981249146</v>
      </c>
      <c r="AK2091">
        <f t="shared" si="237"/>
        <v>381885.577346939</v>
      </c>
    </row>
    <row r="2092" spans="1:37">
      <c r="A2092" t="s">
        <v>2158</v>
      </c>
      <c r="B2092">
        <v>22</v>
      </c>
      <c r="C2092" t="s">
        <v>50</v>
      </c>
      <c r="D2092" t="s">
        <v>45</v>
      </c>
      <c r="E2092">
        <v>1031</v>
      </c>
      <c r="F2092">
        <v>49</v>
      </c>
      <c r="G2092">
        <v>8</v>
      </c>
      <c r="H2092">
        <v>2246.86</v>
      </c>
      <c r="I2092">
        <v>17552.95</v>
      </c>
      <c r="J2092">
        <v>21</v>
      </c>
      <c r="K2092">
        <v>0</v>
      </c>
      <c r="L2092">
        <v>23.4</v>
      </c>
      <c r="M2092">
        <v>9.4</v>
      </c>
      <c r="N2092" t="s">
        <v>52</v>
      </c>
      <c r="O2092" t="s">
        <v>47</v>
      </c>
      <c r="P2092" t="s">
        <v>58</v>
      </c>
      <c r="R2092">
        <f>SUMIF(A2092:A7091,"C02091",I2092:I7091)</f>
        <v>17552.95</v>
      </c>
      <c r="S2092" s="1">
        <v>29361.91</v>
      </c>
      <c r="T2092">
        <f t="shared" si="240"/>
        <v>835.854761904762</v>
      </c>
      <c r="U2092">
        <f t="shared" si="241"/>
        <v>197.4</v>
      </c>
      <c r="V2092">
        <f t="shared" si="236"/>
        <v>16.45</v>
      </c>
      <c r="W2092">
        <f t="shared" si="238"/>
        <v>6600.27</v>
      </c>
      <c r="X2092">
        <f t="shared" si="235"/>
        <v>0.458862590459575</v>
      </c>
      <c r="AH2092" t="str">
        <f t="shared" si="239"/>
        <v>2nd Quality</v>
      </c>
      <c r="AJ2092">
        <f>((T2092-X2092)*2)/23.4</f>
        <v>71.4013589157523</v>
      </c>
      <c r="AK2092">
        <f t="shared" si="237"/>
        <v>861766.25952381</v>
      </c>
    </row>
    <row r="2093" spans="1:37">
      <c r="A2093" t="s">
        <v>2159</v>
      </c>
      <c r="B2093">
        <v>18</v>
      </c>
      <c r="C2093" t="s">
        <v>44</v>
      </c>
      <c r="D2093" t="s">
        <v>45</v>
      </c>
      <c r="E2093">
        <v>661</v>
      </c>
      <c r="F2093">
        <v>29</v>
      </c>
      <c r="G2093">
        <v>4</v>
      </c>
      <c r="H2093">
        <v>1198.23</v>
      </c>
      <c r="I2093">
        <v>4632.68</v>
      </c>
      <c r="J2093">
        <v>31</v>
      </c>
      <c r="K2093">
        <v>1</v>
      </c>
      <c r="L2093">
        <v>30.2</v>
      </c>
      <c r="M2093">
        <v>50.2</v>
      </c>
      <c r="N2093" t="s">
        <v>57</v>
      </c>
      <c r="O2093" t="s">
        <v>47</v>
      </c>
      <c r="P2093" t="s">
        <v>58</v>
      </c>
      <c r="R2093">
        <f>SUMIF(A2093:A7092,"C02092",I2093:I7092)</f>
        <v>4632.68</v>
      </c>
      <c r="S2093" s="1">
        <v>81928.89</v>
      </c>
      <c r="T2093">
        <f t="shared" si="240"/>
        <v>149.441290322581</v>
      </c>
      <c r="U2093">
        <f t="shared" si="241"/>
        <v>1556.2</v>
      </c>
      <c r="V2093">
        <f>U2093</f>
        <v>1556.2</v>
      </c>
      <c r="W2093">
        <f t="shared" si="238"/>
        <v>1943.97</v>
      </c>
      <c r="X2093">
        <f t="shared" si="235"/>
        <v>0.551647012677032</v>
      </c>
      <c r="AH2093" t="str">
        <f t="shared" si="239"/>
        <v>3rd Quality</v>
      </c>
      <c r="AJ2093">
        <f>((T2093-X2093)*2)/30.2</f>
        <v>9.86024127880159</v>
      </c>
      <c r="AK2093">
        <f t="shared" si="237"/>
        <v>98780.6929032258</v>
      </c>
    </row>
    <row r="2094" spans="1:37">
      <c r="A2094" t="s">
        <v>2160</v>
      </c>
      <c r="B2094">
        <v>26</v>
      </c>
      <c r="C2094" t="s">
        <v>44</v>
      </c>
      <c r="D2094" t="s">
        <v>51</v>
      </c>
      <c r="E2094">
        <v>1200</v>
      </c>
      <c r="F2094">
        <v>40</v>
      </c>
      <c r="G2094">
        <v>4</v>
      </c>
      <c r="H2094">
        <v>7745.67</v>
      </c>
      <c r="I2094">
        <v>29361.91</v>
      </c>
      <c r="J2094">
        <v>23</v>
      </c>
      <c r="K2094">
        <v>0</v>
      </c>
      <c r="L2094">
        <v>0</v>
      </c>
      <c r="M2094">
        <v>14.8</v>
      </c>
      <c r="N2094" t="s">
        <v>46</v>
      </c>
      <c r="O2094" t="s">
        <v>47</v>
      </c>
      <c r="P2094" t="s">
        <v>58</v>
      </c>
      <c r="R2094">
        <f>SUMIF(A2094:A7093,"C02093",I2094:I7093)</f>
        <v>29361.91</v>
      </c>
      <c r="S2094" s="1">
        <v>5835.04</v>
      </c>
      <c r="T2094">
        <f t="shared" si="240"/>
        <v>1276.6047826087</v>
      </c>
      <c r="U2094">
        <f t="shared" si="241"/>
        <v>340.4</v>
      </c>
      <c r="V2094">
        <f t="shared" si="236"/>
        <v>28.3666666666667</v>
      </c>
      <c r="W2094">
        <f t="shared" si="238"/>
        <v>12369.5266666667</v>
      </c>
      <c r="X2094">
        <f t="shared" si="235"/>
        <v>0.154925267923885</v>
      </c>
      <c r="AH2094" t="str">
        <f t="shared" si="239"/>
        <v>2nd Quality</v>
      </c>
      <c r="AJ2094">
        <f>((T2094-X2094)*2)</f>
        <v>2552.89971468155</v>
      </c>
      <c r="AK2094">
        <f t="shared" si="237"/>
        <v>1531925.73913043</v>
      </c>
    </row>
    <row r="2095" spans="1:37">
      <c r="A2095" t="s">
        <v>2161</v>
      </c>
      <c r="B2095">
        <v>33</v>
      </c>
      <c r="C2095" t="s">
        <v>50</v>
      </c>
      <c r="D2095" t="s">
        <v>45</v>
      </c>
      <c r="E2095">
        <v>518</v>
      </c>
      <c r="F2095">
        <v>7</v>
      </c>
      <c r="G2095">
        <v>29</v>
      </c>
      <c r="H2095">
        <v>3157.2</v>
      </c>
      <c r="I2095">
        <v>81928.89</v>
      </c>
      <c r="J2095">
        <v>216</v>
      </c>
      <c r="K2095">
        <v>0</v>
      </c>
      <c r="L2095">
        <v>3.8</v>
      </c>
      <c r="M2095">
        <v>35.3</v>
      </c>
      <c r="N2095" t="s">
        <v>57</v>
      </c>
      <c r="O2095" t="s">
        <v>47</v>
      </c>
      <c r="P2095" t="s">
        <v>58</v>
      </c>
      <c r="R2095">
        <f>SUMIF(A2095:A7094,"C02094",I2095:I7094)</f>
        <v>81928.89</v>
      </c>
      <c r="S2095" s="1">
        <v>11607.6</v>
      </c>
      <c r="T2095">
        <f t="shared" si="240"/>
        <v>379.300416666667</v>
      </c>
      <c r="U2095">
        <f t="shared" si="241"/>
        <v>7624.8</v>
      </c>
      <c r="V2095">
        <f t="shared" si="236"/>
        <v>635.4</v>
      </c>
      <c r="W2095">
        <f t="shared" si="238"/>
        <v>28362.3633333333</v>
      </c>
      <c r="X2095">
        <f t="shared" ref="X2095:X2158" si="242">E2095/H2095</f>
        <v>0.164069428607627</v>
      </c>
      <c r="AH2095" t="str">
        <f t="shared" si="239"/>
        <v>2nd Quality</v>
      </c>
      <c r="AJ2095">
        <f>((T2095-X2095)*2)/3.8</f>
        <v>199.545445914768</v>
      </c>
      <c r="AK2095">
        <f t="shared" si="237"/>
        <v>196477.615833333</v>
      </c>
    </row>
    <row r="2096" spans="1:37">
      <c r="A2096" t="s">
        <v>2162</v>
      </c>
      <c r="B2096">
        <v>29</v>
      </c>
      <c r="C2096" t="s">
        <v>50</v>
      </c>
      <c r="D2096" t="s">
        <v>45</v>
      </c>
      <c r="E2096">
        <v>966</v>
      </c>
      <c r="F2096">
        <v>221</v>
      </c>
      <c r="G2096">
        <v>3</v>
      </c>
      <c r="H2096">
        <v>1938.71</v>
      </c>
      <c r="I2096">
        <v>5835.04</v>
      </c>
      <c r="J2096">
        <v>32</v>
      </c>
      <c r="K2096">
        <v>0</v>
      </c>
      <c r="L2096">
        <v>16.8</v>
      </c>
      <c r="M2096">
        <v>3</v>
      </c>
      <c r="N2096" t="s">
        <v>61</v>
      </c>
      <c r="O2096" t="s">
        <v>53</v>
      </c>
      <c r="P2096" t="s">
        <v>58</v>
      </c>
      <c r="R2096">
        <f>SUMIF(A2096:A7095,"C02095",I2096:I7095)</f>
        <v>5835.04</v>
      </c>
      <c r="S2096" s="1">
        <v>86247.62</v>
      </c>
      <c r="T2096">
        <f t="shared" si="240"/>
        <v>182.345</v>
      </c>
      <c r="U2096">
        <f t="shared" si="241"/>
        <v>96</v>
      </c>
      <c r="V2096">
        <f t="shared" si="236"/>
        <v>8</v>
      </c>
      <c r="W2096">
        <f t="shared" si="238"/>
        <v>2591.58333333333</v>
      </c>
      <c r="X2096">
        <f t="shared" si="242"/>
        <v>0.498269467842019</v>
      </c>
      <c r="AH2096" t="str">
        <f t="shared" si="239"/>
        <v>3rd Quality</v>
      </c>
      <c r="AJ2096">
        <f>((T2096-X2096)*2)/16.8</f>
        <v>21.6484203014474</v>
      </c>
      <c r="AK2096">
        <f t="shared" si="237"/>
        <v>176145.27</v>
      </c>
    </row>
    <row r="2097" spans="1:37">
      <c r="A2097" t="s">
        <v>2163</v>
      </c>
      <c r="B2097">
        <v>19</v>
      </c>
      <c r="C2097" t="s">
        <v>44</v>
      </c>
      <c r="D2097" t="s">
        <v>60</v>
      </c>
      <c r="E2097">
        <v>911</v>
      </c>
      <c r="F2097">
        <v>14</v>
      </c>
      <c r="G2097">
        <v>10</v>
      </c>
      <c r="H2097">
        <v>1129.3</v>
      </c>
      <c r="I2097">
        <v>11607.6</v>
      </c>
      <c r="J2097">
        <v>46</v>
      </c>
      <c r="K2097">
        <v>1</v>
      </c>
      <c r="L2097">
        <v>19.4</v>
      </c>
      <c r="M2097">
        <v>19.8</v>
      </c>
      <c r="N2097" t="s">
        <v>78</v>
      </c>
      <c r="O2097" t="s">
        <v>75</v>
      </c>
      <c r="P2097" t="s">
        <v>58</v>
      </c>
      <c r="R2097">
        <f>SUMIF(A2097:A7096,"C02096",I2097:I7096)</f>
        <v>11607.6</v>
      </c>
      <c r="S2097" s="1">
        <v>46478.47</v>
      </c>
      <c r="T2097">
        <f t="shared" si="240"/>
        <v>252.339130434783</v>
      </c>
      <c r="U2097">
        <f t="shared" si="241"/>
        <v>910.8</v>
      </c>
      <c r="V2097">
        <f>U2097</f>
        <v>910.8</v>
      </c>
      <c r="W2097">
        <f t="shared" si="238"/>
        <v>4245.96666666667</v>
      </c>
      <c r="X2097">
        <f t="shared" si="242"/>
        <v>0.806694412467901</v>
      </c>
      <c r="AH2097" t="str">
        <f t="shared" si="239"/>
        <v>3rd Quality</v>
      </c>
      <c r="AJ2097">
        <f>((T2097-X2097)*2)/19.4</f>
        <v>25.9311789713727</v>
      </c>
      <c r="AK2097">
        <f t="shared" si="237"/>
        <v>229880.947826087</v>
      </c>
    </row>
    <row r="2098" spans="1:37">
      <c r="A2098" t="s">
        <v>2164</v>
      </c>
      <c r="B2098">
        <v>22</v>
      </c>
      <c r="C2098" t="s">
        <v>44</v>
      </c>
      <c r="D2098" t="s">
        <v>60</v>
      </c>
      <c r="E2098">
        <v>1018</v>
      </c>
      <c r="F2098">
        <v>7</v>
      </c>
      <c r="G2098">
        <v>30</v>
      </c>
      <c r="H2098">
        <v>2643.15</v>
      </c>
      <c r="I2098">
        <v>86247.62</v>
      </c>
      <c r="J2098">
        <v>250</v>
      </c>
      <c r="K2098">
        <v>2</v>
      </c>
      <c r="L2098">
        <v>14.7</v>
      </c>
      <c r="M2098">
        <v>53.6</v>
      </c>
      <c r="N2098" t="s">
        <v>63</v>
      </c>
      <c r="O2098" t="s">
        <v>75</v>
      </c>
      <c r="P2098" t="s">
        <v>68</v>
      </c>
      <c r="R2098">
        <f>SUMIF(A2098:A7097,"C02097",I2098:I7097)</f>
        <v>86247.62</v>
      </c>
      <c r="S2098" s="1">
        <v>246710.08</v>
      </c>
      <c r="T2098">
        <f t="shared" si="240"/>
        <v>344.99048</v>
      </c>
      <c r="U2098">
        <f t="shared" si="241"/>
        <v>13400</v>
      </c>
      <c r="V2098">
        <f>U2098</f>
        <v>13400</v>
      </c>
      <c r="W2098">
        <f t="shared" si="238"/>
        <v>29630.59</v>
      </c>
      <c r="X2098">
        <f t="shared" si="242"/>
        <v>0.385146510792047</v>
      </c>
      <c r="AH2098" t="str">
        <f t="shared" si="239"/>
        <v>1st Quality</v>
      </c>
      <c r="AJ2098">
        <f>((T2098-X2098)*2)/14.7</f>
        <v>46.8850793862868</v>
      </c>
      <c r="AK2098">
        <f t="shared" si="237"/>
        <v>351200.30864</v>
      </c>
    </row>
    <row r="2099" spans="1:37">
      <c r="A2099" t="s">
        <v>2165</v>
      </c>
      <c r="B2099">
        <v>27</v>
      </c>
      <c r="C2099" t="s">
        <v>50</v>
      </c>
      <c r="D2099" t="s">
        <v>45</v>
      </c>
      <c r="E2099">
        <v>1135</v>
      </c>
      <c r="F2099">
        <v>18</v>
      </c>
      <c r="G2099">
        <v>6</v>
      </c>
      <c r="H2099">
        <v>7669.36</v>
      </c>
      <c r="I2099">
        <v>46478.47</v>
      </c>
      <c r="J2099">
        <v>41</v>
      </c>
      <c r="K2099">
        <v>0</v>
      </c>
      <c r="L2099">
        <v>3.1</v>
      </c>
      <c r="M2099">
        <v>23.4</v>
      </c>
      <c r="N2099" t="s">
        <v>61</v>
      </c>
      <c r="O2099" t="s">
        <v>47</v>
      </c>
      <c r="P2099" t="s">
        <v>58</v>
      </c>
      <c r="R2099">
        <f>SUMIF(A2099:A7098,"C02098",I2099:I7098)</f>
        <v>46478.47</v>
      </c>
      <c r="S2099" s="1">
        <v>8132.48</v>
      </c>
      <c r="T2099">
        <f t="shared" si="240"/>
        <v>1133.6212195122</v>
      </c>
      <c r="U2099">
        <f t="shared" si="241"/>
        <v>959.4</v>
      </c>
      <c r="V2099">
        <f t="shared" si="236"/>
        <v>79.95</v>
      </c>
      <c r="W2099">
        <f t="shared" si="238"/>
        <v>18049.61</v>
      </c>
      <c r="X2099">
        <f t="shared" si="242"/>
        <v>0.147991488207621</v>
      </c>
      <c r="AH2099" t="str">
        <f t="shared" si="239"/>
        <v>1st Quality</v>
      </c>
      <c r="AJ2099">
        <f>((T2099-X2099)*2)/3.1</f>
        <v>731.27305033806</v>
      </c>
      <c r="AK2099">
        <f t="shared" si="237"/>
        <v>1286660.08414634</v>
      </c>
    </row>
    <row r="2100" spans="1:37">
      <c r="A2100" t="s">
        <v>2166</v>
      </c>
      <c r="B2100">
        <v>56</v>
      </c>
      <c r="C2100" t="s">
        <v>50</v>
      </c>
      <c r="D2100" t="s">
        <v>51</v>
      </c>
      <c r="E2100">
        <v>435</v>
      </c>
      <c r="F2100">
        <v>4</v>
      </c>
      <c r="G2100">
        <v>32</v>
      </c>
      <c r="H2100">
        <v>8412.38</v>
      </c>
      <c r="I2100">
        <v>246710.08</v>
      </c>
      <c r="J2100">
        <v>139</v>
      </c>
      <c r="K2100">
        <v>6</v>
      </c>
      <c r="L2100">
        <v>15.2</v>
      </c>
      <c r="M2100">
        <v>10.9</v>
      </c>
      <c r="N2100" t="s">
        <v>46</v>
      </c>
      <c r="O2100" t="s">
        <v>47</v>
      </c>
      <c r="P2100" t="s">
        <v>58</v>
      </c>
      <c r="R2100">
        <f>SUMIF(A2100:A7099,"C02099",I2100:I7099)</f>
        <v>246710.08</v>
      </c>
      <c r="S2100" s="1">
        <v>5452.33</v>
      </c>
      <c r="T2100">
        <f t="shared" si="240"/>
        <v>1774.8926618705</v>
      </c>
      <c r="U2100">
        <f t="shared" si="241"/>
        <v>1515.1</v>
      </c>
      <c r="V2100">
        <f>U2100</f>
        <v>1515.1</v>
      </c>
      <c r="W2100">
        <f t="shared" si="238"/>
        <v>85041.1533333333</v>
      </c>
      <c r="X2100">
        <f t="shared" si="242"/>
        <v>0.0517095043257675</v>
      </c>
      <c r="AH2100" t="str">
        <f t="shared" si="239"/>
        <v>3rd Quality</v>
      </c>
      <c r="AJ2100">
        <f>((T2100-X2100)*2)/15.2</f>
        <v>233.531704258707</v>
      </c>
      <c r="AK2100">
        <f t="shared" si="237"/>
        <v>772078.307913669</v>
      </c>
    </row>
    <row r="2101" spans="1:37">
      <c r="A2101" t="s">
        <v>2167</v>
      </c>
      <c r="B2101">
        <v>45</v>
      </c>
      <c r="C2101" t="s">
        <v>44</v>
      </c>
      <c r="D2101" t="s">
        <v>60</v>
      </c>
      <c r="E2101">
        <v>1292</v>
      </c>
      <c r="F2101">
        <v>26</v>
      </c>
      <c r="G2101">
        <v>7</v>
      </c>
      <c r="H2101">
        <v>1217.85</v>
      </c>
      <c r="I2101">
        <v>8132.48</v>
      </c>
      <c r="J2101">
        <v>45</v>
      </c>
      <c r="K2101">
        <v>0</v>
      </c>
      <c r="L2101">
        <v>19.5</v>
      </c>
      <c r="M2101">
        <v>56</v>
      </c>
      <c r="N2101" t="s">
        <v>63</v>
      </c>
      <c r="O2101" t="s">
        <v>75</v>
      </c>
      <c r="P2101" t="s">
        <v>58</v>
      </c>
      <c r="R2101">
        <f>SUMIF(A2101:A7100,"C02100",I2101:I7100)</f>
        <v>8132.48</v>
      </c>
      <c r="S2101" s="1">
        <v>63853.18</v>
      </c>
      <c r="T2101">
        <f t="shared" si="240"/>
        <v>180.721777777778</v>
      </c>
      <c r="U2101">
        <f t="shared" si="241"/>
        <v>2520</v>
      </c>
      <c r="V2101">
        <f t="shared" si="236"/>
        <v>210</v>
      </c>
      <c r="W2101">
        <f t="shared" si="238"/>
        <v>3117.11</v>
      </c>
      <c r="X2101">
        <f t="shared" si="242"/>
        <v>1.0608859876011</v>
      </c>
      <c r="AH2101" t="str">
        <f t="shared" si="239"/>
        <v>3rd Quality</v>
      </c>
      <c r="AJ2101">
        <f>((T2101-X2101)*2)/19.5</f>
        <v>18.4267581323258</v>
      </c>
      <c r="AK2101">
        <f t="shared" si="237"/>
        <v>233492.536888889</v>
      </c>
    </row>
    <row r="2102" spans="1:37">
      <c r="A2102" t="s">
        <v>2168</v>
      </c>
      <c r="B2102">
        <v>34</v>
      </c>
      <c r="C2102" t="s">
        <v>44</v>
      </c>
      <c r="D2102" t="s">
        <v>60</v>
      </c>
      <c r="E2102">
        <v>701</v>
      </c>
      <c r="F2102">
        <v>11</v>
      </c>
      <c r="G2102">
        <v>4</v>
      </c>
      <c r="H2102">
        <v>1275.81</v>
      </c>
      <c r="I2102">
        <v>5452.33</v>
      </c>
      <c r="J2102">
        <v>39</v>
      </c>
      <c r="K2102">
        <v>0</v>
      </c>
      <c r="L2102">
        <v>29.2</v>
      </c>
      <c r="M2102">
        <v>3.2</v>
      </c>
      <c r="N2102" t="s">
        <v>63</v>
      </c>
      <c r="O2102" t="s">
        <v>47</v>
      </c>
      <c r="P2102" t="s">
        <v>58</v>
      </c>
      <c r="R2102">
        <f>SUMIF(A2102:A7101,"C02101",I2102:I7101)</f>
        <v>5452.33</v>
      </c>
      <c r="S2102" s="1">
        <v>1728.39</v>
      </c>
      <c r="T2102">
        <f t="shared" si="240"/>
        <v>139.803333333333</v>
      </c>
      <c r="U2102">
        <f t="shared" si="241"/>
        <v>124.8</v>
      </c>
      <c r="V2102">
        <f t="shared" si="236"/>
        <v>10.4</v>
      </c>
      <c r="W2102">
        <f t="shared" si="238"/>
        <v>2243.04666666667</v>
      </c>
      <c r="X2102">
        <f t="shared" si="242"/>
        <v>0.549454856130615</v>
      </c>
      <c r="AH2102" t="str">
        <f t="shared" si="239"/>
        <v>3rd Quality</v>
      </c>
      <c r="AJ2102">
        <f>((T2102-X2102)*2)/29.2</f>
        <v>9.53793688200016</v>
      </c>
      <c r="AK2102">
        <f t="shared" si="237"/>
        <v>98002.1366666667</v>
      </c>
    </row>
    <row r="2103" spans="1:37">
      <c r="A2103" t="s">
        <v>2169</v>
      </c>
      <c r="B2103">
        <v>33</v>
      </c>
      <c r="C2103" t="s">
        <v>44</v>
      </c>
      <c r="D2103" t="s">
        <v>60</v>
      </c>
      <c r="E2103">
        <v>632</v>
      </c>
      <c r="F2103">
        <v>16</v>
      </c>
      <c r="G2103">
        <v>27</v>
      </c>
      <c r="H2103">
        <v>2299.7</v>
      </c>
      <c r="I2103">
        <v>63853.18</v>
      </c>
      <c r="J2103">
        <v>116</v>
      </c>
      <c r="K2103">
        <v>1</v>
      </c>
      <c r="L2103">
        <v>14.6</v>
      </c>
      <c r="M2103">
        <v>14.5</v>
      </c>
      <c r="N2103" t="s">
        <v>63</v>
      </c>
      <c r="O2103" t="s">
        <v>47</v>
      </c>
      <c r="P2103" t="s">
        <v>48</v>
      </c>
      <c r="R2103">
        <f>SUMIF(A2103:A7102,"C02102",I2103:I7102)</f>
        <v>63853.18</v>
      </c>
      <c r="S2103" s="1">
        <v>1441.65</v>
      </c>
      <c r="T2103">
        <f t="shared" si="240"/>
        <v>550.458448275862</v>
      </c>
      <c r="U2103">
        <f t="shared" si="241"/>
        <v>1682</v>
      </c>
      <c r="V2103">
        <f>U2103</f>
        <v>1682</v>
      </c>
      <c r="W2103">
        <f t="shared" si="238"/>
        <v>22051.2933333333</v>
      </c>
      <c r="X2103">
        <f t="shared" si="242"/>
        <v>0.274818454581032</v>
      </c>
      <c r="AH2103" t="str">
        <f t="shared" si="239"/>
        <v>2nd Quality</v>
      </c>
      <c r="AJ2103">
        <f>((T2103-X2103)*2)/14.6</f>
        <v>75.3676205234631</v>
      </c>
      <c r="AK2103">
        <f t="shared" si="237"/>
        <v>347889.739310345</v>
      </c>
    </row>
    <row r="2104" spans="1:37">
      <c r="A2104" t="s">
        <v>2170</v>
      </c>
      <c r="B2104">
        <v>47</v>
      </c>
      <c r="C2104" t="s">
        <v>44</v>
      </c>
      <c r="D2104" t="s">
        <v>45</v>
      </c>
      <c r="E2104">
        <v>951</v>
      </c>
      <c r="F2104">
        <v>149</v>
      </c>
      <c r="G2104">
        <v>1</v>
      </c>
      <c r="H2104">
        <v>1622.8</v>
      </c>
      <c r="I2104">
        <v>1728.39</v>
      </c>
      <c r="J2104">
        <v>17</v>
      </c>
      <c r="K2104">
        <v>0</v>
      </c>
      <c r="L2104">
        <v>28.2</v>
      </c>
      <c r="M2104">
        <v>20.4</v>
      </c>
      <c r="N2104" t="s">
        <v>61</v>
      </c>
      <c r="O2104" t="s">
        <v>47</v>
      </c>
      <c r="P2104" t="s">
        <v>66</v>
      </c>
      <c r="R2104">
        <f>SUMIF(A2104:A7103,"C02103",I2104:I7103)</f>
        <v>1728.39</v>
      </c>
      <c r="S2104" s="1">
        <v>52122.41</v>
      </c>
      <c r="T2104">
        <f t="shared" si="240"/>
        <v>101.67</v>
      </c>
      <c r="U2104">
        <f t="shared" si="241"/>
        <v>346.8</v>
      </c>
      <c r="V2104">
        <f t="shared" si="236"/>
        <v>28.9</v>
      </c>
      <c r="W2104">
        <f t="shared" si="238"/>
        <v>1117.39666666667</v>
      </c>
      <c r="X2104">
        <f t="shared" si="242"/>
        <v>0.586024155780133</v>
      </c>
      <c r="AH2104" t="str">
        <f t="shared" si="239"/>
        <v>3rd Quality</v>
      </c>
      <c r="AJ2104">
        <f>((T2104-X2104)*2)/28.2</f>
        <v>7.1690763010085</v>
      </c>
      <c r="AK2104">
        <f t="shared" si="237"/>
        <v>96688.17</v>
      </c>
    </row>
    <row r="2105" spans="1:37">
      <c r="A2105" t="s">
        <v>2171</v>
      </c>
      <c r="B2105">
        <v>34</v>
      </c>
      <c r="C2105" t="s">
        <v>50</v>
      </c>
      <c r="D2105" t="s">
        <v>60</v>
      </c>
      <c r="E2105">
        <v>1446</v>
      </c>
      <c r="F2105">
        <v>159</v>
      </c>
      <c r="G2105">
        <v>1</v>
      </c>
      <c r="H2105">
        <v>1472.22</v>
      </c>
      <c r="I2105">
        <v>1441.65</v>
      </c>
      <c r="J2105">
        <v>15</v>
      </c>
      <c r="K2105">
        <v>0</v>
      </c>
      <c r="L2105">
        <v>14</v>
      </c>
      <c r="M2105">
        <v>20</v>
      </c>
      <c r="N2105" t="s">
        <v>57</v>
      </c>
      <c r="O2105" t="s">
        <v>47</v>
      </c>
      <c r="P2105" t="s">
        <v>68</v>
      </c>
      <c r="R2105">
        <f>SUMIF(A2105:A7104,"C02104",I2105:I7104)</f>
        <v>1441.65</v>
      </c>
      <c r="S2105" s="1">
        <v>1853.9</v>
      </c>
      <c r="T2105">
        <f t="shared" si="240"/>
        <v>96.11</v>
      </c>
      <c r="U2105">
        <f t="shared" si="241"/>
        <v>300</v>
      </c>
      <c r="V2105">
        <f t="shared" si="236"/>
        <v>25</v>
      </c>
      <c r="W2105">
        <f t="shared" si="238"/>
        <v>971.623333333333</v>
      </c>
      <c r="X2105">
        <f t="shared" si="242"/>
        <v>0.982190161796471</v>
      </c>
      <c r="AH2105" t="str">
        <f t="shared" si="239"/>
        <v>3rd Quality</v>
      </c>
      <c r="AJ2105">
        <f>((T2105-X2105)*2)/14</f>
        <v>13.5896871197434</v>
      </c>
      <c r="AK2105">
        <f t="shared" si="237"/>
        <v>138975.06</v>
      </c>
    </row>
    <row r="2106" spans="1:37">
      <c r="A2106" t="s">
        <v>2172</v>
      </c>
      <c r="B2106">
        <v>34</v>
      </c>
      <c r="C2106" t="s">
        <v>44</v>
      </c>
      <c r="D2106" t="s">
        <v>45</v>
      </c>
      <c r="E2106">
        <v>1280</v>
      </c>
      <c r="F2106">
        <v>23</v>
      </c>
      <c r="G2106">
        <v>6</v>
      </c>
      <c r="H2106">
        <v>9693.18</v>
      </c>
      <c r="I2106">
        <v>52122.41</v>
      </c>
      <c r="J2106">
        <v>25</v>
      </c>
      <c r="K2106">
        <v>0</v>
      </c>
      <c r="L2106">
        <v>5.5</v>
      </c>
      <c r="M2106">
        <v>20.2</v>
      </c>
      <c r="N2106" t="s">
        <v>78</v>
      </c>
      <c r="O2106" t="s">
        <v>47</v>
      </c>
      <c r="P2106" t="s">
        <v>68</v>
      </c>
      <c r="R2106">
        <f>SUMIF(A2106:A7105,"C02105",I2106:I7105)</f>
        <v>52122.41</v>
      </c>
      <c r="S2106" s="1">
        <v>2504.47</v>
      </c>
      <c r="T2106">
        <f t="shared" si="240"/>
        <v>2084.8964</v>
      </c>
      <c r="U2106">
        <f t="shared" si="241"/>
        <v>505</v>
      </c>
      <c r="V2106">
        <f t="shared" si="236"/>
        <v>42.0833333333333</v>
      </c>
      <c r="W2106">
        <f t="shared" si="238"/>
        <v>20605.53</v>
      </c>
      <c r="X2106">
        <f t="shared" si="242"/>
        <v>0.132051607418824</v>
      </c>
      <c r="AH2106" t="str">
        <f t="shared" si="239"/>
        <v>2nd Quality</v>
      </c>
      <c r="AJ2106">
        <f>((T2106-X2106)*2)/5.5</f>
        <v>758.096126688211</v>
      </c>
      <c r="AK2106">
        <f t="shared" si="237"/>
        <v>2668667.392</v>
      </c>
    </row>
    <row r="2107" spans="1:37">
      <c r="A2107" t="s">
        <v>2173</v>
      </c>
      <c r="B2107">
        <v>21</v>
      </c>
      <c r="C2107" t="s">
        <v>44</v>
      </c>
      <c r="D2107" t="s">
        <v>60</v>
      </c>
      <c r="E2107">
        <v>903</v>
      </c>
      <c r="F2107">
        <v>65</v>
      </c>
      <c r="G2107">
        <v>4</v>
      </c>
      <c r="H2107">
        <v>423.61</v>
      </c>
      <c r="I2107">
        <v>1853.9</v>
      </c>
      <c r="J2107">
        <v>20</v>
      </c>
      <c r="K2107">
        <v>0</v>
      </c>
      <c r="L2107">
        <v>35.3</v>
      </c>
      <c r="M2107">
        <v>32.7</v>
      </c>
      <c r="N2107" t="s">
        <v>46</v>
      </c>
      <c r="O2107" t="s">
        <v>75</v>
      </c>
      <c r="P2107" t="s">
        <v>54</v>
      </c>
      <c r="R2107">
        <f>SUMIF(A2107:A7106,"C02106",I2107:I7106)</f>
        <v>1853.9</v>
      </c>
      <c r="S2107" s="1">
        <v>2539.34</v>
      </c>
      <c r="T2107">
        <f t="shared" si="240"/>
        <v>92.695</v>
      </c>
      <c r="U2107">
        <f t="shared" si="241"/>
        <v>654</v>
      </c>
      <c r="V2107">
        <f t="shared" si="236"/>
        <v>54.5</v>
      </c>
      <c r="W2107">
        <f t="shared" si="238"/>
        <v>759.503333333333</v>
      </c>
      <c r="X2107">
        <f t="shared" si="242"/>
        <v>2.13167772243337</v>
      </c>
      <c r="AH2107" t="str">
        <f t="shared" si="239"/>
        <v>3rd Quality</v>
      </c>
      <c r="AJ2107">
        <f>((T2107-X2107)*2)/35.3</f>
        <v>5.13106641799244</v>
      </c>
      <c r="AK2107">
        <f t="shared" si="237"/>
        <v>83703.585</v>
      </c>
    </row>
    <row r="2108" spans="1:37">
      <c r="A2108" t="s">
        <v>2174</v>
      </c>
      <c r="B2108">
        <v>46</v>
      </c>
      <c r="C2108" t="s">
        <v>44</v>
      </c>
      <c r="D2108" t="s">
        <v>45</v>
      </c>
      <c r="E2108">
        <v>1011</v>
      </c>
      <c r="F2108">
        <v>155</v>
      </c>
      <c r="G2108">
        <v>2</v>
      </c>
      <c r="H2108">
        <v>1299.25</v>
      </c>
      <c r="I2108">
        <v>2504.47</v>
      </c>
      <c r="J2108">
        <v>21</v>
      </c>
      <c r="K2108">
        <v>0</v>
      </c>
      <c r="L2108">
        <v>31.3</v>
      </c>
      <c r="M2108">
        <v>44.5</v>
      </c>
      <c r="N2108" t="s">
        <v>57</v>
      </c>
      <c r="O2108" t="s">
        <v>75</v>
      </c>
      <c r="P2108" t="s">
        <v>48</v>
      </c>
      <c r="R2108">
        <f>SUMIF(A2108:A7107,"C02107",I2108:I7107)</f>
        <v>2504.47</v>
      </c>
      <c r="S2108" s="1">
        <v>5266.38</v>
      </c>
      <c r="T2108">
        <f t="shared" si="240"/>
        <v>119.260476190476</v>
      </c>
      <c r="U2108">
        <f t="shared" si="241"/>
        <v>934.5</v>
      </c>
      <c r="V2108">
        <f t="shared" si="236"/>
        <v>77.875</v>
      </c>
      <c r="W2108">
        <f t="shared" si="238"/>
        <v>1268.24</v>
      </c>
      <c r="X2108">
        <f t="shared" si="242"/>
        <v>0.778141235328074</v>
      </c>
      <c r="AH2108" t="str">
        <f t="shared" si="239"/>
        <v>3rd Quality</v>
      </c>
      <c r="AJ2108">
        <f>((T2108-X2108)*2)/31.3</f>
        <v>7.570756227166</v>
      </c>
      <c r="AK2108">
        <f t="shared" si="237"/>
        <v>120572.341428571</v>
      </c>
    </row>
    <row r="2109" spans="1:37">
      <c r="A2109" t="s">
        <v>2175</v>
      </c>
      <c r="B2109">
        <v>28</v>
      </c>
      <c r="C2109" t="s">
        <v>50</v>
      </c>
      <c r="D2109" t="s">
        <v>60</v>
      </c>
      <c r="E2109">
        <v>917</v>
      </c>
      <c r="F2109">
        <v>124</v>
      </c>
      <c r="G2109">
        <v>1</v>
      </c>
      <c r="H2109">
        <v>2821.45</v>
      </c>
      <c r="I2109">
        <v>2539.34</v>
      </c>
      <c r="J2109">
        <v>10</v>
      </c>
      <c r="K2109">
        <v>0</v>
      </c>
      <c r="L2109">
        <v>2</v>
      </c>
      <c r="M2109">
        <v>22.3</v>
      </c>
      <c r="N2109" t="s">
        <v>46</v>
      </c>
      <c r="O2109" t="s">
        <v>75</v>
      </c>
      <c r="P2109" t="s">
        <v>58</v>
      </c>
      <c r="R2109">
        <f>SUMIF(A2109:A7108,"C02108",I2109:I7108)</f>
        <v>2539.34</v>
      </c>
      <c r="S2109" s="1">
        <v>137630.6</v>
      </c>
      <c r="T2109">
        <f t="shared" si="240"/>
        <v>253.934</v>
      </c>
      <c r="U2109">
        <f t="shared" si="241"/>
        <v>223</v>
      </c>
      <c r="V2109">
        <f t="shared" si="236"/>
        <v>18.5833333333333</v>
      </c>
      <c r="W2109">
        <f t="shared" si="238"/>
        <v>1787.26333333333</v>
      </c>
      <c r="X2109">
        <f t="shared" si="242"/>
        <v>0.325010189796027</v>
      </c>
      <c r="AH2109" t="str">
        <f t="shared" si="239"/>
        <v>3rd Quality</v>
      </c>
      <c r="AJ2109">
        <f>((T2109-X2109)*2)/2</f>
        <v>253.608989810204</v>
      </c>
      <c r="AK2109">
        <f t="shared" si="237"/>
        <v>232857.478</v>
      </c>
    </row>
    <row r="2110" spans="1:37">
      <c r="A2110" t="s">
        <v>2176</v>
      </c>
      <c r="B2110">
        <v>24</v>
      </c>
      <c r="C2110" t="s">
        <v>50</v>
      </c>
      <c r="D2110" t="s">
        <v>51</v>
      </c>
      <c r="E2110">
        <v>1116</v>
      </c>
      <c r="F2110">
        <v>69</v>
      </c>
      <c r="G2110">
        <v>6</v>
      </c>
      <c r="H2110">
        <v>859.8</v>
      </c>
      <c r="I2110">
        <v>5266.38</v>
      </c>
      <c r="J2110">
        <v>58</v>
      </c>
      <c r="K2110">
        <v>1</v>
      </c>
      <c r="L2110">
        <v>16.9</v>
      </c>
      <c r="M2110">
        <v>33</v>
      </c>
      <c r="N2110" t="s">
        <v>61</v>
      </c>
      <c r="O2110" t="s">
        <v>47</v>
      </c>
      <c r="P2110" t="s">
        <v>58</v>
      </c>
      <c r="R2110">
        <f>SUMIF(A2110:A7109,"C02109",I2110:I7109)</f>
        <v>5266.38</v>
      </c>
      <c r="S2110" s="1">
        <v>28424.95</v>
      </c>
      <c r="T2110">
        <f t="shared" si="240"/>
        <v>90.7996551724138</v>
      </c>
      <c r="U2110">
        <f t="shared" si="241"/>
        <v>1914</v>
      </c>
      <c r="V2110">
        <f>U2110</f>
        <v>1914</v>
      </c>
      <c r="W2110">
        <f t="shared" si="238"/>
        <v>2042.39333333333</v>
      </c>
      <c r="X2110">
        <f t="shared" si="242"/>
        <v>1.29797627355199</v>
      </c>
      <c r="AH2110" t="str">
        <f t="shared" si="239"/>
        <v>3rd Quality</v>
      </c>
      <c r="AJ2110">
        <f>((T2110-X2110)*2)/16.9</f>
        <v>10.5919146625872</v>
      </c>
      <c r="AK2110">
        <f t="shared" si="237"/>
        <v>101332.415172414</v>
      </c>
    </row>
    <row r="2111" spans="1:37">
      <c r="A2111" t="s">
        <v>2177</v>
      </c>
      <c r="B2111">
        <v>33</v>
      </c>
      <c r="C2111" t="s">
        <v>44</v>
      </c>
      <c r="D2111" t="s">
        <v>45</v>
      </c>
      <c r="E2111">
        <v>1306</v>
      </c>
      <c r="F2111">
        <v>2</v>
      </c>
      <c r="G2111">
        <v>26</v>
      </c>
      <c r="H2111">
        <v>5000.69</v>
      </c>
      <c r="I2111">
        <v>137630.6</v>
      </c>
      <c r="J2111">
        <v>92</v>
      </c>
      <c r="K2111">
        <v>1</v>
      </c>
      <c r="L2111">
        <v>4</v>
      </c>
      <c r="M2111">
        <v>53.7</v>
      </c>
      <c r="N2111" t="s">
        <v>63</v>
      </c>
      <c r="O2111" t="s">
        <v>47</v>
      </c>
      <c r="P2111" t="s">
        <v>66</v>
      </c>
      <c r="R2111">
        <f>SUMIF(A2111:A7110,"C02110",I2111:I7110)</f>
        <v>137630.6</v>
      </c>
      <c r="S2111" s="1">
        <v>37227.58</v>
      </c>
      <c r="T2111">
        <f t="shared" si="240"/>
        <v>1495.9847826087</v>
      </c>
      <c r="U2111">
        <f t="shared" si="241"/>
        <v>4940.4</v>
      </c>
      <c r="V2111">
        <f>U2111</f>
        <v>4940.4</v>
      </c>
      <c r="W2111">
        <f t="shared" si="238"/>
        <v>47544.0966666667</v>
      </c>
      <c r="X2111">
        <f t="shared" si="242"/>
        <v>0.261163959373606</v>
      </c>
      <c r="AH2111" t="str">
        <f t="shared" si="239"/>
        <v>1st Quality</v>
      </c>
      <c r="AJ2111">
        <f>((T2111-X2111)*2)/4</f>
        <v>747.861809324663</v>
      </c>
      <c r="AK2111">
        <f t="shared" si="237"/>
        <v>1953756.12608696</v>
      </c>
    </row>
    <row r="2112" spans="1:37">
      <c r="A2112" t="s">
        <v>2178</v>
      </c>
      <c r="B2112">
        <v>52</v>
      </c>
      <c r="C2112" t="s">
        <v>44</v>
      </c>
      <c r="D2112" t="s">
        <v>51</v>
      </c>
      <c r="E2112">
        <v>523</v>
      </c>
      <c r="F2112">
        <v>58</v>
      </c>
      <c r="G2112">
        <v>5</v>
      </c>
      <c r="H2112">
        <v>5715.16</v>
      </c>
      <c r="I2112">
        <v>28424.95</v>
      </c>
      <c r="J2112">
        <v>41</v>
      </c>
      <c r="K2112">
        <v>1</v>
      </c>
      <c r="L2112">
        <v>10.1</v>
      </c>
      <c r="M2112">
        <v>24.5</v>
      </c>
      <c r="N2112" t="s">
        <v>57</v>
      </c>
      <c r="O2112" t="s">
        <v>47</v>
      </c>
      <c r="P2112" t="s">
        <v>48</v>
      </c>
      <c r="R2112">
        <f>SUMIF(A2112:A7111,"C02111",I2112:I7111)</f>
        <v>28424.95</v>
      </c>
      <c r="S2112" s="1">
        <v>47792.97</v>
      </c>
      <c r="T2112">
        <f t="shared" si="240"/>
        <v>693.291463414634</v>
      </c>
      <c r="U2112">
        <f t="shared" si="241"/>
        <v>1004.5</v>
      </c>
      <c r="V2112">
        <f>U2112</f>
        <v>1004.5</v>
      </c>
      <c r="W2112">
        <f t="shared" si="238"/>
        <v>11380.37</v>
      </c>
      <c r="X2112">
        <f t="shared" si="242"/>
        <v>0.091510998817181</v>
      </c>
      <c r="AH2112" t="str">
        <f t="shared" si="239"/>
        <v>3rd Quality</v>
      </c>
      <c r="AJ2112">
        <f>((T2112-X2112)*2)/10.1</f>
        <v>137.267317310063</v>
      </c>
      <c r="AK2112">
        <f t="shared" si="237"/>
        <v>362591.435365854</v>
      </c>
    </row>
    <row r="2113" spans="1:37">
      <c r="A2113" t="s">
        <v>2179</v>
      </c>
      <c r="B2113">
        <v>36</v>
      </c>
      <c r="C2113" t="s">
        <v>44</v>
      </c>
      <c r="D2113" t="s">
        <v>45</v>
      </c>
      <c r="E2113">
        <v>814</v>
      </c>
      <c r="F2113">
        <v>2</v>
      </c>
      <c r="G2113">
        <v>3</v>
      </c>
      <c r="H2113">
        <v>12079.11</v>
      </c>
      <c r="I2113">
        <v>37227.58</v>
      </c>
      <c r="J2113">
        <v>25</v>
      </c>
      <c r="K2113">
        <v>0</v>
      </c>
      <c r="L2113">
        <v>0</v>
      </c>
      <c r="M2113">
        <v>19.3</v>
      </c>
      <c r="N2113" t="s">
        <v>52</v>
      </c>
      <c r="O2113" t="s">
        <v>47</v>
      </c>
      <c r="P2113" t="s">
        <v>58</v>
      </c>
      <c r="R2113">
        <f>SUMIF(A2113:A7112,"C02112",I2113:I7112)</f>
        <v>37227.58</v>
      </c>
      <c r="S2113" s="1">
        <v>101840.94</v>
      </c>
      <c r="T2113">
        <f t="shared" si="240"/>
        <v>1489.1032</v>
      </c>
      <c r="U2113">
        <f t="shared" si="241"/>
        <v>482.5</v>
      </c>
      <c r="V2113">
        <f t="shared" ref="V2113:V2176" si="243">U2113/12</f>
        <v>40.2083333333333</v>
      </c>
      <c r="W2113">
        <f t="shared" si="238"/>
        <v>16435.8966666667</v>
      </c>
      <c r="X2113">
        <f t="shared" si="242"/>
        <v>0.0673890708835336</v>
      </c>
      <c r="AH2113" t="str">
        <f t="shared" si="239"/>
        <v>2nd Quality</v>
      </c>
      <c r="AJ2113">
        <f>((T2113-X2113)*2)</f>
        <v>2978.07162185823</v>
      </c>
      <c r="AK2113">
        <f t="shared" si="237"/>
        <v>1212130.0048</v>
      </c>
    </row>
    <row r="2114" spans="1:37">
      <c r="A2114" t="s">
        <v>2180</v>
      </c>
      <c r="B2114">
        <v>23</v>
      </c>
      <c r="C2114" t="s">
        <v>50</v>
      </c>
      <c r="D2114" t="s">
        <v>45</v>
      </c>
      <c r="E2114">
        <v>989</v>
      </c>
      <c r="F2114">
        <v>6</v>
      </c>
      <c r="G2114">
        <v>17</v>
      </c>
      <c r="H2114">
        <v>2868.31</v>
      </c>
      <c r="I2114">
        <v>47792.97</v>
      </c>
      <c r="J2114">
        <v>56</v>
      </c>
      <c r="K2114">
        <v>0</v>
      </c>
      <c r="L2114">
        <v>11</v>
      </c>
      <c r="M2114">
        <v>51.2</v>
      </c>
      <c r="N2114" t="s">
        <v>57</v>
      </c>
      <c r="O2114" t="s">
        <v>53</v>
      </c>
      <c r="P2114" t="s">
        <v>58</v>
      </c>
      <c r="R2114">
        <f>SUMIF(A2114:A7113,"C02113",I2114:I7113)</f>
        <v>47792.97</v>
      </c>
      <c r="S2114" s="1">
        <v>93934.14</v>
      </c>
      <c r="T2114">
        <f t="shared" si="240"/>
        <v>853.445892857143</v>
      </c>
      <c r="U2114">
        <f t="shared" si="241"/>
        <v>2867.2</v>
      </c>
      <c r="V2114">
        <f t="shared" si="243"/>
        <v>238.933333333333</v>
      </c>
      <c r="W2114">
        <f t="shared" si="238"/>
        <v>16887.4266666667</v>
      </c>
      <c r="X2114">
        <f t="shared" si="242"/>
        <v>0.344802340053899</v>
      </c>
      <c r="AH2114" t="str">
        <f t="shared" si="239"/>
        <v>1st Quality</v>
      </c>
      <c r="AJ2114">
        <f>((T2114-X2114)*2)/11</f>
        <v>155.109289184925</v>
      </c>
      <c r="AK2114">
        <f t="shared" si="237"/>
        <v>844057.988035714</v>
      </c>
    </row>
    <row r="2115" spans="1:37">
      <c r="A2115" t="s">
        <v>2181</v>
      </c>
      <c r="B2115">
        <v>30</v>
      </c>
      <c r="C2115" t="s">
        <v>50</v>
      </c>
      <c r="D2115" t="s">
        <v>45</v>
      </c>
      <c r="E2115">
        <v>1196</v>
      </c>
      <c r="F2115">
        <v>50</v>
      </c>
      <c r="G2115">
        <v>6</v>
      </c>
      <c r="H2115">
        <v>15785.13</v>
      </c>
      <c r="I2115">
        <v>101840.94</v>
      </c>
      <c r="J2115">
        <v>17</v>
      </c>
      <c r="K2115">
        <v>0</v>
      </c>
      <c r="L2115">
        <v>10.5</v>
      </c>
      <c r="M2115">
        <v>34.5</v>
      </c>
      <c r="N2115" t="s">
        <v>46</v>
      </c>
      <c r="O2115" t="s">
        <v>47</v>
      </c>
      <c r="P2115" t="s">
        <v>58</v>
      </c>
      <c r="R2115">
        <f>SUMIF(A2115:A7114,"C02114",I2115:I7114)</f>
        <v>101840.94</v>
      </c>
      <c r="S2115" s="1">
        <v>2549.84</v>
      </c>
      <c r="T2115">
        <f t="shared" si="240"/>
        <v>5990.64352941176</v>
      </c>
      <c r="U2115">
        <f t="shared" si="241"/>
        <v>586.5</v>
      </c>
      <c r="V2115">
        <f t="shared" si="243"/>
        <v>48.875</v>
      </c>
      <c r="W2115">
        <f t="shared" si="238"/>
        <v>39209.0233333333</v>
      </c>
      <c r="X2115">
        <f t="shared" si="242"/>
        <v>0.0757675103087526</v>
      </c>
      <c r="AH2115" t="str">
        <f t="shared" si="239"/>
        <v>1st Quality</v>
      </c>
      <c r="AJ2115">
        <f>((T2115-X2115)*2)/10.5</f>
        <v>1141.06052607647</v>
      </c>
      <c r="AK2115">
        <f t="shared" ref="AK2115:AK2178" si="244">I2115/J2115*E2115</f>
        <v>7164809.66117647</v>
      </c>
    </row>
    <row r="2116" spans="1:37">
      <c r="A2116" t="s">
        <v>2182</v>
      </c>
      <c r="B2116">
        <v>42</v>
      </c>
      <c r="C2116" t="s">
        <v>50</v>
      </c>
      <c r="D2116" t="s">
        <v>51</v>
      </c>
      <c r="E2116">
        <v>474</v>
      </c>
      <c r="F2116">
        <v>19</v>
      </c>
      <c r="G2116">
        <v>25</v>
      </c>
      <c r="H2116">
        <v>3517.83</v>
      </c>
      <c r="I2116">
        <v>93934.14</v>
      </c>
      <c r="J2116">
        <v>82</v>
      </c>
      <c r="K2116">
        <v>1</v>
      </c>
      <c r="L2116">
        <v>13.5</v>
      </c>
      <c r="M2116">
        <v>13.5</v>
      </c>
      <c r="N2116" t="s">
        <v>46</v>
      </c>
      <c r="O2116" t="s">
        <v>47</v>
      </c>
      <c r="P2116" t="s">
        <v>68</v>
      </c>
      <c r="R2116">
        <f>SUMIF(A2116:A7115,"C02115",I2116:I7115)</f>
        <v>93934.14</v>
      </c>
      <c r="S2116" s="1">
        <v>9558.8</v>
      </c>
      <c r="T2116">
        <f t="shared" si="240"/>
        <v>1145.53829268293</v>
      </c>
      <c r="U2116">
        <f t="shared" si="241"/>
        <v>1107</v>
      </c>
      <c r="V2116">
        <f>U2116</f>
        <v>1107</v>
      </c>
      <c r="W2116">
        <f t="shared" si="238"/>
        <v>32484.3233333333</v>
      </c>
      <c r="X2116">
        <f t="shared" si="242"/>
        <v>0.134742156386181</v>
      </c>
      <c r="AH2116" t="str">
        <f t="shared" si="239"/>
        <v>2nd Quality</v>
      </c>
      <c r="AJ2116">
        <f>((T2116-X2116)*2)/13.5</f>
        <v>169.689414892821</v>
      </c>
      <c r="AK2116">
        <f t="shared" si="244"/>
        <v>542985.150731707</v>
      </c>
    </row>
    <row r="2117" spans="1:37">
      <c r="A2117" t="s">
        <v>2183</v>
      </c>
      <c r="B2117">
        <v>41</v>
      </c>
      <c r="C2117" t="s">
        <v>44</v>
      </c>
      <c r="D2117" t="s">
        <v>60</v>
      </c>
      <c r="E2117">
        <v>989</v>
      </c>
      <c r="F2117">
        <v>60</v>
      </c>
      <c r="G2117">
        <v>1</v>
      </c>
      <c r="H2117">
        <v>2421.98</v>
      </c>
      <c r="I2117">
        <v>2549.84</v>
      </c>
      <c r="J2117">
        <v>12</v>
      </c>
      <c r="K2117">
        <v>0</v>
      </c>
      <c r="L2117">
        <v>16.4</v>
      </c>
      <c r="M2117">
        <v>23.1</v>
      </c>
      <c r="N2117" t="s">
        <v>81</v>
      </c>
      <c r="O2117" t="s">
        <v>47</v>
      </c>
      <c r="P2117" t="s">
        <v>68</v>
      </c>
      <c r="R2117">
        <f>SUMIF(A2117:A7116,"C02116",I2117:I7116)</f>
        <v>2549.84</v>
      </c>
      <c r="S2117" s="1">
        <v>77657.82</v>
      </c>
      <c r="T2117">
        <f t="shared" si="240"/>
        <v>212.486666666667</v>
      </c>
      <c r="U2117">
        <f t="shared" si="241"/>
        <v>277.2</v>
      </c>
      <c r="V2117">
        <f t="shared" si="243"/>
        <v>23.1</v>
      </c>
      <c r="W2117">
        <f t="shared" si="238"/>
        <v>1657.60666666667</v>
      </c>
      <c r="X2117">
        <f t="shared" si="242"/>
        <v>0.408343586652243</v>
      </c>
      <c r="AH2117" t="str">
        <f t="shared" si="239"/>
        <v>3rd Quality</v>
      </c>
      <c r="AJ2117">
        <f>((T2117-X2117)*2)/16.4</f>
        <v>25.8632101317091</v>
      </c>
      <c r="AK2117">
        <f t="shared" si="244"/>
        <v>210149.313333333</v>
      </c>
    </row>
    <row r="2118" spans="1:37">
      <c r="A2118" t="s">
        <v>2184</v>
      </c>
      <c r="B2118">
        <v>29</v>
      </c>
      <c r="C2118" t="s">
        <v>50</v>
      </c>
      <c r="D2118" t="s">
        <v>45</v>
      </c>
      <c r="E2118">
        <v>1215</v>
      </c>
      <c r="F2118">
        <v>50</v>
      </c>
      <c r="G2118">
        <v>5</v>
      </c>
      <c r="H2118">
        <v>2160.74</v>
      </c>
      <c r="I2118">
        <v>9558.8</v>
      </c>
      <c r="J2118">
        <v>19</v>
      </c>
      <c r="K2118">
        <v>0</v>
      </c>
      <c r="L2118">
        <v>10.7</v>
      </c>
      <c r="M2118">
        <v>26.6</v>
      </c>
      <c r="N2118" t="s">
        <v>57</v>
      </c>
      <c r="O2118" t="s">
        <v>75</v>
      </c>
      <c r="P2118" t="s">
        <v>48</v>
      </c>
      <c r="R2118">
        <f>SUMIF(A2118:A7117,"C02117",I2118:I7117)</f>
        <v>9558.8</v>
      </c>
      <c r="S2118" s="1">
        <v>94690.47</v>
      </c>
      <c r="T2118">
        <f t="shared" si="240"/>
        <v>503.094736842105</v>
      </c>
      <c r="U2118">
        <f t="shared" si="241"/>
        <v>505.4</v>
      </c>
      <c r="V2118">
        <f t="shared" si="243"/>
        <v>42.1166666666667</v>
      </c>
      <c r="W2118">
        <f t="shared" si="238"/>
        <v>3906.84666666667</v>
      </c>
      <c r="X2118">
        <f t="shared" si="242"/>
        <v>0.562307357664504</v>
      </c>
      <c r="AH2118" t="str">
        <f t="shared" si="239"/>
        <v>3rd Quality</v>
      </c>
      <c r="AJ2118">
        <f>((T2118-X2118)*2)/10.7</f>
        <v>93.9312952307366</v>
      </c>
      <c r="AK2118">
        <f t="shared" si="244"/>
        <v>611260.105263158</v>
      </c>
    </row>
    <row r="2119" spans="1:37">
      <c r="A2119" t="s">
        <v>2185</v>
      </c>
      <c r="B2119">
        <v>18</v>
      </c>
      <c r="C2119" t="s">
        <v>50</v>
      </c>
      <c r="D2119" t="s">
        <v>60</v>
      </c>
      <c r="E2119">
        <v>517</v>
      </c>
      <c r="F2119">
        <v>13</v>
      </c>
      <c r="G2119">
        <v>27</v>
      </c>
      <c r="H2119">
        <v>2864.97</v>
      </c>
      <c r="I2119">
        <v>77657.82</v>
      </c>
      <c r="J2119">
        <v>173</v>
      </c>
      <c r="K2119">
        <v>2</v>
      </c>
      <c r="L2119">
        <v>7.2</v>
      </c>
      <c r="M2119">
        <v>41.3</v>
      </c>
      <c r="N2119" t="s">
        <v>78</v>
      </c>
      <c r="O2119" t="s">
        <v>53</v>
      </c>
      <c r="P2119" t="s">
        <v>48</v>
      </c>
      <c r="R2119">
        <f>SUMIF(A2119:A7118,"C02118",I2119:I7118)</f>
        <v>77657.82</v>
      </c>
      <c r="S2119" s="1">
        <v>4154.15</v>
      </c>
      <c r="T2119">
        <f t="shared" si="240"/>
        <v>448.889132947977</v>
      </c>
      <c r="U2119">
        <f t="shared" si="241"/>
        <v>7144.9</v>
      </c>
      <c r="V2119">
        <f>U2119</f>
        <v>7144.9</v>
      </c>
      <c r="W2119">
        <f t="shared" si="238"/>
        <v>26841.2633333333</v>
      </c>
      <c r="X2119">
        <f t="shared" si="242"/>
        <v>0.180455641769373</v>
      </c>
      <c r="AH2119" t="str">
        <f t="shared" si="239"/>
        <v>2nd Quality</v>
      </c>
      <c r="AJ2119">
        <f>((T2119-X2119)*2)/7.2</f>
        <v>124.641299251724</v>
      </c>
      <c r="AK2119">
        <f t="shared" si="244"/>
        <v>232075.681734104</v>
      </c>
    </row>
    <row r="2120" spans="1:37">
      <c r="A2120" t="s">
        <v>2186</v>
      </c>
      <c r="B2120">
        <v>35</v>
      </c>
      <c r="C2120" t="s">
        <v>50</v>
      </c>
      <c r="D2120" t="s">
        <v>45</v>
      </c>
      <c r="E2120">
        <v>557</v>
      </c>
      <c r="F2120">
        <v>14</v>
      </c>
      <c r="G2120">
        <v>28</v>
      </c>
      <c r="H2120">
        <v>3165.05</v>
      </c>
      <c r="I2120">
        <v>94690.47</v>
      </c>
      <c r="J2120">
        <v>174</v>
      </c>
      <c r="K2120">
        <v>4</v>
      </c>
      <c r="L2120">
        <v>19.3</v>
      </c>
      <c r="M2120">
        <v>37.3</v>
      </c>
      <c r="N2120" t="s">
        <v>57</v>
      </c>
      <c r="O2120" t="s">
        <v>47</v>
      </c>
      <c r="P2120" t="s">
        <v>58</v>
      </c>
      <c r="R2120">
        <f>SUMIF(A2120:A7119,"C02119",I2120:I7119)</f>
        <v>94690.47</v>
      </c>
      <c r="S2120" s="1">
        <v>10214.35</v>
      </c>
      <c r="T2120">
        <f t="shared" si="240"/>
        <v>544.198103448276</v>
      </c>
      <c r="U2120">
        <f t="shared" si="241"/>
        <v>6490.2</v>
      </c>
      <c r="V2120">
        <f>U2120</f>
        <v>6490.2</v>
      </c>
      <c r="W2120">
        <f t="shared" si="238"/>
        <v>32618.84</v>
      </c>
      <c r="X2120">
        <f t="shared" si="242"/>
        <v>0.175984581602186</v>
      </c>
      <c r="AH2120" t="str">
        <f t="shared" si="239"/>
        <v>2nd Quality</v>
      </c>
      <c r="AJ2120">
        <f>((T2120-X2120)*2)/19.3</f>
        <v>56.3753491053548</v>
      </c>
      <c r="AK2120">
        <f t="shared" si="244"/>
        <v>303118.34362069</v>
      </c>
    </row>
    <row r="2121" spans="1:37">
      <c r="A2121" t="s">
        <v>2187</v>
      </c>
      <c r="B2121">
        <v>39</v>
      </c>
      <c r="C2121" t="s">
        <v>50</v>
      </c>
      <c r="D2121" t="s">
        <v>60</v>
      </c>
      <c r="E2121">
        <v>405</v>
      </c>
      <c r="F2121">
        <v>159</v>
      </c>
      <c r="G2121">
        <v>5</v>
      </c>
      <c r="H2121">
        <v>885.02</v>
      </c>
      <c r="I2121">
        <v>4154.15</v>
      </c>
      <c r="J2121">
        <v>33</v>
      </c>
      <c r="K2121">
        <v>0</v>
      </c>
      <c r="L2121">
        <v>17.8</v>
      </c>
      <c r="M2121">
        <v>66.7</v>
      </c>
      <c r="N2121" t="s">
        <v>78</v>
      </c>
      <c r="O2121" t="s">
        <v>47</v>
      </c>
      <c r="P2121" t="s">
        <v>58</v>
      </c>
      <c r="R2121">
        <f>SUMIF(A2121:A7120,"C02120",I2121:I7120)</f>
        <v>4154.15</v>
      </c>
      <c r="S2121" s="1">
        <v>189830.69</v>
      </c>
      <c r="T2121">
        <f t="shared" si="240"/>
        <v>125.883333333333</v>
      </c>
      <c r="U2121">
        <f t="shared" si="241"/>
        <v>2201.1</v>
      </c>
      <c r="V2121">
        <f t="shared" si="243"/>
        <v>183.425</v>
      </c>
      <c r="W2121">
        <f t="shared" ref="W2121:W2184" si="245">(H2121+I2121+1)/3</f>
        <v>1680.05666666667</v>
      </c>
      <c r="X2121">
        <f t="shared" si="242"/>
        <v>0.457616777021988</v>
      </c>
      <c r="AH2121" t="str">
        <f t="shared" si="239"/>
        <v>3rd Quality</v>
      </c>
      <c r="AJ2121">
        <f>((T2121-X2121)*2)/17.8</f>
        <v>14.0927771411585</v>
      </c>
      <c r="AK2121">
        <f t="shared" si="244"/>
        <v>50982.75</v>
      </c>
    </row>
    <row r="2122" spans="1:37">
      <c r="A2122" t="s">
        <v>2188</v>
      </c>
      <c r="B2122">
        <v>37</v>
      </c>
      <c r="C2122" t="s">
        <v>50</v>
      </c>
      <c r="D2122" t="s">
        <v>60</v>
      </c>
      <c r="E2122">
        <v>1297</v>
      </c>
      <c r="F2122">
        <v>170</v>
      </c>
      <c r="G2122">
        <v>9</v>
      </c>
      <c r="H2122">
        <v>1204.54</v>
      </c>
      <c r="I2122">
        <v>10214.35</v>
      </c>
      <c r="J2122">
        <v>31</v>
      </c>
      <c r="K2122">
        <v>0</v>
      </c>
      <c r="L2122">
        <v>37.3</v>
      </c>
      <c r="M2122">
        <v>52.6</v>
      </c>
      <c r="N2122" t="s">
        <v>57</v>
      </c>
      <c r="O2122" t="s">
        <v>75</v>
      </c>
      <c r="P2122" t="s">
        <v>58</v>
      </c>
      <c r="R2122">
        <f>SUMIF(A2122:A7121,"C02121",I2122:I7121)</f>
        <v>10214.35</v>
      </c>
      <c r="S2122" s="1">
        <v>19466.8</v>
      </c>
      <c r="T2122">
        <f t="shared" si="240"/>
        <v>329.495161290323</v>
      </c>
      <c r="U2122">
        <f t="shared" si="241"/>
        <v>1630.6</v>
      </c>
      <c r="V2122">
        <f t="shared" si="243"/>
        <v>135.883333333333</v>
      </c>
      <c r="W2122">
        <f t="shared" si="245"/>
        <v>3806.63</v>
      </c>
      <c r="X2122">
        <f t="shared" si="242"/>
        <v>1.07675959287363</v>
      </c>
      <c r="AH2122" t="str">
        <f t="shared" si="239"/>
        <v>3rd Quality</v>
      </c>
      <c r="AJ2122">
        <f>((T2122-X2122)*2)/37.3</f>
        <v>17.6095657746622</v>
      </c>
      <c r="AK2122">
        <f t="shared" si="244"/>
        <v>427355.224193548</v>
      </c>
    </row>
    <row r="2123" spans="1:37">
      <c r="A2123" t="s">
        <v>2189</v>
      </c>
      <c r="B2123">
        <v>50</v>
      </c>
      <c r="C2123" t="s">
        <v>50</v>
      </c>
      <c r="D2123" t="s">
        <v>51</v>
      </c>
      <c r="E2123">
        <v>1389</v>
      </c>
      <c r="F2123">
        <v>23</v>
      </c>
      <c r="G2123">
        <v>26</v>
      </c>
      <c r="H2123">
        <v>6655.47</v>
      </c>
      <c r="I2123">
        <v>189830.69</v>
      </c>
      <c r="J2123">
        <v>135</v>
      </c>
      <c r="K2123">
        <v>0</v>
      </c>
      <c r="L2123">
        <v>14.7</v>
      </c>
      <c r="M2123">
        <v>45.3</v>
      </c>
      <c r="N2123" t="s">
        <v>52</v>
      </c>
      <c r="O2123" t="s">
        <v>53</v>
      </c>
      <c r="P2123" t="s">
        <v>66</v>
      </c>
      <c r="R2123">
        <f>SUMIF(A2123:A7122,"C02122",I2123:I7122)</f>
        <v>189830.69</v>
      </c>
      <c r="S2123" s="1">
        <v>60091.05</v>
      </c>
      <c r="T2123">
        <f t="shared" si="240"/>
        <v>1406.15325925926</v>
      </c>
      <c r="U2123">
        <f t="shared" si="241"/>
        <v>6115.5</v>
      </c>
      <c r="V2123">
        <f t="shared" si="243"/>
        <v>509.625</v>
      </c>
      <c r="W2123">
        <f t="shared" si="245"/>
        <v>65495.72</v>
      </c>
      <c r="X2123">
        <f t="shared" si="242"/>
        <v>0.208700512510762</v>
      </c>
      <c r="AH2123" t="str">
        <f t="shared" si="239"/>
        <v>3rd Quality</v>
      </c>
      <c r="AJ2123">
        <f>((T2123-X2123)*2)/14.7</f>
        <v>191.28497397915</v>
      </c>
      <c r="AK2123">
        <f t="shared" si="244"/>
        <v>1953146.87711111</v>
      </c>
    </row>
    <row r="2124" spans="1:37">
      <c r="A2124" t="s">
        <v>2190</v>
      </c>
      <c r="B2124">
        <v>52</v>
      </c>
      <c r="C2124" t="s">
        <v>50</v>
      </c>
      <c r="D2124" t="s">
        <v>60</v>
      </c>
      <c r="E2124">
        <v>881</v>
      </c>
      <c r="F2124">
        <v>15</v>
      </c>
      <c r="G2124">
        <v>10</v>
      </c>
      <c r="H2124">
        <v>1799.13</v>
      </c>
      <c r="I2124">
        <v>19466.8</v>
      </c>
      <c r="J2124">
        <v>79</v>
      </c>
      <c r="K2124">
        <v>0</v>
      </c>
      <c r="L2124">
        <v>21</v>
      </c>
      <c r="M2124">
        <v>19.5</v>
      </c>
      <c r="N2124" t="s">
        <v>57</v>
      </c>
      <c r="O2124" t="s">
        <v>47</v>
      </c>
      <c r="P2124" t="s">
        <v>58</v>
      </c>
      <c r="R2124">
        <f>SUMIF(A2124:A7123,"C02123",I2124:I7123)</f>
        <v>19466.8</v>
      </c>
      <c r="S2124" s="1">
        <v>17555.07</v>
      </c>
      <c r="T2124">
        <f t="shared" si="240"/>
        <v>246.415189873418</v>
      </c>
      <c r="U2124">
        <f t="shared" si="241"/>
        <v>1540.5</v>
      </c>
      <c r="V2124">
        <f t="shared" si="243"/>
        <v>128.375</v>
      </c>
      <c r="W2124">
        <f t="shared" si="245"/>
        <v>7088.97666666667</v>
      </c>
      <c r="X2124">
        <f t="shared" si="242"/>
        <v>0.489681123654211</v>
      </c>
      <c r="AH2124" t="str">
        <f t="shared" si="239"/>
        <v>3rd Quality</v>
      </c>
      <c r="AJ2124">
        <f>((T2124-X2124)*2)/21</f>
        <v>23.421477023787</v>
      </c>
      <c r="AK2124">
        <f t="shared" si="244"/>
        <v>217091.782278481</v>
      </c>
    </row>
    <row r="2125" spans="1:37">
      <c r="A2125" t="s">
        <v>2191</v>
      </c>
      <c r="B2125">
        <v>51</v>
      </c>
      <c r="C2125" t="s">
        <v>44</v>
      </c>
      <c r="D2125" t="s">
        <v>60</v>
      </c>
      <c r="E2125">
        <v>1315</v>
      </c>
      <c r="F2125">
        <v>6</v>
      </c>
      <c r="G2125">
        <v>25</v>
      </c>
      <c r="H2125">
        <v>2151.58</v>
      </c>
      <c r="I2125">
        <v>60091.05</v>
      </c>
      <c r="J2125">
        <v>178</v>
      </c>
      <c r="K2125">
        <v>0</v>
      </c>
      <c r="L2125">
        <v>10.6</v>
      </c>
      <c r="M2125">
        <v>30.4</v>
      </c>
      <c r="N2125" t="s">
        <v>78</v>
      </c>
      <c r="O2125" t="s">
        <v>47</v>
      </c>
      <c r="P2125" t="s">
        <v>58</v>
      </c>
      <c r="R2125">
        <f>SUMIF(A2125:A7124,"C02124",I2125:I7124)</f>
        <v>60091.05</v>
      </c>
      <c r="S2125" s="1">
        <v>8543.51</v>
      </c>
      <c r="T2125">
        <f t="shared" si="240"/>
        <v>337.590168539326</v>
      </c>
      <c r="U2125">
        <f t="shared" si="241"/>
        <v>5411.2</v>
      </c>
      <c r="V2125">
        <f t="shared" si="243"/>
        <v>450.933333333333</v>
      </c>
      <c r="W2125">
        <f t="shared" si="245"/>
        <v>20747.8766666667</v>
      </c>
      <c r="X2125">
        <f t="shared" si="242"/>
        <v>0.611178761654226</v>
      </c>
      <c r="AH2125" t="str">
        <f t="shared" si="239"/>
        <v>3rd Quality</v>
      </c>
      <c r="AJ2125">
        <f>((T2125-X2125)*2)/10.6</f>
        <v>63.5809414674852</v>
      </c>
      <c r="AK2125">
        <f t="shared" si="244"/>
        <v>443931.071629214</v>
      </c>
    </row>
    <row r="2126" spans="1:37">
      <c r="A2126" t="s">
        <v>2192</v>
      </c>
      <c r="B2126">
        <v>25</v>
      </c>
      <c r="C2126" t="s">
        <v>50</v>
      </c>
      <c r="D2126" t="s">
        <v>51</v>
      </c>
      <c r="E2126">
        <v>1018</v>
      </c>
      <c r="F2126">
        <v>39</v>
      </c>
      <c r="G2126">
        <v>7</v>
      </c>
      <c r="H2126">
        <v>2509.42</v>
      </c>
      <c r="I2126">
        <v>17555.07</v>
      </c>
      <c r="J2126">
        <v>33</v>
      </c>
      <c r="K2126">
        <v>1</v>
      </c>
      <c r="L2126">
        <v>24.6</v>
      </c>
      <c r="M2126">
        <v>20</v>
      </c>
      <c r="N2126" t="s">
        <v>81</v>
      </c>
      <c r="O2126" t="s">
        <v>47</v>
      </c>
      <c r="P2126" t="s">
        <v>58</v>
      </c>
      <c r="R2126">
        <f>SUMIF(A2126:A7125,"C02125",I2126:I7125)</f>
        <v>17555.07</v>
      </c>
      <c r="S2126" s="1">
        <v>17956.94</v>
      </c>
      <c r="T2126">
        <f t="shared" si="240"/>
        <v>531.971818181818</v>
      </c>
      <c r="U2126">
        <f t="shared" si="241"/>
        <v>660</v>
      </c>
      <c r="V2126">
        <f>U2126</f>
        <v>660</v>
      </c>
      <c r="W2126">
        <f t="shared" si="245"/>
        <v>6688.49666666667</v>
      </c>
      <c r="X2126">
        <f t="shared" si="242"/>
        <v>0.405671430051566</v>
      </c>
      <c r="AH2126" t="str">
        <f t="shared" ref="AH2126:AH2189" si="246">IF(AND(W2126&gt;=12550,B2126&lt;=33,E2126&gt;=915),"1st Quality",IF(AND(W2126&gt;=6275,B2126&lt;=43,E2126&gt;=457),"2nd Quality","3rd Quality"))</f>
        <v>2nd Quality</v>
      </c>
      <c r="AJ2126">
        <f>((T2126-X2126)*2)/24.6</f>
        <v>43.2167598985176</v>
      </c>
      <c r="AK2126">
        <f t="shared" si="244"/>
        <v>541547.310909091</v>
      </c>
    </row>
    <row r="2127" spans="1:37">
      <c r="A2127" t="s">
        <v>2193</v>
      </c>
      <c r="B2127">
        <v>37</v>
      </c>
      <c r="C2127" t="s">
        <v>50</v>
      </c>
      <c r="D2127" t="s">
        <v>60</v>
      </c>
      <c r="E2127">
        <v>1443</v>
      </c>
      <c r="F2127">
        <v>24</v>
      </c>
      <c r="G2127">
        <v>6</v>
      </c>
      <c r="H2127">
        <v>1565.06</v>
      </c>
      <c r="I2127">
        <v>8543.51</v>
      </c>
      <c r="J2127">
        <v>20</v>
      </c>
      <c r="K2127">
        <v>0</v>
      </c>
      <c r="L2127">
        <v>18</v>
      </c>
      <c r="M2127">
        <v>21</v>
      </c>
      <c r="N2127" t="s">
        <v>81</v>
      </c>
      <c r="O2127" t="s">
        <v>47</v>
      </c>
      <c r="P2127" t="s">
        <v>66</v>
      </c>
      <c r="R2127">
        <f>SUMIF(A2127:A7126,"C02126",I2127:I7126)</f>
        <v>8543.51</v>
      </c>
      <c r="S2127" s="1">
        <v>13656.74</v>
      </c>
      <c r="T2127">
        <f t="shared" si="240"/>
        <v>427.1755</v>
      </c>
      <c r="U2127">
        <f t="shared" si="241"/>
        <v>420</v>
      </c>
      <c r="V2127">
        <f t="shared" si="243"/>
        <v>35</v>
      </c>
      <c r="W2127">
        <f t="shared" si="245"/>
        <v>3369.85666666667</v>
      </c>
      <c r="X2127">
        <f t="shared" si="242"/>
        <v>0.922009379832083</v>
      </c>
      <c r="AH2127" t="str">
        <f t="shared" si="246"/>
        <v>3rd Quality</v>
      </c>
      <c r="AJ2127">
        <f>((T2127-X2127)*2)/18</f>
        <v>47.3614989577964</v>
      </c>
      <c r="AK2127">
        <f t="shared" si="244"/>
        <v>616414.2465</v>
      </c>
    </row>
    <row r="2128" spans="1:37">
      <c r="A2128" t="s">
        <v>2194</v>
      </c>
      <c r="B2128">
        <v>26</v>
      </c>
      <c r="C2128" t="s">
        <v>50</v>
      </c>
      <c r="D2128" t="s">
        <v>45</v>
      </c>
      <c r="E2128">
        <v>488</v>
      </c>
      <c r="F2128">
        <v>15</v>
      </c>
      <c r="G2128">
        <v>11</v>
      </c>
      <c r="H2128">
        <v>1850.89</v>
      </c>
      <c r="I2128">
        <v>17956.94</v>
      </c>
      <c r="J2128">
        <v>60</v>
      </c>
      <c r="K2128">
        <v>2</v>
      </c>
      <c r="L2128">
        <v>19.1</v>
      </c>
      <c r="M2128">
        <v>20.6</v>
      </c>
      <c r="N2128" t="s">
        <v>81</v>
      </c>
      <c r="O2128" t="s">
        <v>47</v>
      </c>
      <c r="P2128" t="s">
        <v>68</v>
      </c>
      <c r="R2128">
        <f>SUMIF(A2128:A7127,"C02127",I2128:I7127)</f>
        <v>17956.94</v>
      </c>
      <c r="S2128" s="1">
        <v>113082.28</v>
      </c>
      <c r="T2128">
        <f t="shared" si="240"/>
        <v>299.282333333333</v>
      </c>
      <c r="U2128">
        <f t="shared" si="241"/>
        <v>1236</v>
      </c>
      <c r="V2128">
        <f>U2128</f>
        <v>1236</v>
      </c>
      <c r="W2128">
        <f t="shared" si="245"/>
        <v>6602.94333333333</v>
      </c>
      <c r="X2128">
        <f t="shared" si="242"/>
        <v>0.26365694341641</v>
      </c>
      <c r="AH2128" t="str">
        <f t="shared" si="246"/>
        <v>2nd Quality</v>
      </c>
      <c r="AJ2128">
        <f>((T2128-X2128)*2)/19.1</f>
        <v>31.3108561664834</v>
      </c>
      <c r="AK2128">
        <f t="shared" si="244"/>
        <v>146049.778666667</v>
      </c>
    </row>
    <row r="2129" spans="1:37">
      <c r="A2129" t="s">
        <v>2195</v>
      </c>
      <c r="B2129">
        <v>31</v>
      </c>
      <c r="C2129" t="s">
        <v>50</v>
      </c>
      <c r="D2129" t="s">
        <v>60</v>
      </c>
      <c r="E2129">
        <v>1105</v>
      </c>
      <c r="F2129">
        <v>67</v>
      </c>
      <c r="G2129">
        <v>8</v>
      </c>
      <c r="H2129">
        <v>1626.62</v>
      </c>
      <c r="I2129">
        <v>13656.74</v>
      </c>
      <c r="J2129">
        <v>32</v>
      </c>
      <c r="K2129">
        <v>1</v>
      </c>
      <c r="L2129">
        <v>36</v>
      </c>
      <c r="M2129">
        <v>6.9</v>
      </c>
      <c r="N2129" t="s">
        <v>46</v>
      </c>
      <c r="O2129" t="s">
        <v>47</v>
      </c>
      <c r="P2129" t="s">
        <v>58</v>
      </c>
      <c r="R2129">
        <f>SUMIF(A2129:A7128,"C02128",I2129:I7128)</f>
        <v>13656.74</v>
      </c>
      <c r="S2129" s="1">
        <v>36801.26</v>
      </c>
      <c r="T2129">
        <f t="shared" si="240"/>
        <v>426.773125</v>
      </c>
      <c r="U2129">
        <f t="shared" si="241"/>
        <v>220.8</v>
      </c>
      <c r="V2129">
        <f>U2129</f>
        <v>220.8</v>
      </c>
      <c r="W2129">
        <f t="shared" si="245"/>
        <v>5094.78666666667</v>
      </c>
      <c r="X2129">
        <f t="shared" si="242"/>
        <v>0.679322767456443</v>
      </c>
      <c r="AH2129" t="str">
        <f t="shared" si="246"/>
        <v>3rd Quality</v>
      </c>
      <c r="AJ2129">
        <f>((T2129-X2129)*2)/36</f>
        <v>23.671877901808</v>
      </c>
      <c r="AK2129">
        <f t="shared" si="244"/>
        <v>471584.303125</v>
      </c>
    </row>
    <row r="2130" spans="1:37">
      <c r="A2130" t="s">
        <v>2196</v>
      </c>
      <c r="B2130">
        <v>39</v>
      </c>
      <c r="C2130" t="s">
        <v>50</v>
      </c>
      <c r="D2130" t="s">
        <v>60</v>
      </c>
      <c r="E2130">
        <v>1160</v>
      </c>
      <c r="F2130">
        <v>2</v>
      </c>
      <c r="G2130">
        <v>28</v>
      </c>
      <c r="H2130">
        <v>3753.39</v>
      </c>
      <c r="I2130">
        <v>113082.28</v>
      </c>
      <c r="J2130">
        <v>202</v>
      </c>
      <c r="K2130">
        <v>3</v>
      </c>
      <c r="L2130">
        <v>19.4</v>
      </c>
      <c r="M2130">
        <v>16.4</v>
      </c>
      <c r="N2130" t="s">
        <v>46</v>
      </c>
      <c r="O2130" t="s">
        <v>75</v>
      </c>
      <c r="P2130" t="s">
        <v>58</v>
      </c>
      <c r="R2130">
        <f>SUMIF(A2130:A7129,"C02129",I2130:I7129)</f>
        <v>113082.28</v>
      </c>
      <c r="S2130" s="1">
        <v>95732.61</v>
      </c>
      <c r="T2130">
        <f t="shared" si="240"/>
        <v>559.813267326733</v>
      </c>
      <c r="U2130">
        <f t="shared" si="241"/>
        <v>3312.8</v>
      </c>
      <c r="V2130">
        <f>U2130</f>
        <v>3312.8</v>
      </c>
      <c r="W2130">
        <f t="shared" si="245"/>
        <v>38945.5566666667</v>
      </c>
      <c r="X2130">
        <f t="shared" si="242"/>
        <v>0.309053948563832</v>
      </c>
      <c r="AH2130" t="str">
        <f t="shared" si="246"/>
        <v>2nd Quality</v>
      </c>
      <c r="AJ2130">
        <f>((T2130-X2130)*2)/19.4</f>
        <v>57.6808467400175</v>
      </c>
      <c r="AK2130">
        <f t="shared" si="244"/>
        <v>649383.39009901</v>
      </c>
    </row>
    <row r="2131" spans="1:37">
      <c r="A2131" t="s">
        <v>2197</v>
      </c>
      <c r="B2131">
        <v>23</v>
      </c>
      <c r="C2131" t="s">
        <v>50</v>
      </c>
      <c r="D2131" t="s">
        <v>60</v>
      </c>
      <c r="E2131">
        <v>1074</v>
      </c>
      <c r="F2131">
        <v>1</v>
      </c>
      <c r="G2131">
        <v>25</v>
      </c>
      <c r="H2131">
        <v>1497.83</v>
      </c>
      <c r="I2131">
        <v>36801.26</v>
      </c>
      <c r="J2131">
        <v>107</v>
      </c>
      <c r="K2131">
        <v>1</v>
      </c>
      <c r="L2131">
        <v>6.4</v>
      </c>
      <c r="M2131">
        <v>43</v>
      </c>
      <c r="N2131" t="s">
        <v>78</v>
      </c>
      <c r="O2131" t="s">
        <v>47</v>
      </c>
      <c r="P2131" t="s">
        <v>58</v>
      </c>
      <c r="R2131">
        <f>SUMIF(A2131:A7130,"C02130",I2131:I7130)</f>
        <v>36801.26</v>
      </c>
      <c r="S2131" s="1">
        <v>3903.73</v>
      </c>
      <c r="T2131">
        <f t="shared" si="240"/>
        <v>343.937009345794</v>
      </c>
      <c r="U2131">
        <f t="shared" si="241"/>
        <v>4601</v>
      </c>
      <c r="V2131">
        <f>U2131</f>
        <v>4601</v>
      </c>
      <c r="W2131">
        <f t="shared" si="245"/>
        <v>12766.6966666667</v>
      </c>
      <c r="X2131">
        <f t="shared" si="242"/>
        <v>0.717037313980892</v>
      </c>
      <c r="AH2131" t="str">
        <f t="shared" si="246"/>
        <v>1st Quality</v>
      </c>
      <c r="AJ2131">
        <f>((T2131-X2131)*2)/6.4</f>
        <v>107.256241259942</v>
      </c>
      <c r="AK2131">
        <f t="shared" si="244"/>
        <v>369388.348037383</v>
      </c>
    </row>
    <row r="2132" spans="1:37">
      <c r="A2132" t="s">
        <v>2198</v>
      </c>
      <c r="B2132">
        <v>36</v>
      </c>
      <c r="C2132" t="s">
        <v>56</v>
      </c>
      <c r="D2132" t="s">
        <v>45</v>
      </c>
      <c r="E2132">
        <v>909</v>
      </c>
      <c r="F2132">
        <v>16</v>
      </c>
      <c r="G2132">
        <v>20</v>
      </c>
      <c r="H2132">
        <v>4873.42</v>
      </c>
      <c r="I2132">
        <v>95732.61</v>
      </c>
      <c r="J2132">
        <v>125</v>
      </c>
      <c r="K2132">
        <v>0</v>
      </c>
      <c r="L2132">
        <v>3.5</v>
      </c>
      <c r="M2132">
        <v>72</v>
      </c>
      <c r="N2132" t="s">
        <v>78</v>
      </c>
      <c r="O2132" t="s">
        <v>47</v>
      </c>
      <c r="P2132" t="s">
        <v>58</v>
      </c>
      <c r="R2132">
        <f>SUMIF(A2132:A7131,"C02131",I2132:I7131)</f>
        <v>95732.61</v>
      </c>
      <c r="S2132" s="1">
        <v>2312.58</v>
      </c>
      <c r="T2132">
        <f t="shared" si="240"/>
        <v>765.86088</v>
      </c>
      <c r="U2132">
        <f t="shared" si="241"/>
        <v>9000</v>
      </c>
      <c r="V2132">
        <f t="shared" si="243"/>
        <v>750</v>
      </c>
      <c r="W2132">
        <f t="shared" si="245"/>
        <v>33535.6766666667</v>
      </c>
      <c r="X2132">
        <f t="shared" si="242"/>
        <v>0.186521990716991</v>
      </c>
      <c r="AH2132" t="str">
        <f t="shared" si="246"/>
        <v>2nd Quality</v>
      </c>
      <c r="AJ2132">
        <f>((T2132-X2132)*2)/3.5</f>
        <v>437.528204576733</v>
      </c>
      <c r="AK2132">
        <f t="shared" si="244"/>
        <v>696167.53992</v>
      </c>
    </row>
    <row r="2133" spans="1:37">
      <c r="A2133" t="s">
        <v>2199</v>
      </c>
      <c r="B2133">
        <v>20</v>
      </c>
      <c r="C2133" t="s">
        <v>50</v>
      </c>
      <c r="D2133" t="s">
        <v>51</v>
      </c>
      <c r="E2133">
        <v>597</v>
      </c>
      <c r="F2133">
        <v>145</v>
      </c>
      <c r="G2133">
        <v>10</v>
      </c>
      <c r="H2133">
        <v>360.9</v>
      </c>
      <c r="I2133">
        <v>3903.73</v>
      </c>
      <c r="J2133">
        <v>40</v>
      </c>
      <c r="K2133">
        <v>1</v>
      </c>
      <c r="L2133">
        <v>17.8</v>
      </c>
      <c r="M2133">
        <v>60.6</v>
      </c>
      <c r="N2133" t="s">
        <v>57</v>
      </c>
      <c r="O2133" t="s">
        <v>47</v>
      </c>
      <c r="P2133" t="s">
        <v>58</v>
      </c>
      <c r="R2133">
        <f>SUMIF(A2133:A7132,"C02132",I2133:I7132)</f>
        <v>3903.73</v>
      </c>
      <c r="S2133" s="1">
        <v>1580.57</v>
      </c>
      <c r="T2133">
        <f t="shared" si="240"/>
        <v>97.59325</v>
      </c>
      <c r="U2133">
        <f t="shared" si="241"/>
        <v>2424</v>
      </c>
      <c r="V2133">
        <f>U2133</f>
        <v>2424</v>
      </c>
      <c r="W2133">
        <f t="shared" si="245"/>
        <v>1421.87666666667</v>
      </c>
      <c r="X2133">
        <f t="shared" si="242"/>
        <v>1.65419783873649</v>
      </c>
      <c r="AH2133" t="str">
        <f t="shared" si="246"/>
        <v>3rd Quality</v>
      </c>
      <c r="AJ2133">
        <f>((T2133-X2133)*2)/17.8</f>
        <v>10.7796687821644</v>
      </c>
      <c r="AK2133">
        <f t="shared" si="244"/>
        <v>58263.17025</v>
      </c>
    </row>
    <row r="2134" spans="1:37">
      <c r="A2134" t="s">
        <v>2200</v>
      </c>
      <c r="B2134">
        <v>35</v>
      </c>
      <c r="C2134" t="s">
        <v>44</v>
      </c>
      <c r="D2134" t="s">
        <v>60</v>
      </c>
      <c r="E2134">
        <v>554</v>
      </c>
      <c r="F2134">
        <v>44</v>
      </c>
      <c r="G2134">
        <v>1</v>
      </c>
      <c r="H2134">
        <v>2501.03</v>
      </c>
      <c r="I2134">
        <v>2312.58</v>
      </c>
      <c r="J2134">
        <v>7</v>
      </c>
      <c r="K2134">
        <v>0</v>
      </c>
      <c r="L2134">
        <v>32.1</v>
      </c>
      <c r="M2134">
        <v>6</v>
      </c>
      <c r="N2134" t="s">
        <v>63</v>
      </c>
      <c r="O2134" t="s">
        <v>47</v>
      </c>
      <c r="P2134" t="s">
        <v>58</v>
      </c>
      <c r="R2134">
        <f>SUMIF(A2134:A7133,"C02133",I2134:I7133)</f>
        <v>2312.58</v>
      </c>
      <c r="S2134" s="1">
        <v>58033.07</v>
      </c>
      <c r="T2134">
        <f t="shared" ref="T2134:T2197" si="247">I2134/J2134</f>
        <v>330.368571428571</v>
      </c>
      <c r="U2134">
        <f t="shared" si="241"/>
        <v>42</v>
      </c>
      <c r="V2134">
        <f t="shared" si="243"/>
        <v>3.5</v>
      </c>
      <c r="W2134">
        <f t="shared" si="245"/>
        <v>1604.87</v>
      </c>
      <c r="X2134">
        <f t="shared" si="242"/>
        <v>0.221508738399779</v>
      </c>
      <c r="AH2134" t="str">
        <f t="shared" si="246"/>
        <v>3rd Quality</v>
      </c>
      <c r="AJ2134">
        <f>((T2134-X2134)*2)/32.1</f>
        <v>20.5699104479857</v>
      </c>
      <c r="AK2134">
        <f t="shared" si="244"/>
        <v>183024.188571429</v>
      </c>
    </row>
    <row r="2135" spans="1:37">
      <c r="A2135" t="s">
        <v>2201</v>
      </c>
      <c r="B2135">
        <v>28</v>
      </c>
      <c r="C2135" t="s">
        <v>44</v>
      </c>
      <c r="D2135" t="s">
        <v>60</v>
      </c>
      <c r="E2135">
        <v>1070</v>
      </c>
      <c r="F2135">
        <v>43</v>
      </c>
      <c r="G2135">
        <v>1</v>
      </c>
      <c r="H2135">
        <v>1765.55</v>
      </c>
      <c r="I2135">
        <v>1580.57</v>
      </c>
      <c r="J2135">
        <v>11</v>
      </c>
      <c r="K2135">
        <v>0</v>
      </c>
      <c r="L2135">
        <v>24.2</v>
      </c>
      <c r="M2135">
        <v>36.5</v>
      </c>
      <c r="N2135" t="s">
        <v>52</v>
      </c>
      <c r="O2135" t="s">
        <v>47</v>
      </c>
      <c r="P2135" t="s">
        <v>58</v>
      </c>
      <c r="R2135">
        <f>SUMIF(A2135:A7134,"C02134",I2135:I7134)</f>
        <v>1580.57</v>
      </c>
      <c r="S2135" s="1">
        <v>50960.24</v>
      </c>
      <c r="T2135">
        <f t="shared" si="247"/>
        <v>143.688181818182</v>
      </c>
      <c r="U2135">
        <f t="shared" si="241"/>
        <v>401.5</v>
      </c>
      <c r="V2135">
        <f t="shared" si="243"/>
        <v>33.4583333333333</v>
      </c>
      <c r="W2135">
        <f t="shared" si="245"/>
        <v>1115.70666666667</v>
      </c>
      <c r="X2135">
        <f t="shared" si="242"/>
        <v>0.606043442553312</v>
      </c>
      <c r="AH2135" t="str">
        <f t="shared" si="246"/>
        <v>3rd Quality</v>
      </c>
      <c r="AJ2135">
        <f>((T2135-X2135)*2)/24.2</f>
        <v>11.8249701136883</v>
      </c>
      <c r="AK2135">
        <f t="shared" si="244"/>
        <v>153746.354545455</v>
      </c>
    </row>
    <row r="2136" spans="1:37">
      <c r="A2136" t="s">
        <v>2202</v>
      </c>
      <c r="B2136">
        <v>28</v>
      </c>
      <c r="C2136" t="s">
        <v>50</v>
      </c>
      <c r="D2136" t="s">
        <v>45</v>
      </c>
      <c r="E2136">
        <v>1002</v>
      </c>
      <c r="F2136">
        <v>27</v>
      </c>
      <c r="G2136">
        <v>4</v>
      </c>
      <c r="H2136">
        <v>13049.74</v>
      </c>
      <c r="I2136">
        <v>58033.07</v>
      </c>
      <c r="J2136">
        <v>33</v>
      </c>
      <c r="K2136">
        <v>0</v>
      </c>
      <c r="L2136">
        <v>14.7</v>
      </c>
      <c r="M2136">
        <v>22.3</v>
      </c>
      <c r="N2136" t="s">
        <v>81</v>
      </c>
      <c r="O2136" t="s">
        <v>47</v>
      </c>
      <c r="P2136" t="s">
        <v>58</v>
      </c>
      <c r="R2136">
        <f>SUMIF(A2136:A7135,"C02135",I2136:I7135)</f>
        <v>58033.07</v>
      </c>
      <c r="S2136" s="1">
        <v>34214.24</v>
      </c>
      <c r="T2136">
        <f t="shared" si="247"/>
        <v>1758.57787878788</v>
      </c>
      <c r="U2136">
        <f t="shared" si="241"/>
        <v>735.9</v>
      </c>
      <c r="V2136">
        <f t="shared" si="243"/>
        <v>61.325</v>
      </c>
      <c r="W2136">
        <f t="shared" si="245"/>
        <v>23694.6033333333</v>
      </c>
      <c r="X2136">
        <f t="shared" si="242"/>
        <v>0.0767831389744164</v>
      </c>
      <c r="AH2136" t="str">
        <f t="shared" si="246"/>
        <v>1st Quality</v>
      </c>
      <c r="AJ2136">
        <f>((T2136-X2136)*2)/14.7</f>
        <v>239.25184974815</v>
      </c>
      <c r="AK2136">
        <f t="shared" si="244"/>
        <v>1762095.03454545</v>
      </c>
    </row>
    <row r="2137" spans="1:37">
      <c r="A2137" t="s">
        <v>2203</v>
      </c>
      <c r="B2137">
        <v>33</v>
      </c>
      <c r="C2137" t="s">
        <v>44</v>
      </c>
      <c r="D2137" t="s">
        <v>51</v>
      </c>
      <c r="E2137">
        <v>902</v>
      </c>
      <c r="F2137">
        <v>34</v>
      </c>
      <c r="G2137">
        <v>5</v>
      </c>
      <c r="H2137">
        <v>10089.39</v>
      </c>
      <c r="I2137">
        <v>50960.24</v>
      </c>
      <c r="J2137">
        <v>46</v>
      </c>
      <c r="K2137">
        <v>0</v>
      </c>
      <c r="L2137">
        <v>2.2</v>
      </c>
      <c r="M2137">
        <v>21.3</v>
      </c>
      <c r="N2137" t="s">
        <v>46</v>
      </c>
      <c r="O2137" t="s">
        <v>47</v>
      </c>
      <c r="P2137" t="s">
        <v>68</v>
      </c>
      <c r="R2137">
        <f>SUMIF(A2137:A7136,"C02136",I2137:I7136)</f>
        <v>50960.24</v>
      </c>
      <c r="S2137" s="1">
        <v>2845.71</v>
      </c>
      <c r="T2137">
        <f t="shared" si="247"/>
        <v>1107.83130434783</v>
      </c>
      <c r="U2137">
        <f t="shared" si="241"/>
        <v>979.8</v>
      </c>
      <c r="V2137">
        <f t="shared" si="243"/>
        <v>81.65</v>
      </c>
      <c r="W2137">
        <f t="shared" si="245"/>
        <v>20350.21</v>
      </c>
      <c r="X2137">
        <f t="shared" si="242"/>
        <v>0.0894008458390448</v>
      </c>
      <c r="AH2137" t="str">
        <f t="shared" si="246"/>
        <v>2nd Quality</v>
      </c>
      <c r="AJ2137">
        <f>((T2137-X2137)*2)/2.2</f>
        <v>1007.03809409272</v>
      </c>
      <c r="AK2137">
        <f t="shared" si="244"/>
        <v>999263.836521739</v>
      </c>
    </row>
    <row r="2138" spans="1:37">
      <c r="A2138" t="s">
        <v>2204</v>
      </c>
      <c r="B2138">
        <v>37</v>
      </c>
      <c r="C2138" t="s">
        <v>50</v>
      </c>
      <c r="D2138" t="s">
        <v>60</v>
      </c>
      <c r="E2138">
        <v>412</v>
      </c>
      <c r="F2138">
        <v>25</v>
      </c>
      <c r="G2138">
        <v>16</v>
      </c>
      <c r="H2138">
        <v>2007.18</v>
      </c>
      <c r="I2138">
        <v>34214.24</v>
      </c>
      <c r="J2138">
        <v>132</v>
      </c>
      <c r="K2138">
        <v>1</v>
      </c>
      <c r="L2138">
        <v>17.7</v>
      </c>
      <c r="M2138">
        <v>16.9</v>
      </c>
      <c r="N2138" t="s">
        <v>61</v>
      </c>
      <c r="O2138" t="s">
        <v>47</v>
      </c>
      <c r="P2138" t="s">
        <v>58</v>
      </c>
      <c r="R2138">
        <f>SUMIF(A2138:A7137,"C02137",I2138:I7137)</f>
        <v>34214.24</v>
      </c>
      <c r="S2138" s="1">
        <v>2032.44</v>
      </c>
      <c r="T2138">
        <f t="shared" si="247"/>
        <v>259.198787878788</v>
      </c>
      <c r="U2138">
        <f t="shared" si="241"/>
        <v>2230.8</v>
      </c>
      <c r="V2138">
        <f>U2138</f>
        <v>2230.8</v>
      </c>
      <c r="W2138">
        <f t="shared" si="245"/>
        <v>12074.14</v>
      </c>
      <c r="X2138">
        <f t="shared" si="242"/>
        <v>0.205263105451429</v>
      </c>
      <c r="AH2138" t="str">
        <f t="shared" si="246"/>
        <v>3rd Quality</v>
      </c>
      <c r="AJ2138">
        <f>((T2138-X2138)*2)/17.1</f>
        <v>30.2916403243668</v>
      </c>
      <c r="AK2138">
        <f t="shared" si="244"/>
        <v>106789.900606061</v>
      </c>
    </row>
    <row r="2139" spans="1:37">
      <c r="A2139" t="s">
        <v>2205</v>
      </c>
      <c r="B2139">
        <v>23</v>
      </c>
      <c r="C2139" t="s">
        <v>50</v>
      </c>
      <c r="D2139" t="s">
        <v>60</v>
      </c>
      <c r="E2139">
        <v>781</v>
      </c>
      <c r="F2139">
        <v>54</v>
      </c>
      <c r="G2139">
        <v>3</v>
      </c>
      <c r="H2139">
        <v>855.23</v>
      </c>
      <c r="I2139">
        <v>2845.71</v>
      </c>
      <c r="J2139">
        <v>15</v>
      </c>
      <c r="K2139">
        <v>0</v>
      </c>
      <c r="L2139">
        <v>22.5</v>
      </c>
      <c r="M2139">
        <v>3.9</v>
      </c>
      <c r="N2139" t="s">
        <v>46</v>
      </c>
      <c r="O2139" t="s">
        <v>75</v>
      </c>
      <c r="P2139" t="s">
        <v>68</v>
      </c>
      <c r="R2139">
        <f>SUMIF(A2139:A7138,"C02138",I2139:I7138)</f>
        <v>2845.71</v>
      </c>
      <c r="S2139" s="1">
        <v>983.62</v>
      </c>
      <c r="T2139">
        <f t="shared" si="247"/>
        <v>189.714</v>
      </c>
      <c r="U2139">
        <f t="shared" si="241"/>
        <v>58.5</v>
      </c>
      <c r="V2139">
        <f t="shared" si="243"/>
        <v>4.875</v>
      </c>
      <c r="W2139">
        <f t="shared" si="245"/>
        <v>1233.98</v>
      </c>
      <c r="X2139">
        <f t="shared" si="242"/>
        <v>0.913204635010465</v>
      </c>
      <c r="AH2139" t="str">
        <f t="shared" si="246"/>
        <v>3rd Quality</v>
      </c>
      <c r="AJ2139">
        <f>((T2139-X2139)*2)/22.5</f>
        <v>16.7822929213324</v>
      </c>
      <c r="AK2139">
        <f t="shared" si="244"/>
        <v>148166.634</v>
      </c>
    </row>
    <row r="2140" spans="1:37">
      <c r="A2140" t="s">
        <v>2206</v>
      </c>
      <c r="B2140">
        <v>37</v>
      </c>
      <c r="C2140" t="s">
        <v>50</v>
      </c>
      <c r="D2140" t="s">
        <v>45</v>
      </c>
      <c r="E2140">
        <v>1316</v>
      </c>
      <c r="F2140">
        <v>80</v>
      </c>
      <c r="G2140">
        <v>2</v>
      </c>
      <c r="H2140">
        <v>945.76</v>
      </c>
      <c r="I2140">
        <v>2032.44</v>
      </c>
      <c r="J2140">
        <v>24</v>
      </c>
      <c r="K2140">
        <v>0</v>
      </c>
      <c r="L2140">
        <v>6.9</v>
      </c>
      <c r="M2140">
        <v>29.7</v>
      </c>
      <c r="N2140" t="s">
        <v>78</v>
      </c>
      <c r="O2140" t="s">
        <v>47</v>
      </c>
      <c r="P2140" t="s">
        <v>66</v>
      </c>
      <c r="R2140">
        <f>SUMIF(A2140:A7139,"C02139",I2140:I7139)</f>
        <v>2032.44</v>
      </c>
      <c r="S2140" s="1">
        <v>3594.64</v>
      </c>
      <c r="T2140">
        <f t="shared" si="247"/>
        <v>84.685</v>
      </c>
      <c r="U2140">
        <f t="shared" si="241"/>
        <v>712.8</v>
      </c>
      <c r="V2140">
        <f t="shared" si="243"/>
        <v>59.4</v>
      </c>
      <c r="W2140">
        <f t="shared" si="245"/>
        <v>993.066666666667</v>
      </c>
      <c r="X2140">
        <f t="shared" si="242"/>
        <v>1.39147352393842</v>
      </c>
      <c r="AH2140" t="str">
        <f t="shared" si="246"/>
        <v>3rd Quality</v>
      </c>
      <c r="AJ2140">
        <f>((T2140-X2140)*2)/6.9</f>
        <v>24.1430511524816</v>
      </c>
      <c r="AK2140">
        <f t="shared" si="244"/>
        <v>111445.46</v>
      </c>
    </row>
    <row r="2141" spans="1:37">
      <c r="A2141" t="s">
        <v>2207</v>
      </c>
      <c r="B2141">
        <v>32</v>
      </c>
      <c r="C2141" t="s">
        <v>44</v>
      </c>
      <c r="D2141" t="s">
        <v>60</v>
      </c>
      <c r="E2141">
        <v>1114</v>
      </c>
      <c r="F2141">
        <v>141</v>
      </c>
      <c r="G2141">
        <v>1</v>
      </c>
      <c r="H2141">
        <v>991.33</v>
      </c>
      <c r="I2141">
        <v>983.62</v>
      </c>
      <c r="J2141">
        <v>11</v>
      </c>
      <c r="K2141">
        <v>0</v>
      </c>
      <c r="L2141">
        <v>22.9</v>
      </c>
      <c r="M2141">
        <v>17.1</v>
      </c>
      <c r="N2141" t="s">
        <v>46</v>
      </c>
      <c r="O2141" t="s">
        <v>47</v>
      </c>
      <c r="P2141" t="s">
        <v>58</v>
      </c>
      <c r="R2141">
        <f>SUMIF(A2141:A7140,"C02140",I2141:I7140)</f>
        <v>983.62</v>
      </c>
      <c r="S2141" s="1">
        <v>10498.29</v>
      </c>
      <c r="T2141">
        <f t="shared" si="247"/>
        <v>89.42</v>
      </c>
      <c r="U2141">
        <f t="shared" si="241"/>
        <v>188.1</v>
      </c>
      <c r="V2141">
        <f t="shared" si="243"/>
        <v>15.675</v>
      </c>
      <c r="W2141">
        <f t="shared" si="245"/>
        <v>658.65</v>
      </c>
      <c r="X2141">
        <f t="shared" si="242"/>
        <v>1.12374285051396</v>
      </c>
      <c r="AH2141" t="str">
        <f t="shared" si="246"/>
        <v>3rd Quality</v>
      </c>
      <c r="AJ2141">
        <f>((T2141-X2141)*2)/22.9</f>
        <v>7.71146350650533</v>
      </c>
      <c r="AK2141">
        <f t="shared" si="244"/>
        <v>99613.88</v>
      </c>
    </row>
    <row r="2142" spans="1:37">
      <c r="A2142" t="s">
        <v>2208</v>
      </c>
      <c r="B2142">
        <v>26</v>
      </c>
      <c r="C2142" t="s">
        <v>44</v>
      </c>
      <c r="D2142" t="s">
        <v>45</v>
      </c>
      <c r="E2142">
        <v>1198</v>
      </c>
      <c r="F2142">
        <v>46</v>
      </c>
      <c r="G2142">
        <v>1</v>
      </c>
      <c r="H2142">
        <v>3471.24</v>
      </c>
      <c r="I2142">
        <v>3594.64</v>
      </c>
      <c r="J2142">
        <v>16</v>
      </c>
      <c r="K2142">
        <v>0</v>
      </c>
      <c r="L2142">
        <v>19.2</v>
      </c>
      <c r="M2142">
        <v>11.4</v>
      </c>
      <c r="N2142" t="s">
        <v>52</v>
      </c>
      <c r="O2142" t="s">
        <v>47</v>
      </c>
      <c r="P2142" t="s">
        <v>58</v>
      </c>
      <c r="R2142">
        <f>SUMIF(A2142:A7141,"C02141",I2142:I7141)</f>
        <v>3594.64</v>
      </c>
      <c r="S2142" s="1">
        <v>2839.85</v>
      </c>
      <c r="T2142">
        <f t="shared" si="247"/>
        <v>224.665</v>
      </c>
      <c r="U2142">
        <f t="shared" si="241"/>
        <v>182.4</v>
      </c>
      <c r="V2142">
        <f t="shared" si="243"/>
        <v>15.2</v>
      </c>
      <c r="W2142">
        <f t="shared" si="245"/>
        <v>2355.62666666667</v>
      </c>
      <c r="X2142">
        <f t="shared" si="242"/>
        <v>0.34512162800613</v>
      </c>
      <c r="AH2142" t="str">
        <f t="shared" si="246"/>
        <v>3rd Quality</v>
      </c>
      <c r="AJ2142">
        <f>((T2142-X2142)*2)/19.2</f>
        <v>23.3666539970827</v>
      </c>
      <c r="AK2142">
        <f t="shared" si="244"/>
        <v>269148.67</v>
      </c>
    </row>
    <row r="2143" spans="1:37">
      <c r="A2143" t="s">
        <v>2209</v>
      </c>
      <c r="B2143">
        <v>37</v>
      </c>
      <c r="C2143" t="s">
        <v>50</v>
      </c>
      <c r="D2143" t="s">
        <v>60</v>
      </c>
      <c r="E2143">
        <v>462</v>
      </c>
      <c r="F2143">
        <v>36</v>
      </c>
      <c r="G2143">
        <v>6</v>
      </c>
      <c r="H2143">
        <v>1695.89</v>
      </c>
      <c r="I2143">
        <v>10498.29</v>
      </c>
      <c r="J2143">
        <v>58</v>
      </c>
      <c r="K2143">
        <v>0</v>
      </c>
      <c r="L2143">
        <v>23.7</v>
      </c>
      <c r="M2143">
        <v>9.7</v>
      </c>
      <c r="N2143" t="s">
        <v>46</v>
      </c>
      <c r="O2143" t="s">
        <v>75</v>
      </c>
      <c r="P2143" t="s">
        <v>66</v>
      </c>
      <c r="R2143">
        <f>SUMIF(A2143:A7142,"C02142",I2143:I7142)</f>
        <v>10498.29</v>
      </c>
      <c r="S2143" s="1">
        <v>626.93</v>
      </c>
      <c r="T2143">
        <f t="shared" si="247"/>
        <v>181.005</v>
      </c>
      <c r="U2143">
        <f t="shared" si="241"/>
        <v>562.6</v>
      </c>
      <c r="V2143">
        <f t="shared" si="243"/>
        <v>46.8833333333333</v>
      </c>
      <c r="W2143">
        <f t="shared" si="245"/>
        <v>4065.06</v>
      </c>
      <c r="X2143">
        <f t="shared" si="242"/>
        <v>0.272423329343295</v>
      </c>
      <c r="AH2143" t="str">
        <f t="shared" si="246"/>
        <v>3rd Quality</v>
      </c>
      <c r="AJ2143">
        <f>((T2143-X2143)*2)/23.7</f>
        <v>15.2516942338107</v>
      </c>
      <c r="AK2143">
        <f t="shared" si="244"/>
        <v>83624.31</v>
      </c>
    </row>
    <row r="2144" spans="1:37">
      <c r="A2144" t="s">
        <v>2210</v>
      </c>
      <c r="B2144">
        <v>43</v>
      </c>
      <c r="C2144" t="s">
        <v>50</v>
      </c>
      <c r="D2144" t="s">
        <v>45</v>
      </c>
      <c r="E2144">
        <v>863</v>
      </c>
      <c r="F2144">
        <v>41</v>
      </c>
      <c r="G2144">
        <v>5</v>
      </c>
      <c r="H2144">
        <v>515.34</v>
      </c>
      <c r="I2144">
        <v>2839.85</v>
      </c>
      <c r="J2144">
        <v>16</v>
      </c>
      <c r="K2144">
        <v>1</v>
      </c>
      <c r="L2144">
        <v>24.7</v>
      </c>
      <c r="M2144">
        <v>41.2</v>
      </c>
      <c r="N2144" t="s">
        <v>63</v>
      </c>
      <c r="O2144" t="s">
        <v>53</v>
      </c>
      <c r="P2144" t="s">
        <v>68</v>
      </c>
      <c r="R2144">
        <f>SUMIF(A2144:A7143,"C02143",I2144:I7143)</f>
        <v>2839.85</v>
      </c>
      <c r="S2144" s="1">
        <v>12418.14</v>
      </c>
      <c r="T2144">
        <f t="shared" si="247"/>
        <v>177.490625</v>
      </c>
      <c r="U2144">
        <f t="shared" si="241"/>
        <v>659.2</v>
      </c>
      <c r="V2144">
        <f>U2144</f>
        <v>659.2</v>
      </c>
      <c r="W2144">
        <f t="shared" si="245"/>
        <v>1118.73</v>
      </c>
      <c r="X2144">
        <f t="shared" si="242"/>
        <v>1.67462257926806</v>
      </c>
      <c r="AH2144" t="str">
        <f t="shared" si="246"/>
        <v>3rd Quality</v>
      </c>
      <c r="AJ2144">
        <f>((T2144-X2144)*2)/24.7</f>
        <v>14.2361135563346</v>
      </c>
      <c r="AK2144">
        <f t="shared" si="244"/>
        <v>153174.409375</v>
      </c>
    </row>
    <row r="2145" spans="1:37">
      <c r="A2145" t="s">
        <v>2211</v>
      </c>
      <c r="B2145">
        <v>56</v>
      </c>
      <c r="C2145" t="s">
        <v>44</v>
      </c>
      <c r="D2145" t="s">
        <v>60</v>
      </c>
      <c r="E2145">
        <v>919</v>
      </c>
      <c r="F2145">
        <v>365</v>
      </c>
      <c r="G2145">
        <v>1</v>
      </c>
      <c r="H2145">
        <v>686.03</v>
      </c>
      <c r="I2145">
        <v>626.93</v>
      </c>
      <c r="J2145">
        <v>15</v>
      </c>
      <c r="K2145">
        <v>0</v>
      </c>
      <c r="L2145">
        <v>33.6</v>
      </c>
      <c r="M2145">
        <v>65.2</v>
      </c>
      <c r="N2145" t="s">
        <v>57</v>
      </c>
      <c r="O2145" t="s">
        <v>47</v>
      </c>
      <c r="P2145" t="s">
        <v>58</v>
      </c>
      <c r="R2145">
        <f>SUMIF(A2145:A7144,"C02144",I2145:I7144)</f>
        <v>626.93</v>
      </c>
      <c r="S2145" s="1">
        <v>2982.69</v>
      </c>
      <c r="T2145">
        <f t="shared" si="247"/>
        <v>41.7953333333333</v>
      </c>
      <c r="U2145">
        <f t="shared" si="241"/>
        <v>978</v>
      </c>
      <c r="V2145">
        <f t="shared" si="243"/>
        <v>81.5</v>
      </c>
      <c r="W2145">
        <f t="shared" si="245"/>
        <v>437.986666666667</v>
      </c>
      <c r="X2145">
        <f t="shared" si="242"/>
        <v>1.33959156305118</v>
      </c>
      <c r="AH2145" t="str">
        <f t="shared" si="246"/>
        <v>3rd Quality</v>
      </c>
      <c r="AJ2145">
        <f>((T2145-X2145)*2)/33.6</f>
        <v>2.4080798672787</v>
      </c>
      <c r="AK2145">
        <f t="shared" si="244"/>
        <v>38409.9113333333</v>
      </c>
    </row>
    <row r="2146" spans="1:37">
      <c r="A2146" t="s">
        <v>2212</v>
      </c>
      <c r="B2146">
        <v>19</v>
      </c>
      <c r="C2146" t="s">
        <v>50</v>
      </c>
      <c r="D2146" t="s">
        <v>60</v>
      </c>
      <c r="E2146">
        <v>1219</v>
      </c>
      <c r="F2146">
        <v>38</v>
      </c>
      <c r="G2146">
        <v>7</v>
      </c>
      <c r="H2146">
        <v>1694.43</v>
      </c>
      <c r="I2146">
        <v>12418.14</v>
      </c>
      <c r="J2146">
        <v>64</v>
      </c>
      <c r="K2146">
        <v>0</v>
      </c>
      <c r="L2146">
        <v>17.3</v>
      </c>
      <c r="M2146">
        <v>14.5</v>
      </c>
      <c r="N2146" t="s">
        <v>78</v>
      </c>
      <c r="O2146" t="s">
        <v>53</v>
      </c>
      <c r="P2146" t="s">
        <v>58</v>
      </c>
      <c r="R2146">
        <f>SUMIF(A2146:A7145,"C02145",I2146:I7145)</f>
        <v>12418.14</v>
      </c>
      <c r="S2146" s="1">
        <v>65793.52</v>
      </c>
      <c r="T2146">
        <f t="shared" si="247"/>
        <v>194.0334375</v>
      </c>
      <c r="U2146">
        <f t="shared" ref="U2146:U2209" si="248">J2146*M2146</f>
        <v>928</v>
      </c>
      <c r="V2146">
        <f t="shared" si="243"/>
        <v>77.3333333333333</v>
      </c>
      <c r="W2146">
        <f t="shared" si="245"/>
        <v>4704.52333333333</v>
      </c>
      <c r="X2146">
        <f t="shared" si="242"/>
        <v>0.719415968791865</v>
      </c>
      <c r="AH2146" t="str">
        <f t="shared" si="246"/>
        <v>3rd Quality</v>
      </c>
      <c r="AJ2146">
        <f>((T2146-X2146)*2)/17.3</f>
        <v>22.3484417955154</v>
      </c>
      <c r="AK2146">
        <f t="shared" si="244"/>
        <v>236526.7603125</v>
      </c>
    </row>
    <row r="2147" spans="1:37">
      <c r="A2147" t="s">
        <v>2213</v>
      </c>
      <c r="B2147">
        <v>47</v>
      </c>
      <c r="C2147" t="s">
        <v>101</v>
      </c>
      <c r="D2147" t="s">
        <v>60</v>
      </c>
      <c r="E2147">
        <v>1197</v>
      </c>
      <c r="F2147">
        <v>365</v>
      </c>
      <c r="G2147">
        <v>1</v>
      </c>
      <c r="H2147">
        <v>2743.77</v>
      </c>
      <c r="I2147">
        <v>2982.69</v>
      </c>
      <c r="J2147">
        <v>17</v>
      </c>
      <c r="K2147">
        <v>0</v>
      </c>
      <c r="L2147">
        <v>22.4</v>
      </c>
      <c r="M2147">
        <v>45.1</v>
      </c>
      <c r="N2147" t="s">
        <v>78</v>
      </c>
      <c r="O2147" t="s">
        <v>47</v>
      </c>
      <c r="P2147" t="s">
        <v>58</v>
      </c>
      <c r="R2147">
        <f>SUMIF(A2147:A7146,"C02146",I2147:I7146)</f>
        <v>2982.69</v>
      </c>
      <c r="S2147" s="1">
        <v>4181.06</v>
      </c>
      <c r="T2147">
        <f t="shared" si="247"/>
        <v>175.452352941176</v>
      </c>
      <c r="U2147">
        <f t="shared" si="248"/>
        <v>766.7</v>
      </c>
      <c r="V2147">
        <f t="shared" si="243"/>
        <v>63.8916666666667</v>
      </c>
      <c r="W2147">
        <f t="shared" si="245"/>
        <v>1909.15333333333</v>
      </c>
      <c r="X2147">
        <f t="shared" si="242"/>
        <v>0.436261056867011</v>
      </c>
      <c r="AH2147" t="str">
        <f t="shared" si="246"/>
        <v>3rd Quality</v>
      </c>
      <c r="AJ2147">
        <f>((T2147-X2147)*2)/22.4</f>
        <v>15.6264367753847</v>
      </c>
      <c r="AK2147">
        <f t="shared" si="244"/>
        <v>210016.466470588</v>
      </c>
    </row>
    <row r="2148" spans="1:37">
      <c r="A2148" t="s">
        <v>2214</v>
      </c>
      <c r="B2148">
        <v>28</v>
      </c>
      <c r="C2148" t="s">
        <v>50</v>
      </c>
      <c r="D2148" t="s">
        <v>45</v>
      </c>
      <c r="E2148">
        <v>475</v>
      </c>
      <c r="F2148">
        <v>14</v>
      </c>
      <c r="G2148">
        <v>28</v>
      </c>
      <c r="H2148">
        <v>2432.02</v>
      </c>
      <c r="I2148">
        <v>65793.52</v>
      </c>
      <c r="J2148">
        <v>146</v>
      </c>
      <c r="K2148">
        <v>2</v>
      </c>
      <c r="L2148">
        <v>14.3</v>
      </c>
      <c r="M2148">
        <v>31.3</v>
      </c>
      <c r="N2148" t="s">
        <v>61</v>
      </c>
      <c r="O2148" t="s">
        <v>47</v>
      </c>
      <c r="P2148" t="s">
        <v>58</v>
      </c>
      <c r="R2148">
        <f>SUMIF(A2148:A7147,"C02147",I2148:I7147)</f>
        <v>65793.52</v>
      </c>
      <c r="S2148" s="1">
        <v>2562.32</v>
      </c>
      <c r="T2148">
        <f t="shared" si="247"/>
        <v>450.640547945206</v>
      </c>
      <c r="U2148">
        <f t="shared" si="248"/>
        <v>4569.8</v>
      </c>
      <c r="V2148">
        <f>U2148</f>
        <v>4569.8</v>
      </c>
      <c r="W2148">
        <f t="shared" si="245"/>
        <v>22742.18</v>
      </c>
      <c r="X2148">
        <f t="shared" si="242"/>
        <v>0.195310893824886</v>
      </c>
      <c r="AH2148" t="str">
        <f t="shared" si="246"/>
        <v>2nd Quality</v>
      </c>
      <c r="AJ2148">
        <f>((T2148-X2148)*2)/14.3</f>
        <v>62.99933385334</v>
      </c>
      <c r="AK2148">
        <f t="shared" si="244"/>
        <v>214054.260273973</v>
      </c>
    </row>
    <row r="2149" spans="1:37">
      <c r="A2149" t="s">
        <v>2215</v>
      </c>
      <c r="B2149">
        <v>37</v>
      </c>
      <c r="C2149" t="s">
        <v>44</v>
      </c>
      <c r="D2149" t="s">
        <v>60</v>
      </c>
      <c r="E2149">
        <v>1275</v>
      </c>
      <c r="F2149">
        <v>365</v>
      </c>
      <c r="G2149">
        <v>1</v>
      </c>
      <c r="H2149">
        <v>3981.99</v>
      </c>
      <c r="I2149">
        <v>4181.06</v>
      </c>
      <c r="J2149">
        <v>10</v>
      </c>
      <c r="K2149">
        <v>0</v>
      </c>
      <c r="L2149">
        <v>22.7</v>
      </c>
      <c r="M2149">
        <v>19.2</v>
      </c>
      <c r="N2149" t="s">
        <v>63</v>
      </c>
      <c r="O2149" t="s">
        <v>47</v>
      </c>
      <c r="P2149" t="s">
        <v>68</v>
      </c>
      <c r="R2149">
        <f>SUMIF(A2149:A7148,"C02148",I2149:I7148)</f>
        <v>4181.06</v>
      </c>
      <c r="S2149" s="1">
        <v>84583.01</v>
      </c>
      <c r="T2149">
        <f t="shared" si="247"/>
        <v>418.106</v>
      </c>
      <c r="U2149">
        <f t="shared" si="248"/>
        <v>192</v>
      </c>
      <c r="V2149">
        <f t="shared" si="243"/>
        <v>16</v>
      </c>
      <c r="W2149">
        <f t="shared" si="245"/>
        <v>2721.35</v>
      </c>
      <c r="X2149">
        <f t="shared" si="242"/>
        <v>0.320191662962489</v>
      </c>
      <c r="AH2149" t="str">
        <f t="shared" si="246"/>
        <v>3rd Quality</v>
      </c>
      <c r="AJ2149">
        <f>((T2149-X2149)*2)/22.7</f>
        <v>36.8093223204438</v>
      </c>
      <c r="AK2149">
        <f t="shared" si="244"/>
        <v>533085.15</v>
      </c>
    </row>
    <row r="2150" spans="1:37">
      <c r="A2150" t="s">
        <v>2216</v>
      </c>
      <c r="B2150">
        <v>20</v>
      </c>
      <c r="C2150" t="s">
        <v>50</v>
      </c>
      <c r="D2150" t="s">
        <v>60</v>
      </c>
      <c r="E2150">
        <v>413</v>
      </c>
      <c r="F2150">
        <v>82</v>
      </c>
      <c r="G2150">
        <v>3</v>
      </c>
      <c r="H2150">
        <v>908.66</v>
      </c>
      <c r="I2150">
        <v>2562.32</v>
      </c>
      <c r="J2150">
        <v>26</v>
      </c>
      <c r="K2150">
        <v>0</v>
      </c>
      <c r="L2150">
        <v>29.5</v>
      </c>
      <c r="M2150">
        <v>31.4</v>
      </c>
      <c r="N2150" t="s">
        <v>61</v>
      </c>
      <c r="O2150" t="s">
        <v>47</v>
      </c>
      <c r="P2150" t="s">
        <v>58</v>
      </c>
      <c r="R2150">
        <f>SUMIF(A2150:A7149,"C02149",I2150:I7149)</f>
        <v>2562.32</v>
      </c>
      <c r="S2150" s="1">
        <v>10453.77</v>
      </c>
      <c r="T2150">
        <f t="shared" si="247"/>
        <v>98.5507692307692</v>
      </c>
      <c r="U2150">
        <f t="shared" si="248"/>
        <v>816.4</v>
      </c>
      <c r="V2150">
        <f t="shared" si="243"/>
        <v>68.0333333333333</v>
      </c>
      <c r="W2150">
        <f t="shared" si="245"/>
        <v>1157.32666666667</v>
      </c>
      <c r="X2150">
        <f t="shared" si="242"/>
        <v>0.454515440318711</v>
      </c>
      <c r="AH2150" t="str">
        <f t="shared" si="246"/>
        <v>3rd Quality</v>
      </c>
      <c r="AJ2150">
        <f>((T2150-X2150)*2)/29.5</f>
        <v>6.65059347731868</v>
      </c>
      <c r="AK2150">
        <f t="shared" si="244"/>
        <v>40701.4676923077</v>
      </c>
    </row>
    <row r="2151" spans="1:37">
      <c r="A2151" t="s">
        <v>2217</v>
      </c>
      <c r="B2151">
        <v>39</v>
      </c>
      <c r="C2151" t="s">
        <v>50</v>
      </c>
      <c r="D2151" t="s">
        <v>60</v>
      </c>
      <c r="E2151">
        <v>904</v>
      </c>
      <c r="F2151">
        <v>9</v>
      </c>
      <c r="G2151">
        <v>25</v>
      </c>
      <c r="H2151">
        <v>3754.54</v>
      </c>
      <c r="I2151">
        <v>84583.01</v>
      </c>
      <c r="J2151">
        <v>183</v>
      </c>
      <c r="K2151">
        <v>1</v>
      </c>
      <c r="L2151">
        <v>3.3</v>
      </c>
      <c r="M2151">
        <v>27.1</v>
      </c>
      <c r="N2151" t="s">
        <v>78</v>
      </c>
      <c r="O2151" t="s">
        <v>75</v>
      </c>
      <c r="P2151" t="s">
        <v>58</v>
      </c>
      <c r="R2151">
        <f>SUMIF(A2151:A7150,"C02150",I2151:I7150)</f>
        <v>84583.01</v>
      </c>
      <c r="S2151" s="1">
        <v>167427.52</v>
      </c>
      <c r="T2151">
        <f t="shared" si="247"/>
        <v>462.202240437158</v>
      </c>
      <c r="U2151">
        <f t="shared" si="248"/>
        <v>4959.3</v>
      </c>
      <c r="V2151">
        <f>U2151</f>
        <v>4959.3</v>
      </c>
      <c r="W2151">
        <f t="shared" si="245"/>
        <v>29446.1833333333</v>
      </c>
      <c r="X2151">
        <f t="shared" si="242"/>
        <v>0.24077516819637</v>
      </c>
      <c r="AH2151" t="str">
        <f t="shared" si="246"/>
        <v>2nd Quality</v>
      </c>
      <c r="AJ2151">
        <f>((T2151-X2151)*2)/3.3</f>
        <v>279.976645617553</v>
      </c>
      <c r="AK2151">
        <f t="shared" si="244"/>
        <v>417830.825355191</v>
      </c>
    </row>
    <row r="2152" spans="1:37">
      <c r="A2152" t="s">
        <v>2218</v>
      </c>
      <c r="B2152">
        <v>25</v>
      </c>
      <c r="C2152" t="s">
        <v>50</v>
      </c>
      <c r="D2152" t="s">
        <v>60</v>
      </c>
      <c r="E2152">
        <v>640</v>
      </c>
      <c r="F2152">
        <v>23</v>
      </c>
      <c r="G2152">
        <v>2</v>
      </c>
      <c r="H2152">
        <v>5898.77</v>
      </c>
      <c r="I2152">
        <v>10453.77</v>
      </c>
      <c r="J2152">
        <v>17</v>
      </c>
      <c r="K2152">
        <v>1</v>
      </c>
      <c r="L2152">
        <v>0</v>
      </c>
      <c r="M2152">
        <v>34.6</v>
      </c>
      <c r="N2152" t="s">
        <v>57</v>
      </c>
      <c r="O2152" t="s">
        <v>47</v>
      </c>
      <c r="P2152" t="s">
        <v>58</v>
      </c>
      <c r="R2152">
        <f>SUMIF(A2152:A7151,"C02151",I2152:I7151)</f>
        <v>10453.77</v>
      </c>
      <c r="S2152" s="1">
        <v>1280.68</v>
      </c>
      <c r="T2152">
        <f t="shared" si="247"/>
        <v>614.927647058824</v>
      </c>
      <c r="U2152">
        <f t="shared" si="248"/>
        <v>588.2</v>
      </c>
      <c r="V2152">
        <f>U2152</f>
        <v>588.2</v>
      </c>
      <c r="W2152">
        <f t="shared" si="245"/>
        <v>5451.18</v>
      </c>
      <c r="X2152">
        <f t="shared" si="242"/>
        <v>0.108497195177978</v>
      </c>
      <c r="AH2152" t="str">
        <f t="shared" si="246"/>
        <v>3rd Quality</v>
      </c>
      <c r="AJ2152">
        <f>((T2152-X2152)*2)</f>
        <v>1229.63829972729</v>
      </c>
      <c r="AK2152">
        <f t="shared" si="244"/>
        <v>393553.694117647</v>
      </c>
    </row>
    <row r="2153" spans="1:37">
      <c r="A2153" t="s">
        <v>2219</v>
      </c>
      <c r="B2153">
        <v>34</v>
      </c>
      <c r="C2153" t="s">
        <v>50</v>
      </c>
      <c r="D2153" t="s">
        <v>45</v>
      </c>
      <c r="E2153">
        <v>754</v>
      </c>
      <c r="F2153">
        <v>5</v>
      </c>
      <c r="G2153">
        <v>34</v>
      </c>
      <c r="H2153">
        <v>4889.22</v>
      </c>
      <c r="I2153">
        <v>167427.52</v>
      </c>
      <c r="J2153">
        <v>242</v>
      </c>
      <c r="K2153">
        <v>2</v>
      </c>
      <c r="L2153">
        <v>0</v>
      </c>
      <c r="M2153">
        <v>34.6</v>
      </c>
      <c r="N2153" t="s">
        <v>52</v>
      </c>
      <c r="O2153" t="s">
        <v>47</v>
      </c>
      <c r="P2153" t="s">
        <v>66</v>
      </c>
      <c r="R2153">
        <f>SUMIF(A2153:A7152,"C02152",I2153:I7152)</f>
        <v>167427.52</v>
      </c>
      <c r="S2153" s="1">
        <v>2617.65</v>
      </c>
      <c r="T2153">
        <f t="shared" si="247"/>
        <v>691.849256198347</v>
      </c>
      <c r="U2153">
        <f t="shared" si="248"/>
        <v>8373.2</v>
      </c>
      <c r="V2153">
        <f>U2153</f>
        <v>8373.2</v>
      </c>
      <c r="W2153">
        <f t="shared" si="245"/>
        <v>57439.2466666667</v>
      </c>
      <c r="X2153">
        <f t="shared" si="242"/>
        <v>0.154216828042101</v>
      </c>
      <c r="AH2153" t="str">
        <f t="shared" si="246"/>
        <v>2nd Quality</v>
      </c>
      <c r="AJ2153">
        <f>((T2153-X2153)*2)</f>
        <v>1383.39007874061</v>
      </c>
      <c r="AK2153">
        <f t="shared" si="244"/>
        <v>521654.339173554</v>
      </c>
    </row>
    <row r="2154" spans="1:37">
      <c r="A2154" t="s">
        <v>2220</v>
      </c>
      <c r="B2154">
        <v>25</v>
      </c>
      <c r="C2154" t="s">
        <v>50</v>
      </c>
      <c r="D2154" t="s">
        <v>45</v>
      </c>
      <c r="E2154">
        <v>835</v>
      </c>
      <c r="F2154">
        <v>22</v>
      </c>
      <c r="G2154">
        <v>2</v>
      </c>
      <c r="H2154">
        <v>717.55</v>
      </c>
      <c r="I2154">
        <v>1280.68</v>
      </c>
      <c r="J2154">
        <v>17</v>
      </c>
      <c r="K2154">
        <v>0</v>
      </c>
      <c r="L2154">
        <v>34.3</v>
      </c>
      <c r="M2154">
        <v>4.3</v>
      </c>
      <c r="N2154" t="s">
        <v>46</v>
      </c>
      <c r="O2154" t="s">
        <v>47</v>
      </c>
      <c r="P2154" t="s">
        <v>58</v>
      </c>
      <c r="R2154">
        <f>SUMIF(A2154:A7153,"C02153",I2154:I7153)</f>
        <v>1280.68</v>
      </c>
      <c r="S2154" s="1">
        <v>16339.35</v>
      </c>
      <c r="T2154">
        <f t="shared" si="247"/>
        <v>75.3341176470588</v>
      </c>
      <c r="U2154">
        <f t="shared" si="248"/>
        <v>73.1</v>
      </c>
      <c r="V2154">
        <f t="shared" si="243"/>
        <v>6.09166666666667</v>
      </c>
      <c r="W2154">
        <f t="shared" si="245"/>
        <v>666.41</v>
      </c>
      <c r="X2154">
        <f t="shared" si="242"/>
        <v>1.16368197338165</v>
      </c>
      <c r="AH2154" t="str">
        <f t="shared" si="246"/>
        <v>3rd Quality</v>
      </c>
      <c r="AJ2154">
        <f>((T2154-X2154)*2)/34.3</f>
        <v>4.32480674482083</v>
      </c>
      <c r="AK2154">
        <f t="shared" si="244"/>
        <v>62903.9882352941</v>
      </c>
    </row>
    <row r="2155" spans="1:37">
      <c r="A2155" t="s">
        <v>2221</v>
      </c>
      <c r="B2155">
        <v>26</v>
      </c>
      <c r="C2155" t="s">
        <v>44</v>
      </c>
      <c r="D2155" t="s">
        <v>45</v>
      </c>
      <c r="E2155">
        <v>994</v>
      </c>
      <c r="F2155">
        <v>109</v>
      </c>
      <c r="G2155">
        <v>4</v>
      </c>
      <c r="H2155">
        <v>640.21</v>
      </c>
      <c r="I2155">
        <v>2617.65</v>
      </c>
      <c r="J2155">
        <v>40</v>
      </c>
      <c r="K2155">
        <v>0</v>
      </c>
      <c r="L2155">
        <v>17.2</v>
      </c>
      <c r="M2155">
        <v>23</v>
      </c>
      <c r="N2155" t="s">
        <v>63</v>
      </c>
      <c r="O2155" t="s">
        <v>47</v>
      </c>
      <c r="P2155" t="s">
        <v>66</v>
      </c>
      <c r="R2155">
        <f>SUMIF(A2155:A7154,"C02154",I2155:I7154)</f>
        <v>2617.65</v>
      </c>
      <c r="S2155" s="1">
        <v>3802.21</v>
      </c>
      <c r="T2155">
        <f t="shared" si="247"/>
        <v>65.44125</v>
      </c>
      <c r="U2155">
        <f t="shared" si="248"/>
        <v>920</v>
      </c>
      <c r="V2155">
        <f t="shared" si="243"/>
        <v>76.6666666666667</v>
      </c>
      <c r="W2155">
        <f t="shared" si="245"/>
        <v>1086.28666666667</v>
      </c>
      <c r="X2155">
        <f t="shared" si="242"/>
        <v>1.5526155480233</v>
      </c>
      <c r="AH2155" t="str">
        <f t="shared" si="246"/>
        <v>3rd Quality</v>
      </c>
      <c r="AJ2155">
        <f>((T2155-X2155)*2)/17.2</f>
        <v>7.42891098278799</v>
      </c>
      <c r="AK2155">
        <f t="shared" si="244"/>
        <v>65048.6025</v>
      </c>
    </row>
    <row r="2156" spans="1:37">
      <c r="A2156" t="s">
        <v>2222</v>
      </c>
      <c r="B2156">
        <v>25</v>
      </c>
      <c r="C2156" t="s">
        <v>50</v>
      </c>
      <c r="D2156" t="s">
        <v>45</v>
      </c>
      <c r="E2156">
        <v>405</v>
      </c>
      <c r="F2156">
        <v>55</v>
      </c>
      <c r="G2156">
        <v>2</v>
      </c>
      <c r="H2156">
        <v>8421.25</v>
      </c>
      <c r="I2156">
        <v>16339.35</v>
      </c>
      <c r="J2156">
        <v>14</v>
      </c>
      <c r="K2156">
        <v>0</v>
      </c>
      <c r="L2156">
        <v>5.1</v>
      </c>
      <c r="M2156">
        <v>65.2</v>
      </c>
      <c r="N2156" t="s">
        <v>81</v>
      </c>
      <c r="O2156" t="s">
        <v>75</v>
      </c>
      <c r="P2156" t="s">
        <v>58</v>
      </c>
      <c r="R2156">
        <f>SUMIF(A2156:A7155,"C02155",I2156:I7155)</f>
        <v>16339.35</v>
      </c>
      <c r="S2156" s="1">
        <v>71376.27</v>
      </c>
      <c r="T2156">
        <f t="shared" si="247"/>
        <v>1167.09642857143</v>
      </c>
      <c r="U2156">
        <f t="shared" si="248"/>
        <v>912.8</v>
      </c>
      <c r="V2156">
        <f t="shared" si="243"/>
        <v>76.0666666666667</v>
      </c>
      <c r="W2156">
        <f t="shared" si="245"/>
        <v>8253.86666666667</v>
      </c>
      <c r="X2156">
        <f t="shared" si="242"/>
        <v>0.0480926228291524</v>
      </c>
      <c r="AH2156" t="str">
        <f t="shared" si="246"/>
        <v>3rd Quality</v>
      </c>
      <c r="AJ2156">
        <f>((T2156-X2156)*2)/5.1</f>
        <v>457.66601409749</v>
      </c>
      <c r="AK2156">
        <f t="shared" si="244"/>
        <v>472674.053571429</v>
      </c>
    </row>
    <row r="2157" spans="1:37">
      <c r="A2157" t="s">
        <v>2223</v>
      </c>
      <c r="B2157">
        <v>54</v>
      </c>
      <c r="C2157" t="s">
        <v>44</v>
      </c>
      <c r="D2157" t="s">
        <v>45</v>
      </c>
      <c r="E2157">
        <v>509</v>
      </c>
      <c r="F2157">
        <v>78</v>
      </c>
      <c r="G2157">
        <v>3</v>
      </c>
      <c r="H2157">
        <v>1437.54</v>
      </c>
      <c r="I2157">
        <v>3802.21</v>
      </c>
      <c r="J2157">
        <v>17</v>
      </c>
      <c r="K2157">
        <v>1</v>
      </c>
      <c r="L2157">
        <v>30.5</v>
      </c>
      <c r="M2157">
        <v>21.5</v>
      </c>
      <c r="N2157" t="s">
        <v>52</v>
      </c>
      <c r="O2157" t="s">
        <v>47</v>
      </c>
      <c r="P2157" t="s">
        <v>48</v>
      </c>
      <c r="R2157">
        <f>SUMIF(A2157:A7156,"C02156",I2157:I7156)</f>
        <v>3802.21</v>
      </c>
      <c r="S2157" s="1">
        <v>8144.47</v>
      </c>
      <c r="T2157">
        <f t="shared" si="247"/>
        <v>223.659411764706</v>
      </c>
      <c r="U2157">
        <f t="shared" si="248"/>
        <v>365.5</v>
      </c>
      <c r="V2157">
        <f>U2157</f>
        <v>365.5</v>
      </c>
      <c r="W2157">
        <f t="shared" si="245"/>
        <v>1746.91666666667</v>
      </c>
      <c r="X2157">
        <f t="shared" si="242"/>
        <v>0.354077103941456</v>
      </c>
      <c r="AH2157" t="str">
        <f t="shared" si="246"/>
        <v>3rd Quality</v>
      </c>
      <c r="AJ2157">
        <f>((T2157-X2157)*2)/30.5</f>
        <v>14.6429727646403</v>
      </c>
      <c r="AK2157">
        <f t="shared" si="244"/>
        <v>113842.640588235</v>
      </c>
    </row>
    <row r="2158" spans="1:37">
      <c r="A2158" t="s">
        <v>2224</v>
      </c>
      <c r="B2158">
        <v>24</v>
      </c>
      <c r="C2158" t="s">
        <v>44</v>
      </c>
      <c r="D2158" t="s">
        <v>60</v>
      </c>
      <c r="E2158">
        <v>1122</v>
      </c>
      <c r="F2158">
        <v>6</v>
      </c>
      <c r="G2158">
        <v>20</v>
      </c>
      <c r="H2158">
        <v>3819.55</v>
      </c>
      <c r="I2158">
        <v>71376.27</v>
      </c>
      <c r="J2158">
        <v>56</v>
      </c>
      <c r="K2158">
        <v>2</v>
      </c>
      <c r="L2158">
        <v>1.5</v>
      </c>
      <c r="M2158">
        <v>22.5</v>
      </c>
      <c r="N2158" t="s">
        <v>81</v>
      </c>
      <c r="O2158" t="s">
        <v>47</v>
      </c>
      <c r="P2158" t="s">
        <v>58</v>
      </c>
      <c r="R2158">
        <f>SUMIF(A2158:A7157,"C02157",I2158:I7157)</f>
        <v>71376.27</v>
      </c>
      <c r="S2158" s="1">
        <v>6428.87</v>
      </c>
      <c r="T2158">
        <f t="shared" si="247"/>
        <v>1274.57625</v>
      </c>
      <c r="U2158">
        <f t="shared" si="248"/>
        <v>1260</v>
      </c>
      <c r="V2158">
        <f>U2158</f>
        <v>1260</v>
      </c>
      <c r="W2158">
        <f t="shared" si="245"/>
        <v>25065.6066666667</v>
      </c>
      <c r="X2158">
        <f t="shared" si="242"/>
        <v>0.293751881766177</v>
      </c>
      <c r="AH2158" t="str">
        <f t="shared" si="246"/>
        <v>1st Quality</v>
      </c>
      <c r="AJ2158">
        <f>((T2158-X2158)*2)/1.5</f>
        <v>1699.04333082431</v>
      </c>
      <c r="AK2158">
        <f t="shared" si="244"/>
        <v>1430074.5525</v>
      </c>
    </row>
    <row r="2159" spans="1:37">
      <c r="A2159" t="s">
        <v>2225</v>
      </c>
      <c r="B2159">
        <v>43</v>
      </c>
      <c r="C2159" t="s">
        <v>50</v>
      </c>
      <c r="D2159" t="s">
        <v>60</v>
      </c>
      <c r="E2159">
        <v>469</v>
      </c>
      <c r="F2159">
        <v>90</v>
      </c>
      <c r="G2159">
        <v>8</v>
      </c>
      <c r="H2159">
        <v>962.96</v>
      </c>
      <c r="I2159">
        <v>8144.47</v>
      </c>
      <c r="J2159">
        <v>47</v>
      </c>
      <c r="K2159">
        <v>0</v>
      </c>
      <c r="L2159">
        <v>21.1</v>
      </c>
      <c r="M2159">
        <v>5.2</v>
      </c>
      <c r="N2159" t="s">
        <v>61</v>
      </c>
      <c r="O2159" t="s">
        <v>75</v>
      </c>
      <c r="P2159" t="s">
        <v>68</v>
      </c>
      <c r="R2159">
        <f>SUMIF(A2159:A7158,"C02158",I2159:I7158)</f>
        <v>8144.47</v>
      </c>
      <c r="S2159" s="1">
        <v>172898.19</v>
      </c>
      <c r="T2159">
        <f t="shared" si="247"/>
        <v>173.286595744681</v>
      </c>
      <c r="U2159">
        <f t="shared" si="248"/>
        <v>244.4</v>
      </c>
      <c r="V2159">
        <f t="shared" si="243"/>
        <v>20.3666666666667</v>
      </c>
      <c r="W2159">
        <f t="shared" si="245"/>
        <v>3036.14333333333</v>
      </c>
      <c r="X2159">
        <f t="shared" ref="X2159:X2222" si="249">E2159/H2159</f>
        <v>0.487039960122954</v>
      </c>
      <c r="AH2159" t="str">
        <f t="shared" si="246"/>
        <v>3rd Quality</v>
      </c>
      <c r="AJ2159">
        <f>((T2159-X2159)*2)/21.1</f>
        <v>16.3791048137022</v>
      </c>
      <c r="AK2159">
        <f t="shared" si="244"/>
        <v>81271.4134042553</v>
      </c>
    </row>
    <row r="2160" spans="1:37">
      <c r="A2160" t="s">
        <v>2226</v>
      </c>
      <c r="B2160">
        <v>30</v>
      </c>
      <c r="C2160" t="s">
        <v>50</v>
      </c>
      <c r="D2160" t="s">
        <v>60</v>
      </c>
      <c r="E2160">
        <v>636</v>
      </c>
      <c r="F2160">
        <v>12</v>
      </c>
      <c r="G2160">
        <v>6</v>
      </c>
      <c r="H2160">
        <v>1103.58</v>
      </c>
      <c r="I2160">
        <v>6428.87</v>
      </c>
      <c r="J2160">
        <v>53</v>
      </c>
      <c r="K2160">
        <v>0</v>
      </c>
      <c r="L2160">
        <v>24.2</v>
      </c>
      <c r="M2160">
        <v>56.6</v>
      </c>
      <c r="N2160" t="s">
        <v>63</v>
      </c>
      <c r="O2160" t="s">
        <v>53</v>
      </c>
      <c r="P2160" t="s">
        <v>58</v>
      </c>
      <c r="R2160">
        <f>SUMIF(A2160:A7159,"C02159",I2160:I7159)</f>
        <v>6428.87</v>
      </c>
      <c r="S2160" s="1">
        <v>10618.43</v>
      </c>
      <c r="T2160">
        <f t="shared" si="247"/>
        <v>121.299433962264</v>
      </c>
      <c r="U2160">
        <f t="shared" si="248"/>
        <v>2999.8</v>
      </c>
      <c r="V2160">
        <f t="shared" si="243"/>
        <v>249.983333333333</v>
      </c>
      <c r="W2160">
        <f t="shared" si="245"/>
        <v>2511.15</v>
      </c>
      <c r="X2160">
        <f t="shared" si="249"/>
        <v>0.576306203446964</v>
      </c>
      <c r="AH2160" t="str">
        <f t="shared" si="246"/>
        <v>3rd Quality</v>
      </c>
      <c r="AJ2160">
        <f>((T2160-X2160)*2)/24.2</f>
        <v>9.97711799659645</v>
      </c>
      <c r="AK2160">
        <f t="shared" si="244"/>
        <v>77146.44</v>
      </c>
    </row>
    <row r="2161" spans="1:37">
      <c r="A2161" t="s">
        <v>2227</v>
      </c>
      <c r="B2161">
        <v>26</v>
      </c>
      <c r="C2161" t="s">
        <v>44</v>
      </c>
      <c r="D2161" t="s">
        <v>60</v>
      </c>
      <c r="E2161">
        <v>1263</v>
      </c>
      <c r="F2161">
        <v>9</v>
      </c>
      <c r="G2161">
        <v>30</v>
      </c>
      <c r="H2161">
        <v>5467.31</v>
      </c>
      <c r="I2161">
        <v>172898.19</v>
      </c>
      <c r="J2161">
        <v>128</v>
      </c>
      <c r="K2161">
        <v>1</v>
      </c>
      <c r="L2161">
        <v>7.1</v>
      </c>
      <c r="M2161">
        <v>22.6</v>
      </c>
      <c r="N2161" t="s">
        <v>61</v>
      </c>
      <c r="O2161" t="s">
        <v>47</v>
      </c>
      <c r="P2161" t="s">
        <v>68</v>
      </c>
      <c r="R2161">
        <f>SUMIF(A2161:A7160,"C02160",I2161:I7160)</f>
        <v>172898.19</v>
      </c>
      <c r="S2161" s="1">
        <v>17894.44</v>
      </c>
      <c r="T2161">
        <f t="shared" si="247"/>
        <v>1350.767109375</v>
      </c>
      <c r="U2161">
        <f t="shared" si="248"/>
        <v>2892.8</v>
      </c>
      <c r="V2161">
        <f>U2161</f>
        <v>2892.8</v>
      </c>
      <c r="W2161">
        <f t="shared" si="245"/>
        <v>59455.5</v>
      </c>
      <c r="X2161">
        <f t="shared" si="249"/>
        <v>0.231009399503595</v>
      </c>
      <c r="AH2161" t="str">
        <f t="shared" si="246"/>
        <v>1st Quality</v>
      </c>
      <c r="AJ2161">
        <f>((T2161-X2161)*2)/7.1</f>
        <v>380.43270421845</v>
      </c>
      <c r="AK2161">
        <f t="shared" si="244"/>
        <v>1706018.85914062</v>
      </c>
    </row>
    <row r="2162" spans="1:37">
      <c r="A2162" t="s">
        <v>2228</v>
      </c>
      <c r="B2162">
        <v>37</v>
      </c>
      <c r="C2162" t="s">
        <v>50</v>
      </c>
      <c r="D2162" t="s">
        <v>51</v>
      </c>
      <c r="E2162">
        <v>601</v>
      </c>
      <c r="F2162">
        <v>57</v>
      </c>
      <c r="G2162">
        <v>8</v>
      </c>
      <c r="H2162">
        <v>1234.02</v>
      </c>
      <c r="I2162">
        <v>10618.43</v>
      </c>
      <c r="J2162">
        <v>25</v>
      </c>
      <c r="K2162">
        <v>0</v>
      </c>
      <c r="L2162">
        <v>25.2</v>
      </c>
      <c r="M2162">
        <v>22.3</v>
      </c>
      <c r="N2162" t="s">
        <v>57</v>
      </c>
      <c r="O2162" t="s">
        <v>47</v>
      </c>
      <c r="P2162" t="s">
        <v>66</v>
      </c>
      <c r="R2162">
        <f>SUMIF(A2162:A7161,"C02161",I2162:I7161)</f>
        <v>10618.43</v>
      </c>
      <c r="S2162" s="1">
        <v>13357.82</v>
      </c>
      <c r="T2162">
        <f t="shared" si="247"/>
        <v>424.7372</v>
      </c>
      <c r="U2162">
        <f t="shared" si="248"/>
        <v>557.5</v>
      </c>
      <c r="V2162">
        <f t="shared" si="243"/>
        <v>46.4583333333333</v>
      </c>
      <c r="W2162">
        <f t="shared" si="245"/>
        <v>3951.15</v>
      </c>
      <c r="X2162">
        <f t="shared" si="249"/>
        <v>0.487026142201909</v>
      </c>
      <c r="AH2162" t="str">
        <f t="shared" si="246"/>
        <v>3rd Quality</v>
      </c>
      <c r="AJ2162">
        <f>((T2162-X2162)*2)/25.2</f>
        <v>33.6706487188729</v>
      </c>
      <c r="AK2162">
        <f t="shared" si="244"/>
        <v>255267.0572</v>
      </c>
    </row>
    <row r="2163" spans="1:37">
      <c r="A2163" t="s">
        <v>2229</v>
      </c>
      <c r="B2163">
        <v>44</v>
      </c>
      <c r="C2163" t="s">
        <v>44</v>
      </c>
      <c r="D2163" t="s">
        <v>60</v>
      </c>
      <c r="E2163">
        <v>508</v>
      </c>
      <c r="F2163">
        <v>15</v>
      </c>
      <c r="G2163">
        <v>10</v>
      </c>
      <c r="H2163">
        <v>1670.4</v>
      </c>
      <c r="I2163">
        <v>17894.44</v>
      </c>
      <c r="J2163">
        <v>71</v>
      </c>
      <c r="K2163">
        <v>0</v>
      </c>
      <c r="L2163">
        <v>18.9</v>
      </c>
      <c r="M2163">
        <v>43.5</v>
      </c>
      <c r="N2163" t="s">
        <v>61</v>
      </c>
      <c r="O2163" t="s">
        <v>47</v>
      </c>
      <c r="P2163" t="s">
        <v>58</v>
      </c>
      <c r="R2163">
        <f>SUMIF(A2163:A7162,"C02162",I2163:I7162)</f>
        <v>17894.44</v>
      </c>
      <c r="S2163" s="1">
        <v>3510.2</v>
      </c>
      <c r="T2163">
        <f t="shared" si="247"/>
        <v>252.034366197183</v>
      </c>
      <c r="U2163">
        <f t="shared" si="248"/>
        <v>3088.5</v>
      </c>
      <c r="V2163">
        <f t="shared" si="243"/>
        <v>257.375</v>
      </c>
      <c r="W2163">
        <f t="shared" si="245"/>
        <v>6521.94666666667</v>
      </c>
      <c r="X2163">
        <f t="shared" si="249"/>
        <v>0.30411877394636</v>
      </c>
      <c r="AH2163" t="str">
        <f t="shared" si="246"/>
        <v>3rd Quality</v>
      </c>
      <c r="AJ2163">
        <f>((T2163-X2163)*2)/18.9</f>
        <v>26.6381214204483</v>
      </c>
      <c r="AK2163">
        <f t="shared" si="244"/>
        <v>128033.458028169</v>
      </c>
    </row>
    <row r="2164" spans="1:37">
      <c r="A2164" t="s">
        <v>2230</v>
      </c>
      <c r="B2164">
        <v>23</v>
      </c>
      <c r="C2164" t="s">
        <v>44</v>
      </c>
      <c r="D2164" t="s">
        <v>45</v>
      </c>
      <c r="E2164">
        <v>892</v>
      </c>
      <c r="F2164">
        <v>34</v>
      </c>
      <c r="G2164">
        <v>7</v>
      </c>
      <c r="H2164">
        <v>1833.2</v>
      </c>
      <c r="I2164">
        <v>13357.82</v>
      </c>
      <c r="J2164">
        <v>53</v>
      </c>
      <c r="K2164">
        <v>0</v>
      </c>
      <c r="L2164">
        <v>20.1</v>
      </c>
      <c r="M2164">
        <v>8.3</v>
      </c>
      <c r="N2164" t="s">
        <v>52</v>
      </c>
      <c r="O2164" t="s">
        <v>47</v>
      </c>
      <c r="P2164" t="s">
        <v>48</v>
      </c>
      <c r="R2164">
        <f>SUMIF(A2164:A7163,"C02163",I2164:I7163)</f>
        <v>13357.82</v>
      </c>
      <c r="S2164" s="1">
        <v>2794.65</v>
      </c>
      <c r="T2164">
        <f t="shared" si="247"/>
        <v>252.034339622642</v>
      </c>
      <c r="U2164">
        <f t="shared" si="248"/>
        <v>439.9</v>
      </c>
      <c r="V2164">
        <f t="shared" si="243"/>
        <v>36.6583333333333</v>
      </c>
      <c r="W2164">
        <f t="shared" si="245"/>
        <v>5064.00666666667</v>
      </c>
      <c r="X2164">
        <f t="shared" si="249"/>
        <v>0.486580842243072</v>
      </c>
      <c r="AH2164" t="str">
        <f t="shared" si="246"/>
        <v>3rd Quality</v>
      </c>
      <c r="AJ2164">
        <f>((T2164-X2164)*2)/20.1</f>
        <v>25.0296277393432</v>
      </c>
      <c r="AK2164">
        <f t="shared" si="244"/>
        <v>224814.630943396</v>
      </c>
    </row>
    <row r="2165" spans="1:37">
      <c r="A2165" t="s">
        <v>2231</v>
      </c>
      <c r="B2165">
        <v>58</v>
      </c>
      <c r="C2165" t="s">
        <v>50</v>
      </c>
      <c r="D2165" t="s">
        <v>45</v>
      </c>
      <c r="E2165">
        <v>825</v>
      </c>
      <c r="F2165">
        <v>67</v>
      </c>
      <c r="G2165">
        <v>9</v>
      </c>
      <c r="H2165">
        <v>368.23</v>
      </c>
      <c r="I2165">
        <v>3510.2</v>
      </c>
      <c r="J2165">
        <v>27</v>
      </c>
      <c r="K2165">
        <v>0</v>
      </c>
      <c r="L2165">
        <v>15.8</v>
      </c>
      <c r="M2165">
        <v>4.3</v>
      </c>
      <c r="N2165" t="s">
        <v>52</v>
      </c>
      <c r="O2165" t="s">
        <v>47</v>
      </c>
      <c r="P2165" t="s">
        <v>58</v>
      </c>
      <c r="R2165">
        <f>SUMIF(A2165:A7164,"C02164",I2165:I7164)</f>
        <v>3510.2</v>
      </c>
      <c r="S2165" s="1">
        <v>9682.31</v>
      </c>
      <c r="T2165">
        <f t="shared" si="247"/>
        <v>130.007407407407</v>
      </c>
      <c r="U2165">
        <f t="shared" si="248"/>
        <v>116.1</v>
      </c>
      <c r="V2165">
        <f t="shared" si="243"/>
        <v>9.675</v>
      </c>
      <c r="W2165">
        <f t="shared" si="245"/>
        <v>1293.14333333333</v>
      </c>
      <c r="X2165">
        <f t="shared" si="249"/>
        <v>2.24044754637047</v>
      </c>
      <c r="AH2165" t="str">
        <f t="shared" si="246"/>
        <v>3rd Quality</v>
      </c>
      <c r="AJ2165">
        <f>((T2165-X2165)*2)/15.8</f>
        <v>16.1730328938021</v>
      </c>
      <c r="AK2165">
        <f t="shared" si="244"/>
        <v>107256.111111111</v>
      </c>
    </row>
    <row r="2166" spans="1:37">
      <c r="A2166" t="s">
        <v>2232</v>
      </c>
      <c r="B2166">
        <v>53</v>
      </c>
      <c r="C2166" t="s">
        <v>50</v>
      </c>
      <c r="D2166" t="s">
        <v>51</v>
      </c>
      <c r="E2166">
        <v>506</v>
      </c>
      <c r="F2166">
        <v>88</v>
      </c>
      <c r="G2166">
        <v>1</v>
      </c>
      <c r="H2166">
        <v>2748.61</v>
      </c>
      <c r="I2166">
        <v>2794.65</v>
      </c>
      <c r="J2166">
        <v>14</v>
      </c>
      <c r="K2166">
        <v>0</v>
      </c>
      <c r="L2166">
        <v>16.1</v>
      </c>
      <c r="M2166">
        <v>13.5</v>
      </c>
      <c r="N2166" t="s">
        <v>81</v>
      </c>
      <c r="O2166" t="s">
        <v>75</v>
      </c>
      <c r="P2166" t="s">
        <v>58</v>
      </c>
      <c r="R2166">
        <f>SUMIF(A2166:A7165,"C02165",I2166:I7165)</f>
        <v>2794.65</v>
      </c>
      <c r="S2166" s="1">
        <v>1326.39</v>
      </c>
      <c r="T2166">
        <f t="shared" si="247"/>
        <v>199.617857142857</v>
      </c>
      <c r="U2166">
        <f t="shared" si="248"/>
        <v>189</v>
      </c>
      <c r="V2166">
        <f t="shared" si="243"/>
        <v>15.75</v>
      </c>
      <c r="W2166">
        <f t="shared" si="245"/>
        <v>1848.08666666667</v>
      </c>
      <c r="X2166">
        <f t="shared" si="249"/>
        <v>0.184093050669247</v>
      </c>
      <c r="AH2166" t="str">
        <f t="shared" si="246"/>
        <v>3rd Quality</v>
      </c>
      <c r="AJ2166">
        <f>((T2166-X2166)*2)/16.1</f>
        <v>24.7743806325699</v>
      </c>
      <c r="AK2166">
        <f t="shared" si="244"/>
        <v>101006.635714286</v>
      </c>
    </row>
    <row r="2167" spans="1:37">
      <c r="A2167" t="s">
        <v>2233</v>
      </c>
      <c r="B2167">
        <v>33</v>
      </c>
      <c r="C2167" t="s">
        <v>44</v>
      </c>
      <c r="D2167" t="s">
        <v>60</v>
      </c>
      <c r="E2167">
        <v>819</v>
      </c>
      <c r="F2167">
        <v>52</v>
      </c>
      <c r="G2167">
        <v>10</v>
      </c>
      <c r="H2167">
        <v>976.49</v>
      </c>
      <c r="I2167">
        <v>9682.31</v>
      </c>
      <c r="J2167">
        <v>59</v>
      </c>
      <c r="K2167">
        <v>2</v>
      </c>
      <c r="L2167">
        <v>22</v>
      </c>
      <c r="M2167">
        <v>18</v>
      </c>
      <c r="N2167" t="s">
        <v>57</v>
      </c>
      <c r="O2167" t="s">
        <v>47</v>
      </c>
      <c r="P2167" t="s">
        <v>58</v>
      </c>
      <c r="R2167">
        <f>SUMIF(A2167:A7166,"C02166",I2167:I7166)</f>
        <v>9682.31</v>
      </c>
      <c r="S2167" s="1">
        <v>8098.18</v>
      </c>
      <c r="T2167">
        <f t="shared" si="247"/>
        <v>164.106949152542</v>
      </c>
      <c r="U2167">
        <f t="shared" si="248"/>
        <v>1062</v>
      </c>
      <c r="V2167">
        <f>U2167</f>
        <v>1062</v>
      </c>
      <c r="W2167">
        <f t="shared" si="245"/>
        <v>3553.26666666667</v>
      </c>
      <c r="X2167">
        <f t="shared" si="249"/>
        <v>0.838718266444101</v>
      </c>
      <c r="AH2167" t="str">
        <f t="shared" si="246"/>
        <v>3rd Quality</v>
      </c>
      <c r="AJ2167">
        <f>((T2167-X2167)*2)/22</f>
        <v>14.8425664441907</v>
      </c>
      <c r="AK2167">
        <f t="shared" si="244"/>
        <v>134403.591355932</v>
      </c>
    </row>
    <row r="2168" spans="1:37">
      <c r="A2168" t="s">
        <v>2234</v>
      </c>
      <c r="B2168">
        <v>39</v>
      </c>
      <c r="C2168" t="s">
        <v>44</v>
      </c>
      <c r="D2168" t="s">
        <v>60</v>
      </c>
      <c r="E2168">
        <v>1295</v>
      </c>
      <c r="F2168">
        <v>35</v>
      </c>
      <c r="G2168">
        <v>1</v>
      </c>
      <c r="H2168">
        <v>1482.31</v>
      </c>
      <c r="I2168">
        <v>1326.39</v>
      </c>
      <c r="J2168">
        <v>9</v>
      </c>
      <c r="K2168">
        <v>0</v>
      </c>
      <c r="L2168">
        <v>10.5</v>
      </c>
      <c r="M2168">
        <v>40.9</v>
      </c>
      <c r="N2168" t="s">
        <v>81</v>
      </c>
      <c r="O2168" t="s">
        <v>75</v>
      </c>
      <c r="P2168" t="s">
        <v>58</v>
      </c>
      <c r="R2168">
        <f>SUMIF(A2168:A7167,"C02167",I2168:I7167)</f>
        <v>1326.39</v>
      </c>
      <c r="S2168" s="1">
        <v>35427.56</v>
      </c>
      <c r="T2168">
        <f t="shared" si="247"/>
        <v>147.376666666667</v>
      </c>
      <c r="U2168">
        <f t="shared" si="248"/>
        <v>368.1</v>
      </c>
      <c r="V2168">
        <f t="shared" si="243"/>
        <v>30.675</v>
      </c>
      <c r="W2168">
        <f t="shared" si="245"/>
        <v>936.566666666667</v>
      </c>
      <c r="X2168">
        <f t="shared" si="249"/>
        <v>0.873636418832768</v>
      </c>
      <c r="AH2168" t="str">
        <f t="shared" si="246"/>
        <v>3rd Quality</v>
      </c>
      <c r="AJ2168">
        <f>((T2168-X2168)*2)/10.5</f>
        <v>27.9053390948256</v>
      </c>
      <c r="AK2168">
        <f t="shared" si="244"/>
        <v>190852.783333333</v>
      </c>
    </row>
    <row r="2169" spans="1:37">
      <c r="A2169" t="s">
        <v>2235</v>
      </c>
      <c r="B2169">
        <v>37</v>
      </c>
      <c r="C2169" t="s">
        <v>50</v>
      </c>
      <c r="D2169" t="s">
        <v>60</v>
      </c>
      <c r="E2169">
        <v>1442</v>
      </c>
      <c r="F2169">
        <v>29</v>
      </c>
      <c r="G2169">
        <v>3</v>
      </c>
      <c r="H2169">
        <v>2423.1</v>
      </c>
      <c r="I2169">
        <v>8098.18</v>
      </c>
      <c r="J2169">
        <v>14</v>
      </c>
      <c r="K2169">
        <v>0</v>
      </c>
      <c r="L2169">
        <v>25</v>
      </c>
      <c r="M2169">
        <v>14.9</v>
      </c>
      <c r="N2169" t="s">
        <v>78</v>
      </c>
      <c r="O2169" t="s">
        <v>47</v>
      </c>
      <c r="P2169" t="s">
        <v>66</v>
      </c>
      <c r="R2169">
        <f>SUMIF(A2169:A7168,"C02168",I2169:I7168)</f>
        <v>8098.18</v>
      </c>
      <c r="S2169" s="1">
        <v>47716.46</v>
      </c>
      <c r="T2169">
        <f t="shared" si="247"/>
        <v>578.441428571429</v>
      </c>
      <c r="U2169">
        <f t="shared" si="248"/>
        <v>208.6</v>
      </c>
      <c r="V2169">
        <f t="shared" si="243"/>
        <v>17.3833333333333</v>
      </c>
      <c r="W2169">
        <f t="shared" si="245"/>
        <v>3507.42666666667</v>
      </c>
      <c r="X2169">
        <f t="shared" si="249"/>
        <v>0.595105443440221</v>
      </c>
      <c r="AH2169" t="str">
        <f t="shared" si="246"/>
        <v>3rd Quality</v>
      </c>
      <c r="AJ2169">
        <f>((T2169-X2169)*2)/25</f>
        <v>46.2277058502391</v>
      </c>
      <c r="AK2169">
        <f t="shared" si="244"/>
        <v>834112.54</v>
      </c>
    </row>
    <row r="2170" spans="1:37">
      <c r="A2170" t="s">
        <v>2236</v>
      </c>
      <c r="B2170">
        <v>34</v>
      </c>
      <c r="C2170" t="s">
        <v>44</v>
      </c>
      <c r="D2170" t="s">
        <v>45</v>
      </c>
      <c r="E2170">
        <v>441</v>
      </c>
      <c r="F2170">
        <v>75</v>
      </c>
      <c r="G2170">
        <v>14</v>
      </c>
      <c r="H2170">
        <v>2339.5</v>
      </c>
      <c r="I2170">
        <v>35427.56</v>
      </c>
      <c r="J2170">
        <v>95</v>
      </c>
      <c r="K2170">
        <v>1</v>
      </c>
      <c r="L2170">
        <v>4.7</v>
      </c>
      <c r="M2170">
        <v>36</v>
      </c>
      <c r="N2170" t="s">
        <v>63</v>
      </c>
      <c r="O2170" t="s">
        <v>47</v>
      </c>
      <c r="P2170" t="s">
        <v>58</v>
      </c>
      <c r="R2170">
        <f>SUMIF(A2170:A7169,"C02169",I2170:I7169)</f>
        <v>35427.56</v>
      </c>
      <c r="S2170" s="1">
        <v>16578.95</v>
      </c>
      <c r="T2170">
        <f t="shared" si="247"/>
        <v>372.921684210526</v>
      </c>
      <c r="U2170">
        <f t="shared" si="248"/>
        <v>3420</v>
      </c>
      <c r="V2170">
        <f>U2170</f>
        <v>3420</v>
      </c>
      <c r="W2170">
        <f t="shared" si="245"/>
        <v>12589.3533333333</v>
      </c>
      <c r="X2170">
        <f t="shared" si="249"/>
        <v>0.188501816627484</v>
      </c>
      <c r="AH2170" t="str">
        <f t="shared" si="246"/>
        <v>3rd Quality</v>
      </c>
      <c r="AJ2170">
        <f>((T2170-X2170)*2)/4.7</f>
        <v>158.609864848467</v>
      </c>
      <c r="AK2170">
        <f t="shared" si="244"/>
        <v>164458.462736842</v>
      </c>
    </row>
    <row r="2171" spans="1:37">
      <c r="A2171" t="s">
        <v>2237</v>
      </c>
      <c r="B2171">
        <v>42</v>
      </c>
      <c r="C2171" t="s">
        <v>44</v>
      </c>
      <c r="D2171" t="s">
        <v>51</v>
      </c>
      <c r="E2171">
        <v>1139</v>
      </c>
      <c r="F2171">
        <v>45</v>
      </c>
      <c r="G2171">
        <v>4</v>
      </c>
      <c r="H2171">
        <v>11456.4</v>
      </c>
      <c r="I2171">
        <v>47716.46</v>
      </c>
      <c r="J2171">
        <v>22</v>
      </c>
      <c r="K2171">
        <v>0</v>
      </c>
      <c r="L2171">
        <v>13.6</v>
      </c>
      <c r="M2171">
        <v>33</v>
      </c>
      <c r="N2171" t="s">
        <v>78</v>
      </c>
      <c r="O2171" t="s">
        <v>47</v>
      </c>
      <c r="P2171" t="s">
        <v>68</v>
      </c>
      <c r="R2171">
        <f>SUMIF(A2171:A7170,"C02170",I2171:I7170)</f>
        <v>47716.46</v>
      </c>
      <c r="S2171" s="1">
        <v>15949.66</v>
      </c>
      <c r="T2171">
        <f t="shared" si="247"/>
        <v>2168.93</v>
      </c>
      <c r="U2171">
        <f t="shared" si="248"/>
        <v>726</v>
      </c>
      <c r="V2171">
        <f t="shared" si="243"/>
        <v>60.5</v>
      </c>
      <c r="W2171">
        <f t="shared" si="245"/>
        <v>19724.62</v>
      </c>
      <c r="X2171">
        <f t="shared" si="249"/>
        <v>0.0994204112984882</v>
      </c>
      <c r="AH2171" t="str">
        <f t="shared" si="246"/>
        <v>2nd Quality</v>
      </c>
      <c r="AJ2171">
        <f>((T2171-X2171)*2)/13.6</f>
        <v>318.945673468927</v>
      </c>
      <c r="AK2171">
        <f t="shared" si="244"/>
        <v>2470411.27</v>
      </c>
    </row>
    <row r="2172" spans="1:37">
      <c r="A2172" t="s">
        <v>2238</v>
      </c>
      <c r="B2172">
        <v>26</v>
      </c>
      <c r="C2172" t="s">
        <v>44</v>
      </c>
      <c r="D2172" t="s">
        <v>60</v>
      </c>
      <c r="E2172">
        <v>1120</v>
      </c>
      <c r="F2172">
        <v>79</v>
      </c>
      <c r="G2172">
        <v>9</v>
      </c>
      <c r="H2172">
        <v>1780.53</v>
      </c>
      <c r="I2172">
        <v>16578.95</v>
      </c>
      <c r="J2172">
        <v>34</v>
      </c>
      <c r="K2172">
        <v>1</v>
      </c>
      <c r="L2172">
        <v>12.1</v>
      </c>
      <c r="M2172">
        <v>34.4</v>
      </c>
      <c r="N2172" t="s">
        <v>61</v>
      </c>
      <c r="O2172" t="s">
        <v>47</v>
      </c>
      <c r="P2172" t="s">
        <v>58</v>
      </c>
      <c r="R2172">
        <f>SUMIF(A2172:A7171,"C02171",I2172:I7171)</f>
        <v>16578.95</v>
      </c>
      <c r="S2172" s="1">
        <v>14765.96</v>
      </c>
      <c r="T2172">
        <f t="shared" si="247"/>
        <v>487.616176470588</v>
      </c>
      <c r="U2172">
        <f t="shared" si="248"/>
        <v>1169.6</v>
      </c>
      <c r="V2172">
        <f>U2172</f>
        <v>1169.6</v>
      </c>
      <c r="W2172">
        <f t="shared" si="245"/>
        <v>6120.16</v>
      </c>
      <c r="X2172">
        <f t="shared" si="249"/>
        <v>0.629026188831415</v>
      </c>
      <c r="AH2172" t="str">
        <f t="shared" si="246"/>
        <v>3rd Quality</v>
      </c>
      <c r="AJ2172">
        <f>((T2172-X2172)*2)/12.1</f>
        <v>80.4937438482242</v>
      </c>
      <c r="AK2172">
        <f t="shared" si="244"/>
        <v>546130.117647059</v>
      </c>
    </row>
    <row r="2173" spans="1:37">
      <c r="A2173" t="s">
        <v>2239</v>
      </c>
      <c r="B2173">
        <v>47</v>
      </c>
      <c r="C2173" t="s">
        <v>44</v>
      </c>
      <c r="D2173" t="s">
        <v>60</v>
      </c>
      <c r="E2173">
        <v>1206</v>
      </c>
      <c r="F2173">
        <v>2</v>
      </c>
      <c r="G2173">
        <v>8</v>
      </c>
      <c r="H2173">
        <v>1957.62</v>
      </c>
      <c r="I2173">
        <v>15949.66</v>
      </c>
      <c r="J2173">
        <v>67</v>
      </c>
      <c r="K2173">
        <v>1</v>
      </c>
      <c r="L2173">
        <v>29.3</v>
      </c>
      <c r="M2173">
        <v>15.1</v>
      </c>
      <c r="N2173" t="s">
        <v>61</v>
      </c>
      <c r="O2173" t="s">
        <v>47</v>
      </c>
      <c r="P2173" t="s">
        <v>68</v>
      </c>
      <c r="R2173">
        <f>SUMIF(A2173:A7172,"C021",I7172:I22173)</f>
        <v>0</v>
      </c>
      <c r="S2173" s="1">
        <v>105119.51</v>
      </c>
      <c r="T2173">
        <f t="shared" si="247"/>
        <v>238.054626865672</v>
      </c>
      <c r="U2173">
        <f t="shared" si="248"/>
        <v>1011.7</v>
      </c>
      <c r="V2173">
        <f>U2173</f>
        <v>1011.7</v>
      </c>
      <c r="W2173">
        <f t="shared" si="245"/>
        <v>5969.42666666667</v>
      </c>
      <c r="X2173">
        <f t="shared" si="249"/>
        <v>0.616054188248996</v>
      </c>
      <c r="AH2173" t="str">
        <f t="shared" si="246"/>
        <v>3rd Quality</v>
      </c>
      <c r="AJ2173">
        <f>((T2173-X2173)*2)/29.3</f>
        <v>16.207411104261</v>
      </c>
      <c r="AK2173">
        <f t="shared" si="244"/>
        <v>287093.88</v>
      </c>
    </row>
    <row r="2174" spans="1:37">
      <c r="A2174" t="s">
        <v>2240</v>
      </c>
      <c r="B2174">
        <v>30</v>
      </c>
      <c r="C2174" t="s">
        <v>50</v>
      </c>
      <c r="D2174" t="s">
        <v>45</v>
      </c>
      <c r="E2174">
        <v>1208</v>
      </c>
      <c r="F2174">
        <v>25</v>
      </c>
      <c r="G2174">
        <v>1</v>
      </c>
      <c r="H2174">
        <v>16358.26</v>
      </c>
      <c r="I2174">
        <v>14765.96</v>
      </c>
      <c r="J2174">
        <v>17</v>
      </c>
      <c r="K2174">
        <v>0</v>
      </c>
      <c r="L2174">
        <v>10.3</v>
      </c>
      <c r="M2174">
        <v>22.7</v>
      </c>
      <c r="N2174" t="s">
        <v>57</v>
      </c>
      <c r="O2174" t="s">
        <v>47</v>
      </c>
      <c r="P2174" t="s">
        <v>58</v>
      </c>
      <c r="R2174">
        <f>SUMIF(A2174:A7173,"C02173",I2174:I7173)</f>
        <v>14765.96</v>
      </c>
      <c r="S2174" s="1">
        <v>10818.12</v>
      </c>
      <c r="T2174">
        <f t="shared" si="247"/>
        <v>868.585882352941</v>
      </c>
      <c r="U2174">
        <f t="shared" si="248"/>
        <v>385.9</v>
      </c>
      <c r="V2174">
        <f t="shared" si="243"/>
        <v>32.1583333333333</v>
      </c>
      <c r="W2174">
        <f t="shared" si="245"/>
        <v>10375.0733333333</v>
      </c>
      <c r="X2174">
        <f t="shared" si="249"/>
        <v>0.0738464848950928</v>
      </c>
      <c r="AH2174" t="str">
        <f t="shared" si="246"/>
        <v>2nd Quality</v>
      </c>
      <c r="AJ2174">
        <f>((T2174-X2174)*2)/10.3</f>
        <v>168.643113760786</v>
      </c>
      <c r="AK2174">
        <f t="shared" si="244"/>
        <v>1049251.74588235</v>
      </c>
    </row>
    <row r="2175" spans="1:37">
      <c r="A2175" t="s">
        <v>2241</v>
      </c>
      <c r="B2175">
        <v>40</v>
      </c>
      <c r="C2175" t="s">
        <v>44</v>
      </c>
      <c r="D2175" t="s">
        <v>60</v>
      </c>
      <c r="E2175">
        <v>1100</v>
      </c>
      <c r="F2175">
        <v>4</v>
      </c>
      <c r="G2175">
        <v>19</v>
      </c>
      <c r="H2175">
        <v>5783.27</v>
      </c>
      <c r="I2175">
        <v>105119.51</v>
      </c>
      <c r="J2175">
        <v>104</v>
      </c>
      <c r="K2175">
        <v>1</v>
      </c>
      <c r="L2175">
        <v>16.1</v>
      </c>
      <c r="M2175">
        <v>15.2</v>
      </c>
      <c r="N2175" t="s">
        <v>81</v>
      </c>
      <c r="O2175" t="s">
        <v>75</v>
      </c>
      <c r="P2175" t="s">
        <v>68</v>
      </c>
      <c r="R2175">
        <f>SUMIF(A2175:A7174,"C02174",I2175:I7174)</f>
        <v>105119.51</v>
      </c>
      <c r="S2175" s="1">
        <v>46107.66</v>
      </c>
      <c r="T2175">
        <f t="shared" si="247"/>
        <v>1010.76451923077</v>
      </c>
      <c r="U2175">
        <f t="shared" si="248"/>
        <v>1580.8</v>
      </c>
      <c r="V2175">
        <f>U2175</f>
        <v>1580.8</v>
      </c>
      <c r="W2175">
        <f t="shared" si="245"/>
        <v>36967.9266666667</v>
      </c>
      <c r="X2175">
        <f t="shared" si="249"/>
        <v>0.190203812030218</v>
      </c>
      <c r="AH2175" t="str">
        <f t="shared" si="246"/>
        <v>2nd Quality</v>
      </c>
      <c r="AJ2175">
        <f>((T2175-X2175)*2)/16.1</f>
        <v>125.537182039595</v>
      </c>
      <c r="AK2175">
        <f t="shared" si="244"/>
        <v>1111840.97115385</v>
      </c>
    </row>
    <row r="2176" spans="1:37">
      <c r="A2176" t="s">
        <v>2242</v>
      </c>
      <c r="B2176">
        <v>32</v>
      </c>
      <c r="C2176" t="s">
        <v>50</v>
      </c>
      <c r="D2176" t="s">
        <v>60</v>
      </c>
      <c r="E2176">
        <v>1319</v>
      </c>
      <c r="F2176">
        <v>31</v>
      </c>
      <c r="G2176">
        <v>8</v>
      </c>
      <c r="H2176">
        <v>1406.4</v>
      </c>
      <c r="I2176">
        <v>10818.12</v>
      </c>
      <c r="J2176">
        <v>62</v>
      </c>
      <c r="K2176">
        <v>0</v>
      </c>
      <c r="L2176">
        <v>14.1</v>
      </c>
      <c r="M2176">
        <v>43</v>
      </c>
      <c r="N2176" t="s">
        <v>61</v>
      </c>
      <c r="O2176" t="s">
        <v>47</v>
      </c>
      <c r="P2176" t="s">
        <v>58</v>
      </c>
      <c r="R2176">
        <f>SUMIF(A2176:A7175,"C02175",I2176:I7175)</f>
        <v>10818.12</v>
      </c>
      <c r="S2176" s="1">
        <v>7536.69</v>
      </c>
      <c r="T2176">
        <f t="shared" si="247"/>
        <v>174.485806451613</v>
      </c>
      <c r="U2176">
        <f t="shared" si="248"/>
        <v>2666</v>
      </c>
      <c r="V2176">
        <f t="shared" si="243"/>
        <v>222.166666666667</v>
      </c>
      <c r="W2176">
        <f t="shared" si="245"/>
        <v>4075.17333333333</v>
      </c>
      <c r="X2176">
        <f t="shared" si="249"/>
        <v>0.937855517633675</v>
      </c>
      <c r="AH2176" t="str">
        <f t="shared" si="246"/>
        <v>3rd Quality</v>
      </c>
      <c r="AJ2176">
        <f>((T2176-X2176)*2)/14.1</f>
        <v>24.6167306289332</v>
      </c>
      <c r="AK2176">
        <f t="shared" si="244"/>
        <v>230146.778709677</v>
      </c>
    </row>
    <row r="2177" spans="1:37">
      <c r="A2177" t="s">
        <v>2243</v>
      </c>
      <c r="B2177">
        <v>26</v>
      </c>
      <c r="C2177" t="s">
        <v>50</v>
      </c>
      <c r="D2177" t="s">
        <v>45</v>
      </c>
      <c r="E2177">
        <v>667</v>
      </c>
      <c r="F2177">
        <v>58</v>
      </c>
      <c r="G2177">
        <v>6</v>
      </c>
      <c r="H2177">
        <v>7178.6</v>
      </c>
      <c r="I2177">
        <v>46107.66</v>
      </c>
      <c r="J2177">
        <v>49</v>
      </c>
      <c r="K2177">
        <v>1</v>
      </c>
      <c r="L2177">
        <v>4.6</v>
      </c>
      <c r="M2177">
        <v>38</v>
      </c>
      <c r="N2177" t="s">
        <v>63</v>
      </c>
      <c r="O2177" t="s">
        <v>53</v>
      </c>
      <c r="P2177" t="s">
        <v>68</v>
      </c>
      <c r="R2177">
        <f>SUMIF(A2177:A7176,"C02176",I2177:I7176)</f>
        <v>46107.66</v>
      </c>
      <c r="S2177" s="1">
        <v>5221.7</v>
      </c>
      <c r="T2177">
        <f t="shared" si="247"/>
        <v>940.972653061225</v>
      </c>
      <c r="U2177">
        <f t="shared" si="248"/>
        <v>1862</v>
      </c>
      <c r="V2177">
        <f>U2177</f>
        <v>1862</v>
      </c>
      <c r="W2177">
        <f t="shared" si="245"/>
        <v>17762.42</v>
      </c>
      <c r="X2177">
        <f t="shared" si="249"/>
        <v>0.0929150530744156</v>
      </c>
      <c r="AH2177" t="str">
        <f t="shared" si="246"/>
        <v>2nd Quality</v>
      </c>
      <c r="AJ2177">
        <f>((T2177-X2177)*2)/4.6</f>
        <v>409.078146960065</v>
      </c>
      <c r="AK2177">
        <f t="shared" si="244"/>
        <v>627628.759591837</v>
      </c>
    </row>
    <row r="2178" spans="1:37">
      <c r="A2178" t="s">
        <v>2244</v>
      </c>
      <c r="B2178">
        <v>21</v>
      </c>
      <c r="C2178" t="s">
        <v>44</v>
      </c>
      <c r="D2178" t="s">
        <v>60</v>
      </c>
      <c r="E2178">
        <v>509</v>
      </c>
      <c r="F2178">
        <v>99</v>
      </c>
      <c r="G2178">
        <v>6</v>
      </c>
      <c r="H2178">
        <v>1225.25</v>
      </c>
      <c r="I2178">
        <v>7536.69</v>
      </c>
      <c r="J2178">
        <v>56</v>
      </c>
      <c r="K2178">
        <v>0</v>
      </c>
      <c r="L2178">
        <v>24.1</v>
      </c>
      <c r="M2178">
        <v>12.1</v>
      </c>
      <c r="N2178" t="s">
        <v>46</v>
      </c>
      <c r="O2178" t="s">
        <v>47</v>
      </c>
      <c r="P2178" t="s">
        <v>66</v>
      </c>
      <c r="R2178">
        <f>SUMIF(A2178:A7177,"C02177",I2178:I7177)</f>
        <v>7536.69</v>
      </c>
      <c r="S2178" s="1">
        <v>8879.24</v>
      </c>
      <c r="T2178">
        <f t="shared" si="247"/>
        <v>134.58375</v>
      </c>
      <c r="U2178">
        <f t="shared" si="248"/>
        <v>677.6</v>
      </c>
      <c r="V2178">
        <f t="shared" ref="V2177:V2240" si="250">U2178/12</f>
        <v>56.4666666666667</v>
      </c>
      <c r="W2178">
        <f t="shared" si="245"/>
        <v>2920.98</v>
      </c>
      <c r="X2178">
        <f t="shared" si="249"/>
        <v>0.415425423382983</v>
      </c>
      <c r="AH2178" t="str">
        <f t="shared" si="246"/>
        <v>3rd Quality</v>
      </c>
      <c r="AJ2178">
        <f>((T2178-X2178)*2)/24.1</f>
        <v>11.13430079474</v>
      </c>
      <c r="AK2178">
        <f t="shared" si="244"/>
        <v>68503.12875</v>
      </c>
    </row>
    <row r="2179" spans="1:37">
      <c r="A2179" t="s">
        <v>2245</v>
      </c>
      <c r="B2179">
        <v>30</v>
      </c>
      <c r="C2179" t="s">
        <v>56</v>
      </c>
      <c r="D2179" t="s">
        <v>51</v>
      </c>
      <c r="E2179">
        <v>763</v>
      </c>
      <c r="F2179">
        <v>343</v>
      </c>
      <c r="G2179">
        <v>6</v>
      </c>
      <c r="H2179">
        <v>892.09</v>
      </c>
      <c r="I2179">
        <v>5221.7</v>
      </c>
      <c r="J2179">
        <v>19</v>
      </c>
      <c r="K2179">
        <v>2</v>
      </c>
      <c r="L2179">
        <v>32</v>
      </c>
      <c r="M2179">
        <v>13.7</v>
      </c>
      <c r="N2179" t="s">
        <v>63</v>
      </c>
      <c r="O2179" t="s">
        <v>47</v>
      </c>
      <c r="P2179" t="s">
        <v>58</v>
      </c>
      <c r="R2179">
        <f>SUMIF(A2179:A7178,"C02178",I2179:I7178)</f>
        <v>5221.7</v>
      </c>
      <c r="S2179" s="1">
        <v>1255.46</v>
      </c>
      <c r="T2179">
        <f t="shared" si="247"/>
        <v>274.826315789474</v>
      </c>
      <c r="U2179">
        <f t="shared" si="248"/>
        <v>260.3</v>
      </c>
      <c r="V2179">
        <f>U2179</f>
        <v>260.3</v>
      </c>
      <c r="W2179">
        <f t="shared" si="245"/>
        <v>2038.26333333333</v>
      </c>
      <c r="X2179">
        <f t="shared" si="249"/>
        <v>0.855294869351747</v>
      </c>
      <c r="AH2179" t="str">
        <f t="shared" si="246"/>
        <v>3rd Quality</v>
      </c>
      <c r="AJ2179">
        <f>((T2179-X2179)*2)/32</f>
        <v>17.1231888075076</v>
      </c>
      <c r="AK2179">
        <f t="shared" ref="AK2179:AK2242" si="251">I2179/J2179*E2179</f>
        <v>209692.478947368</v>
      </c>
    </row>
    <row r="2180" spans="1:37">
      <c r="A2180" t="s">
        <v>2246</v>
      </c>
      <c r="B2180">
        <v>31</v>
      </c>
      <c r="C2180" t="s">
        <v>44</v>
      </c>
      <c r="D2180" t="s">
        <v>60</v>
      </c>
      <c r="E2180">
        <v>583</v>
      </c>
      <c r="F2180">
        <v>22</v>
      </c>
      <c r="G2180">
        <v>7</v>
      </c>
      <c r="H2180">
        <v>1323.05</v>
      </c>
      <c r="I2180">
        <v>8879.24</v>
      </c>
      <c r="J2180">
        <v>37</v>
      </c>
      <c r="K2180">
        <v>0</v>
      </c>
      <c r="L2180">
        <v>27.9</v>
      </c>
      <c r="M2180">
        <v>18.9</v>
      </c>
      <c r="N2180" t="s">
        <v>57</v>
      </c>
      <c r="O2180" t="s">
        <v>47</v>
      </c>
      <c r="P2180" t="s">
        <v>66</v>
      </c>
      <c r="R2180">
        <f>SUMIF(A2180:A7179,"C02179",I2180:I7179)</f>
        <v>8879.24</v>
      </c>
      <c r="S2180" s="1">
        <v>3216.78</v>
      </c>
      <c r="T2180">
        <f t="shared" si="247"/>
        <v>239.979459459459</v>
      </c>
      <c r="U2180">
        <f t="shared" si="248"/>
        <v>699.3</v>
      </c>
      <c r="V2180">
        <f t="shared" si="250"/>
        <v>58.275</v>
      </c>
      <c r="W2180">
        <f t="shared" si="245"/>
        <v>3401.09666666667</v>
      </c>
      <c r="X2180">
        <f t="shared" si="249"/>
        <v>0.440648501568346</v>
      </c>
      <c r="AH2180" t="str">
        <f t="shared" si="246"/>
        <v>3rd Quality</v>
      </c>
      <c r="AJ2180">
        <f>((T2180-X2180)*2)/27.9</f>
        <v>17.1712409288811</v>
      </c>
      <c r="AK2180">
        <f t="shared" si="251"/>
        <v>139908.024864865</v>
      </c>
    </row>
    <row r="2181" spans="1:37">
      <c r="A2181" t="s">
        <v>2247</v>
      </c>
      <c r="B2181">
        <v>45</v>
      </c>
      <c r="C2181" t="s">
        <v>50</v>
      </c>
      <c r="D2181" t="s">
        <v>60</v>
      </c>
      <c r="E2181">
        <v>569</v>
      </c>
      <c r="F2181">
        <v>30</v>
      </c>
      <c r="G2181">
        <v>1</v>
      </c>
      <c r="H2181">
        <v>1157.18</v>
      </c>
      <c r="I2181">
        <v>1255.46</v>
      </c>
      <c r="J2181">
        <v>11</v>
      </c>
      <c r="K2181">
        <v>0</v>
      </c>
      <c r="L2181">
        <v>21.6</v>
      </c>
      <c r="M2181">
        <v>62.5</v>
      </c>
      <c r="N2181" t="s">
        <v>52</v>
      </c>
      <c r="O2181" t="s">
        <v>47</v>
      </c>
      <c r="P2181" t="s">
        <v>58</v>
      </c>
      <c r="R2181">
        <f>SUMIF(A2181:A7180,"C02180",I2181:I7180)</f>
        <v>1255.46</v>
      </c>
      <c r="S2181" s="1">
        <v>1007.35</v>
      </c>
      <c r="T2181">
        <f t="shared" si="247"/>
        <v>114.132727272727</v>
      </c>
      <c r="U2181">
        <f t="shared" si="248"/>
        <v>687.5</v>
      </c>
      <c r="V2181">
        <f t="shared" si="250"/>
        <v>57.2916666666667</v>
      </c>
      <c r="W2181">
        <f t="shared" si="245"/>
        <v>804.546666666667</v>
      </c>
      <c r="X2181">
        <f t="shared" si="249"/>
        <v>0.491712611693946</v>
      </c>
      <c r="AH2181" t="str">
        <f t="shared" si="246"/>
        <v>3rd Quality</v>
      </c>
      <c r="AJ2181">
        <f>((T2181-X2181)*2)/21.6</f>
        <v>10.5223161723179</v>
      </c>
      <c r="AK2181">
        <f t="shared" si="251"/>
        <v>64941.5218181818</v>
      </c>
    </row>
    <row r="2182" spans="1:37">
      <c r="A2182" t="s">
        <v>2248</v>
      </c>
      <c r="B2182">
        <v>27</v>
      </c>
      <c r="C2182" t="s">
        <v>50</v>
      </c>
      <c r="D2182" t="s">
        <v>45</v>
      </c>
      <c r="E2182">
        <v>418</v>
      </c>
      <c r="F2182">
        <v>9</v>
      </c>
      <c r="G2182">
        <v>3</v>
      </c>
      <c r="H2182">
        <v>1003.47</v>
      </c>
      <c r="I2182">
        <v>3216.78</v>
      </c>
      <c r="J2182">
        <v>23</v>
      </c>
      <c r="K2182">
        <v>1</v>
      </c>
      <c r="L2182">
        <v>32.3</v>
      </c>
      <c r="M2182">
        <v>18.8</v>
      </c>
      <c r="N2182" t="s">
        <v>46</v>
      </c>
      <c r="O2182" t="s">
        <v>75</v>
      </c>
      <c r="P2182" t="s">
        <v>66</v>
      </c>
      <c r="R2182">
        <f>SUMIF(A2182:A7181,"C02181",I2182:I7181)</f>
        <v>3216.78</v>
      </c>
      <c r="S2182" s="1">
        <v>5991.93</v>
      </c>
      <c r="T2182">
        <f t="shared" si="247"/>
        <v>139.86</v>
      </c>
      <c r="U2182">
        <f t="shared" si="248"/>
        <v>432.4</v>
      </c>
      <c r="V2182">
        <f>U2182</f>
        <v>432.4</v>
      </c>
      <c r="W2182">
        <f t="shared" si="245"/>
        <v>1407.08333333333</v>
      </c>
      <c r="X2182">
        <f t="shared" si="249"/>
        <v>0.41655455569175</v>
      </c>
      <c r="AH2182" t="str">
        <f t="shared" si="246"/>
        <v>3rd Quality</v>
      </c>
      <c r="AJ2182">
        <f>((T2182-X2182)*2)/32.3</f>
        <v>8.63426906775903</v>
      </c>
      <c r="AK2182">
        <f t="shared" si="251"/>
        <v>58461.48</v>
      </c>
    </row>
    <row r="2183" spans="1:37">
      <c r="A2183" t="s">
        <v>2249</v>
      </c>
      <c r="B2183">
        <v>45</v>
      </c>
      <c r="C2183" t="s">
        <v>50</v>
      </c>
      <c r="D2183" t="s">
        <v>60</v>
      </c>
      <c r="E2183">
        <v>961</v>
      </c>
      <c r="F2183">
        <v>57</v>
      </c>
      <c r="G2183">
        <v>1</v>
      </c>
      <c r="H2183">
        <v>936.94</v>
      </c>
      <c r="I2183">
        <v>1007.35</v>
      </c>
      <c r="J2183">
        <v>11</v>
      </c>
      <c r="K2183">
        <v>0</v>
      </c>
      <c r="L2183">
        <v>20.4</v>
      </c>
      <c r="M2183">
        <v>7.6</v>
      </c>
      <c r="N2183" t="s">
        <v>61</v>
      </c>
      <c r="O2183" t="s">
        <v>47</v>
      </c>
      <c r="P2183" t="s">
        <v>68</v>
      </c>
      <c r="R2183">
        <f>SUMIF(A2183:A7182,"C02182",I2183:I7182)</f>
        <v>1007.35</v>
      </c>
      <c r="S2183" s="1">
        <v>128067.05</v>
      </c>
      <c r="T2183">
        <f t="shared" si="247"/>
        <v>91.5772727272727</v>
      </c>
      <c r="U2183">
        <f t="shared" si="248"/>
        <v>83.6</v>
      </c>
      <c r="V2183">
        <f t="shared" si="250"/>
        <v>6.96666666666667</v>
      </c>
      <c r="W2183">
        <f t="shared" si="245"/>
        <v>648.43</v>
      </c>
      <c r="X2183">
        <f t="shared" si="249"/>
        <v>1.02567933912524</v>
      </c>
      <c r="AH2183" t="str">
        <f t="shared" si="246"/>
        <v>3rd Quality</v>
      </c>
      <c r="AJ2183">
        <f>((T2183-X2183)*2)/20.4</f>
        <v>8.87760719491642</v>
      </c>
      <c r="AK2183">
        <f t="shared" si="251"/>
        <v>88005.7590909091</v>
      </c>
    </row>
    <row r="2184" spans="1:37">
      <c r="A2184" t="s">
        <v>2250</v>
      </c>
      <c r="B2184">
        <v>18</v>
      </c>
      <c r="C2184" t="s">
        <v>101</v>
      </c>
      <c r="D2184" t="s">
        <v>60</v>
      </c>
      <c r="E2184">
        <v>1268</v>
      </c>
      <c r="F2184">
        <v>170</v>
      </c>
      <c r="G2184">
        <v>7</v>
      </c>
      <c r="H2184">
        <v>878.03</v>
      </c>
      <c r="I2184">
        <v>5991.93</v>
      </c>
      <c r="J2184">
        <v>34</v>
      </c>
      <c r="K2184">
        <v>0</v>
      </c>
      <c r="L2184">
        <v>33.8</v>
      </c>
      <c r="M2184">
        <v>11.6</v>
      </c>
      <c r="N2184" t="s">
        <v>81</v>
      </c>
      <c r="O2184" t="s">
        <v>47</v>
      </c>
      <c r="P2184" t="s">
        <v>68</v>
      </c>
      <c r="R2184">
        <f>SUMIF(A2184:A7183,"C02183",I2184:I7183)</f>
        <v>5991.93</v>
      </c>
      <c r="S2184" s="1">
        <v>70698.68</v>
      </c>
      <c r="T2184">
        <f t="shared" si="247"/>
        <v>176.233235294118</v>
      </c>
      <c r="U2184">
        <f t="shared" si="248"/>
        <v>394.4</v>
      </c>
      <c r="V2184">
        <f t="shared" si="250"/>
        <v>32.8666666666667</v>
      </c>
      <c r="W2184">
        <f t="shared" si="245"/>
        <v>2290.32</v>
      </c>
      <c r="X2184">
        <f t="shared" si="249"/>
        <v>1.44414199970388</v>
      </c>
      <c r="AH2184" t="str">
        <f t="shared" si="246"/>
        <v>3rd Quality</v>
      </c>
      <c r="AJ2184">
        <f>((T2184-X2184)*2)/33.8</f>
        <v>10.3425498990778</v>
      </c>
      <c r="AK2184">
        <f t="shared" si="251"/>
        <v>223463.742352941</v>
      </c>
    </row>
    <row r="2185" spans="1:37">
      <c r="A2185" t="s">
        <v>2251</v>
      </c>
      <c r="B2185">
        <v>27</v>
      </c>
      <c r="C2185" t="s">
        <v>50</v>
      </c>
      <c r="D2185" t="s">
        <v>60</v>
      </c>
      <c r="E2185">
        <v>455</v>
      </c>
      <c r="F2185">
        <v>13</v>
      </c>
      <c r="G2185">
        <v>38</v>
      </c>
      <c r="H2185">
        <v>3387.06</v>
      </c>
      <c r="I2185">
        <v>128067.05</v>
      </c>
      <c r="J2185">
        <v>127</v>
      </c>
      <c r="K2185">
        <v>0</v>
      </c>
      <c r="L2185">
        <v>9.1</v>
      </c>
      <c r="M2185">
        <v>28.1</v>
      </c>
      <c r="N2185" t="s">
        <v>57</v>
      </c>
      <c r="O2185" t="s">
        <v>47</v>
      </c>
      <c r="P2185" t="s">
        <v>58</v>
      </c>
      <c r="R2185">
        <f>SUMIF(A2185:A7184,"C02184",I2185:I7184)</f>
        <v>128067.05</v>
      </c>
      <c r="S2185" s="1">
        <v>110565.33</v>
      </c>
      <c r="T2185">
        <f t="shared" si="247"/>
        <v>1008.40196850394</v>
      </c>
      <c r="U2185">
        <f t="shared" si="248"/>
        <v>3568.7</v>
      </c>
      <c r="V2185">
        <f t="shared" si="250"/>
        <v>297.391666666667</v>
      </c>
      <c r="W2185">
        <f t="shared" ref="W2185:W2248" si="252">(H2185+I2185+1)/3</f>
        <v>43818.37</v>
      </c>
      <c r="X2185">
        <f t="shared" si="249"/>
        <v>0.134334791825359</v>
      </c>
      <c r="AH2185" t="str">
        <f t="shared" si="246"/>
        <v>3rd Quality</v>
      </c>
      <c r="AJ2185">
        <f>((T2185-X2185)*2)/9.1</f>
        <v>221.597282134531</v>
      </c>
      <c r="AK2185">
        <f t="shared" si="251"/>
        <v>458822.895669291</v>
      </c>
    </row>
    <row r="2186" spans="1:37">
      <c r="A2186" t="s">
        <v>2252</v>
      </c>
      <c r="B2186">
        <v>44</v>
      </c>
      <c r="C2186" t="s">
        <v>44</v>
      </c>
      <c r="D2186" t="s">
        <v>60</v>
      </c>
      <c r="E2186">
        <v>1090</v>
      </c>
      <c r="F2186">
        <v>41</v>
      </c>
      <c r="G2186">
        <v>7</v>
      </c>
      <c r="H2186">
        <v>9925.26</v>
      </c>
      <c r="I2186">
        <v>70698.68</v>
      </c>
      <c r="J2186">
        <v>29</v>
      </c>
      <c r="K2186">
        <v>1</v>
      </c>
      <c r="L2186">
        <v>14</v>
      </c>
      <c r="M2186">
        <v>50.1</v>
      </c>
      <c r="N2186" t="s">
        <v>46</v>
      </c>
      <c r="O2186" t="s">
        <v>75</v>
      </c>
      <c r="P2186" t="s">
        <v>58</v>
      </c>
      <c r="R2186">
        <f>SUMIF(A2186:A7185,"C02185",I2186:I7185)</f>
        <v>70698.68</v>
      </c>
      <c r="S2186" s="1">
        <v>3239.92</v>
      </c>
      <c r="T2186">
        <f t="shared" si="247"/>
        <v>2437.88551724138</v>
      </c>
      <c r="U2186">
        <f t="shared" si="248"/>
        <v>1452.9</v>
      </c>
      <c r="V2186">
        <f>U2186</f>
        <v>1452.9</v>
      </c>
      <c r="W2186">
        <f t="shared" si="252"/>
        <v>26874.98</v>
      </c>
      <c r="X2186">
        <f t="shared" si="249"/>
        <v>0.109820800664164</v>
      </c>
      <c r="AH2186" t="str">
        <f t="shared" si="246"/>
        <v>3rd Quality</v>
      </c>
      <c r="AJ2186">
        <f>((T2186-X2186)*2)/14</f>
        <v>348.253670920102</v>
      </c>
      <c r="AK2186">
        <f t="shared" si="251"/>
        <v>2657295.2137931</v>
      </c>
    </row>
    <row r="2187" spans="1:37">
      <c r="A2187" t="s">
        <v>2253</v>
      </c>
      <c r="B2187">
        <v>40</v>
      </c>
      <c r="C2187" t="s">
        <v>44</v>
      </c>
      <c r="D2187" t="s">
        <v>60</v>
      </c>
      <c r="E2187">
        <v>1356</v>
      </c>
      <c r="F2187">
        <v>8</v>
      </c>
      <c r="G2187">
        <v>27</v>
      </c>
      <c r="H2187">
        <v>4422.09</v>
      </c>
      <c r="I2187">
        <v>110565.33</v>
      </c>
      <c r="J2187">
        <v>198</v>
      </c>
      <c r="K2187">
        <v>2</v>
      </c>
      <c r="L2187">
        <v>8.5</v>
      </c>
      <c r="M2187">
        <v>38.8</v>
      </c>
      <c r="N2187" t="s">
        <v>52</v>
      </c>
      <c r="O2187" t="s">
        <v>47</v>
      </c>
      <c r="P2187" t="s">
        <v>58</v>
      </c>
      <c r="R2187">
        <f>SUMIF(A2187:A7186,"C02186",I2187:I7186)</f>
        <v>110565.33</v>
      </c>
      <c r="S2187" s="1">
        <v>44120.51</v>
      </c>
      <c r="T2187">
        <f t="shared" si="247"/>
        <v>558.410757575758</v>
      </c>
      <c r="U2187">
        <f t="shared" si="248"/>
        <v>7682.4</v>
      </c>
      <c r="V2187">
        <f>U2187</f>
        <v>7682.4</v>
      </c>
      <c r="W2187">
        <f t="shared" si="252"/>
        <v>38329.4733333333</v>
      </c>
      <c r="X2187">
        <f t="shared" si="249"/>
        <v>0.306642334280849</v>
      </c>
      <c r="AH2187" t="str">
        <f t="shared" si="246"/>
        <v>2nd Quality</v>
      </c>
      <c r="AJ2187">
        <f>((T2187-X2187)*2)/8.5</f>
        <v>131.318615350936</v>
      </c>
      <c r="AK2187">
        <f t="shared" si="251"/>
        <v>757204.987272727</v>
      </c>
    </row>
    <row r="2188" spans="1:37">
      <c r="A2188" t="s">
        <v>2254</v>
      </c>
      <c r="B2188">
        <v>35</v>
      </c>
      <c r="C2188" t="s">
        <v>44</v>
      </c>
      <c r="D2188" t="s">
        <v>60</v>
      </c>
      <c r="E2188">
        <v>893</v>
      </c>
      <c r="F2188">
        <v>58</v>
      </c>
      <c r="G2188">
        <v>3</v>
      </c>
      <c r="H2188">
        <v>1116.89</v>
      </c>
      <c r="I2188">
        <v>3239.92</v>
      </c>
      <c r="J2188">
        <v>30</v>
      </c>
      <c r="K2188">
        <v>0</v>
      </c>
      <c r="L2188">
        <v>17.2</v>
      </c>
      <c r="M2188">
        <v>5.1</v>
      </c>
      <c r="N2188" t="s">
        <v>78</v>
      </c>
      <c r="O2188" t="s">
        <v>47</v>
      </c>
      <c r="P2188" t="s">
        <v>68</v>
      </c>
      <c r="R2188">
        <f>SUMIF(A2188:A7187,"C02187",I2188:I7187)</f>
        <v>3239.92</v>
      </c>
      <c r="S2188" s="1">
        <v>11542.53</v>
      </c>
      <c r="T2188">
        <f t="shared" si="247"/>
        <v>107.997333333333</v>
      </c>
      <c r="U2188">
        <f t="shared" si="248"/>
        <v>153</v>
      </c>
      <c r="V2188">
        <f t="shared" si="250"/>
        <v>12.75</v>
      </c>
      <c r="W2188">
        <f t="shared" si="252"/>
        <v>1452.60333333333</v>
      </c>
      <c r="X2188">
        <f t="shared" si="249"/>
        <v>0.799541584220469</v>
      </c>
      <c r="AH2188" t="str">
        <f t="shared" si="246"/>
        <v>3rd Quality</v>
      </c>
      <c r="AJ2188">
        <f>((T2188-X2188)*2)/17.2</f>
        <v>12.4648595057108</v>
      </c>
      <c r="AK2188">
        <f t="shared" si="251"/>
        <v>96441.6186666667</v>
      </c>
    </row>
    <row r="2189" spans="1:37">
      <c r="A2189" t="s">
        <v>2255</v>
      </c>
      <c r="B2189">
        <v>18</v>
      </c>
      <c r="C2189" t="s">
        <v>44</v>
      </c>
      <c r="D2189" t="s">
        <v>51</v>
      </c>
      <c r="E2189">
        <v>584</v>
      </c>
      <c r="F2189">
        <v>74</v>
      </c>
      <c r="G2189">
        <v>2</v>
      </c>
      <c r="H2189">
        <v>22107.34</v>
      </c>
      <c r="I2189">
        <v>44120.51</v>
      </c>
      <c r="J2189">
        <v>15</v>
      </c>
      <c r="K2189">
        <v>0</v>
      </c>
      <c r="L2189">
        <v>14.7</v>
      </c>
      <c r="M2189">
        <v>17.8</v>
      </c>
      <c r="N2189" t="s">
        <v>46</v>
      </c>
      <c r="O2189" t="s">
        <v>53</v>
      </c>
      <c r="P2189" t="s">
        <v>58</v>
      </c>
      <c r="R2189">
        <f>SUMIF(A2189:A7188,"C02188",I2189:I7188)</f>
        <v>44120.51</v>
      </c>
      <c r="S2189" s="1">
        <v>1867.46</v>
      </c>
      <c r="T2189">
        <f t="shared" si="247"/>
        <v>2941.36733333333</v>
      </c>
      <c r="U2189">
        <f t="shared" si="248"/>
        <v>267</v>
      </c>
      <c r="V2189">
        <f t="shared" si="250"/>
        <v>22.25</v>
      </c>
      <c r="W2189">
        <f t="shared" si="252"/>
        <v>22076.2833333333</v>
      </c>
      <c r="X2189">
        <f t="shared" si="249"/>
        <v>0.0264165657198017</v>
      </c>
      <c r="AH2189" t="str">
        <f t="shared" si="246"/>
        <v>2nd Quality</v>
      </c>
      <c r="AJ2189">
        <f>((T2189-X2189)*2)/14.7</f>
        <v>400.182437655457</v>
      </c>
      <c r="AK2189">
        <f t="shared" si="251"/>
        <v>1717758.52266667</v>
      </c>
    </row>
    <row r="2190" spans="1:37">
      <c r="A2190" t="s">
        <v>2256</v>
      </c>
      <c r="B2190">
        <v>42</v>
      </c>
      <c r="C2190" t="s">
        <v>50</v>
      </c>
      <c r="D2190" t="s">
        <v>60</v>
      </c>
      <c r="E2190">
        <v>1103</v>
      </c>
      <c r="F2190">
        <v>1</v>
      </c>
      <c r="G2190">
        <v>10</v>
      </c>
      <c r="H2190">
        <v>1108.91</v>
      </c>
      <c r="I2190">
        <v>11542.53</v>
      </c>
      <c r="J2190">
        <v>85</v>
      </c>
      <c r="K2190">
        <v>1</v>
      </c>
      <c r="L2190">
        <v>25.3</v>
      </c>
      <c r="M2190">
        <v>21.4</v>
      </c>
      <c r="N2190" t="s">
        <v>81</v>
      </c>
      <c r="O2190" t="s">
        <v>47</v>
      </c>
      <c r="P2190" t="s">
        <v>58</v>
      </c>
      <c r="R2190">
        <f>SUMIF(A2190:A7189,"C02189",I2190:I7189)</f>
        <v>11542.53</v>
      </c>
      <c r="S2190" s="1">
        <v>85991.17</v>
      </c>
      <c r="T2190">
        <f t="shared" si="247"/>
        <v>135.794470588235</v>
      </c>
      <c r="U2190">
        <f t="shared" si="248"/>
        <v>1819</v>
      </c>
      <c r="V2190">
        <f>U2190</f>
        <v>1819</v>
      </c>
      <c r="W2190">
        <f t="shared" si="252"/>
        <v>4217.48</v>
      </c>
      <c r="X2190">
        <f t="shared" si="249"/>
        <v>0.994670442145891</v>
      </c>
      <c r="AH2190" t="str">
        <f t="shared" ref="AH2190:AH2253" si="253">IF(AND(W2190&gt;=12550,B2190&lt;=33,E2190&gt;=915),"1st Quality",IF(AND(W2190&gt;=6275,B2190&lt;=43,E2190&gt;=457),"2nd Quality","3rd Quality"))</f>
        <v>3rd Quality</v>
      </c>
      <c r="AJ2190">
        <f>((T2190-X2190)*2)/25.3</f>
        <v>10.6561106834853</v>
      </c>
      <c r="AK2190">
        <f t="shared" si="251"/>
        <v>149781.301058824</v>
      </c>
    </row>
    <row r="2191" spans="1:37">
      <c r="A2191" t="s">
        <v>2257</v>
      </c>
      <c r="B2191">
        <v>27</v>
      </c>
      <c r="C2191" t="s">
        <v>50</v>
      </c>
      <c r="D2191" t="s">
        <v>60</v>
      </c>
      <c r="E2191">
        <v>602</v>
      </c>
      <c r="F2191">
        <v>62</v>
      </c>
      <c r="G2191">
        <v>1</v>
      </c>
      <c r="H2191">
        <v>1890.37</v>
      </c>
      <c r="I2191">
        <v>1867.46</v>
      </c>
      <c r="J2191">
        <v>15</v>
      </c>
      <c r="K2191">
        <v>0</v>
      </c>
      <c r="L2191">
        <v>16</v>
      </c>
      <c r="M2191">
        <v>11</v>
      </c>
      <c r="N2191" t="s">
        <v>61</v>
      </c>
      <c r="O2191" t="s">
        <v>47</v>
      </c>
      <c r="P2191" t="s">
        <v>58</v>
      </c>
      <c r="R2191">
        <f>SUMIF(A2191:A7190,"C02190",I2191:I7190)</f>
        <v>1867.46</v>
      </c>
      <c r="S2191" s="1">
        <v>39779.78</v>
      </c>
      <c r="T2191">
        <f t="shared" si="247"/>
        <v>124.497333333333</v>
      </c>
      <c r="U2191">
        <f t="shared" si="248"/>
        <v>165</v>
      </c>
      <c r="V2191">
        <f t="shared" si="250"/>
        <v>13.75</v>
      </c>
      <c r="W2191">
        <f t="shared" si="252"/>
        <v>1252.94333333333</v>
      </c>
      <c r="X2191">
        <f t="shared" si="249"/>
        <v>0.318456175246116</v>
      </c>
      <c r="AH2191" t="str">
        <f t="shared" si="253"/>
        <v>3rd Quality</v>
      </c>
      <c r="AJ2191">
        <f>((T2191-X2191)*2)/16</f>
        <v>15.5223596447609</v>
      </c>
      <c r="AK2191">
        <f t="shared" si="251"/>
        <v>74947.3946666667</v>
      </c>
    </row>
    <row r="2192" spans="1:37">
      <c r="A2192" t="s">
        <v>2258</v>
      </c>
      <c r="B2192">
        <v>39</v>
      </c>
      <c r="C2192" t="s">
        <v>50</v>
      </c>
      <c r="D2192" t="s">
        <v>45</v>
      </c>
      <c r="E2192">
        <v>511</v>
      </c>
      <c r="F2192">
        <v>16</v>
      </c>
      <c r="G2192">
        <v>27</v>
      </c>
      <c r="H2192">
        <v>3472.73</v>
      </c>
      <c r="I2192">
        <v>85991.17</v>
      </c>
      <c r="J2192">
        <v>196</v>
      </c>
      <c r="K2192">
        <v>1</v>
      </c>
      <c r="L2192">
        <v>9.8</v>
      </c>
      <c r="M2192">
        <v>57.9</v>
      </c>
      <c r="N2192" t="s">
        <v>46</v>
      </c>
      <c r="O2192" t="s">
        <v>53</v>
      </c>
      <c r="P2192" t="s">
        <v>66</v>
      </c>
      <c r="R2192">
        <f>SUMIF(A2192:A7191,"C02191",I2192:I7191)</f>
        <v>85991.17</v>
      </c>
      <c r="S2192" s="1">
        <v>2118.35</v>
      </c>
      <c r="T2192">
        <f t="shared" si="247"/>
        <v>438.730459183673</v>
      </c>
      <c r="U2192">
        <f t="shared" si="248"/>
        <v>11348.4</v>
      </c>
      <c r="V2192">
        <f>U2192</f>
        <v>11348.4</v>
      </c>
      <c r="W2192">
        <f t="shared" si="252"/>
        <v>29821.6333333333</v>
      </c>
      <c r="X2192">
        <f t="shared" si="249"/>
        <v>0.147146481298575</v>
      </c>
      <c r="AH2192" t="str">
        <f t="shared" si="253"/>
        <v>2nd Quality</v>
      </c>
      <c r="AJ2192">
        <f>((T2192-X2192)*2)/9.8</f>
        <v>89.5067985106887</v>
      </c>
      <c r="AK2192">
        <f t="shared" si="251"/>
        <v>224191.264642857</v>
      </c>
    </row>
    <row r="2193" spans="1:37">
      <c r="A2193" t="s">
        <v>2259</v>
      </c>
      <c r="B2193">
        <v>30</v>
      </c>
      <c r="C2193" t="s">
        <v>50</v>
      </c>
      <c r="D2193" t="s">
        <v>60</v>
      </c>
      <c r="E2193">
        <v>898</v>
      </c>
      <c r="F2193">
        <v>20</v>
      </c>
      <c r="G2193">
        <v>4</v>
      </c>
      <c r="H2193">
        <v>10126.97</v>
      </c>
      <c r="I2193">
        <v>39779.78</v>
      </c>
      <c r="J2193">
        <v>41</v>
      </c>
      <c r="K2193">
        <v>0</v>
      </c>
      <c r="L2193">
        <v>16.5</v>
      </c>
      <c r="M2193">
        <v>41.9</v>
      </c>
      <c r="N2193" t="s">
        <v>81</v>
      </c>
      <c r="O2193" t="s">
        <v>47</v>
      </c>
      <c r="P2193" t="s">
        <v>48</v>
      </c>
      <c r="R2193">
        <f>SUMIF(A2193:A7192,"C02192",I2193:I7192)</f>
        <v>39779.78</v>
      </c>
      <c r="S2193" s="1">
        <v>61330.2</v>
      </c>
      <c r="T2193">
        <f t="shared" si="247"/>
        <v>970.238536585366</v>
      </c>
      <c r="U2193">
        <f t="shared" si="248"/>
        <v>1717.9</v>
      </c>
      <c r="V2193">
        <f t="shared" si="250"/>
        <v>143.158333333333</v>
      </c>
      <c r="W2193">
        <f t="shared" si="252"/>
        <v>16635.9166666667</v>
      </c>
      <c r="X2193">
        <f t="shared" si="249"/>
        <v>0.088674104890209</v>
      </c>
      <c r="AH2193" t="str">
        <f t="shared" si="253"/>
        <v>2nd Quality</v>
      </c>
      <c r="AJ2193">
        <f>((T2193-X2193)*2)/16.5</f>
        <v>117.593922724906</v>
      </c>
      <c r="AK2193">
        <f t="shared" si="251"/>
        <v>871274.205853658</v>
      </c>
    </row>
    <row r="2194" spans="1:37">
      <c r="A2194" t="s">
        <v>2260</v>
      </c>
      <c r="B2194">
        <v>30</v>
      </c>
      <c r="C2194" t="s">
        <v>50</v>
      </c>
      <c r="D2194" t="s">
        <v>45</v>
      </c>
      <c r="E2194">
        <v>385</v>
      </c>
      <c r="F2194">
        <v>165</v>
      </c>
      <c r="G2194">
        <v>4</v>
      </c>
      <c r="H2194">
        <v>525.63</v>
      </c>
      <c r="I2194">
        <v>2118.35</v>
      </c>
      <c r="J2194">
        <v>28</v>
      </c>
      <c r="K2194">
        <v>1</v>
      </c>
      <c r="L2194">
        <v>29.7</v>
      </c>
      <c r="M2194">
        <v>41.8</v>
      </c>
      <c r="N2194" t="s">
        <v>52</v>
      </c>
      <c r="O2194" t="s">
        <v>47</v>
      </c>
      <c r="P2194" t="s">
        <v>68</v>
      </c>
      <c r="R2194">
        <f>SUMIF(A2194:A7193,"C02193",I2194:I7193)</f>
        <v>2118.35</v>
      </c>
      <c r="S2194" s="1">
        <v>51660.16</v>
      </c>
      <c r="T2194">
        <f t="shared" si="247"/>
        <v>75.6553571428571</v>
      </c>
      <c r="U2194">
        <f t="shared" si="248"/>
        <v>1170.4</v>
      </c>
      <c r="V2194">
        <f>U2194</f>
        <v>1170.4</v>
      </c>
      <c r="W2194">
        <f t="shared" si="252"/>
        <v>881.66</v>
      </c>
      <c r="X2194">
        <f t="shared" si="249"/>
        <v>0.732454388067652</v>
      </c>
      <c r="AH2194" t="str">
        <f t="shared" si="253"/>
        <v>3rd Quality</v>
      </c>
      <c r="AJ2194">
        <f>((T2194-X2194)*2)/29.7</f>
        <v>5.04531331682084</v>
      </c>
      <c r="AK2194">
        <f t="shared" si="251"/>
        <v>29127.3125</v>
      </c>
    </row>
    <row r="2195" spans="1:37">
      <c r="A2195" t="s">
        <v>2261</v>
      </c>
      <c r="B2195">
        <v>28</v>
      </c>
      <c r="C2195" t="s">
        <v>50</v>
      </c>
      <c r="D2195" t="s">
        <v>51</v>
      </c>
      <c r="E2195">
        <v>718</v>
      </c>
      <c r="F2195">
        <v>16</v>
      </c>
      <c r="G2195">
        <v>29</v>
      </c>
      <c r="H2195">
        <v>2040.98</v>
      </c>
      <c r="I2195">
        <v>61330.2</v>
      </c>
      <c r="J2195">
        <v>94</v>
      </c>
      <c r="K2195">
        <v>0</v>
      </c>
      <c r="L2195">
        <v>19.6</v>
      </c>
      <c r="M2195">
        <v>8.9</v>
      </c>
      <c r="N2195" t="s">
        <v>78</v>
      </c>
      <c r="O2195" t="s">
        <v>53</v>
      </c>
      <c r="P2195" t="s">
        <v>58</v>
      </c>
      <c r="R2195">
        <f>SUMIF(A2195:A7194,"C02194",I2195:I7194)</f>
        <v>61330.2</v>
      </c>
      <c r="S2195" s="1">
        <v>437.05</v>
      </c>
      <c r="T2195">
        <f t="shared" si="247"/>
        <v>652.448936170213</v>
      </c>
      <c r="U2195">
        <f t="shared" si="248"/>
        <v>836.6</v>
      </c>
      <c r="V2195">
        <f t="shared" si="250"/>
        <v>69.7166666666667</v>
      </c>
      <c r="W2195">
        <f t="shared" si="252"/>
        <v>21124.06</v>
      </c>
      <c r="X2195">
        <f t="shared" si="249"/>
        <v>0.351791786298739</v>
      </c>
      <c r="AH2195" t="str">
        <f t="shared" si="253"/>
        <v>2nd Quality</v>
      </c>
      <c r="AJ2195">
        <f>((T2195-X2195)*2)/19.6</f>
        <v>66.5405249371341</v>
      </c>
      <c r="AK2195">
        <f t="shared" si="251"/>
        <v>468458.336170213</v>
      </c>
    </row>
    <row r="2196" spans="1:37">
      <c r="A2196" t="s">
        <v>2262</v>
      </c>
      <c r="B2196">
        <v>54</v>
      </c>
      <c r="C2196" t="s">
        <v>44</v>
      </c>
      <c r="D2196" t="s">
        <v>60</v>
      </c>
      <c r="E2196">
        <v>1225</v>
      </c>
      <c r="F2196">
        <v>44</v>
      </c>
      <c r="G2196">
        <v>5</v>
      </c>
      <c r="H2196">
        <v>9523.37</v>
      </c>
      <c r="I2196">
        <v>51660.16</v>
      </c>
      <c r="J2196">
        <v>24</v>
      </c>
      <c r="K2196">
        <v>0</v>
      </c>
      <c r="L2196">
        <v>9.3</v>
      </c>
      <c r="M2196">
        <v>47.3</v>
      </c>
      <c r="N2196" t="s">
        <v>61</v>
      </c>
      <c r="O2196" t="s">
        <v>47</v>
      </c>
      <c r="P2196" t="s">
        <v>54</v>
      </c>
      <c r="R2196">
        <f>SUMIF(A2196:A7195,"C02195",I2196:I7195)</f>
        <v>51660.16</v>
      </c>
      <c r="S2196" s="1">
        <v>68610.01</v>
      </c>
      <c r="T2196">
        <f t="shared" si="247"/>
        <v>2152.50666666667</v>
      </c>
      <c r="U2196">
        <f t="shared" si="248"/>
        <v>1135.2</v>
      </c>
      <c r="V2196">
        <f t="shared" si="250"/>
        <v>94.6</v>
      </c>
      <c r="W2196">
        <f t="shared" si="252"/>
        <v>20394.8433333333</v>
      </c>
      <c r="X2196">
        <f t="shared" si="249"/>
        <v>0.128630936317711</v>
      </c>
      <c r="AH2196" t="str">
        <f t="shared" si="253"/>
        <v>3rd Quality</v>
      </c>
      <c r="AJ2196">
        <f>((T2196-X2196)*2)/9.3</f>
        <v>462.876996931258</v>
      </c>
      <c r="AK2196">
        <f t="shared" si="251"/>
        <v>2636820.66666667</v>
      </c>
    </row>
    <row r="2197" spans="1:37">
      <c r="A2197" t="s">
        <v>2263</v>
      </c>
      <c r="B2197">
        <v>28</v>
      </c>
      <c r="C2197" t="s">
        <v>44</v>
      </c>
      <c r="D2197" t="s">
        <v>45</v>
      </c>
      <c r="E2197">
        <v>551</v>
      </c>
      <c r="F2197">
        <v>135</v>
      </c>
      <c r="G2197">
        <v>1</v>
      </c>
      <c r="H2197">
        <v>467.03</v>
      </c>
      <c r="I2197">
        <v>437.05</v>
      </c>
      <c r="J2197">
        <v>13</v>
      </c>
      <c r="K2197">
        <v>0</v>
      </c>
      <c r="L2197">
        <v>26.5</v>
      </c>
      <c r="M2197">
        <v>6.8</v>
      </c>
      <c r="N2197" t="s">
        <v>81</v>
      </c>
      <c r="O2197" t="s">
        <v>47</v>
      </c>
      <c r="P2197" t="s">
        <v>58</v>
      </c>
      <c r="R2197">
        <f>SUMIF(A2197:A7196,"C02196",I2197:I7196)</f>
        <v>437.05</v>
      </c>
      <c r="S2197" s="1">
        <v>36402.43</v>
      </c>
      <c r="T2197">
        <f t="shared" si="247"/>
        <v>33.6192307692308</v>
      </c>
      <c r="U2197">
        <f t="shared" si="248"/>
        <v>88.4</v>
      </c>
      <c r="V2197">
        <f t="shared" si="250"/>
        <v>7.36666666666667</v>
      </c>
      <c r="W2197">
        <f t="shared" si="252"/>
        <v>301.693333333333</v>
      </c>
      <c r="X2197">
        <f t="shared" si="249"/>
        <v>1.17979573046699</v>
      </c>
      <c r="AH2197" t="str">
        <f t="shared" si="253"/>
        <v>3rd Quality</v>
      </c>
      <c r="AJ2197">
        <f>((T2197-X2197)*2)/26.5</f>
        <v>2.44825924820859</v>
      </c>
      <c r="AK2197">
        <f t="shared" si="251"/>
        <v>18524.1961538462</v>
      </c>
    </row>
    <row r="2198" spans="1:37">
      <c r="A2198" t="s">
        <v>2264</v>
      </c>
      <c r="B2198">
        <v>21</v>
      </c>
      <c r="C2198" t="s">
        <v>50</v>
      </c>
      <c r="D2198" t="s">
        <v>45</v>
      </c>
      <c r="E2198">
        <v>933</v>
      </c>
      <c r="F2198">
        <v>19</v>
      </c>
      <c r="G2198">
        <v>24</v>
      </c>
      <c r="H2198">
        <v>2818.35</v>
      </c>
      <c r="I2198">
        <v>68610.01</v>
      </c>
      <c r="J2198">
        <v>176</v>
      </c>
      <c r="K2198">
        <v>0</v>
      </c>
      <c r="L2198">
        <v>0</v>
      </c>
      <c r="M2198">
        <v>36</v>
      </c>
      <c r="N2198" t="s">
        <v>63</v>
      </c>
      <c r="O2198" t="s">
        <v>75</v>
      </c>
      <c r="P2198" t="s">
        <v>54</v>
      </c>
      <c r="R2198">
        <f>SUMIF(A2198:A7197,"C02197",I2198:I7197)</f>
        <v>68610.01</v>
      </c>
      <c r="S2198" s="1">
        <v>11336.01</v>
      </c>
      <c r="T2198">
        <f t="shared" ref="T2198:T2261" si="254">I2198/J2198</f>
        <v>389.829602272727</v>
      </c>
      <c r="U2198">
        <f t="shared" si="248"/>
        <v>6336</v>
      </c>
      <c r="V2198">
        <f t="shared" si="250"/>
        <v>528</v>
      </c>
      <c r="W2198">
        <f t="shared" si="252"/>
        <v>23809.7866666667</v>
      </c>
      <c r="X2198">
        <f t="shared" si="249"/>
        <v>0.331044760232051</v>
      </c>
      <c r="AH2198" t="str">
        <f t="shared" si="253"/>
        <v>1st Quality</v>
      </c>
      <c r="AJ2198">
        <f>((T2198-X2198)*2)</f>
        <v>778.99711502499</v>
      </c>
      <c r="AK2198">
        <f t="shared" si="251"/>
        <v>363711.018920455</v>
      </c>
    </row>
    <row r="2199" spans="1:37">
      <c r="A2199" t="s">
        <v>2265</v>
      </c>
      <c r="B2199">
        <v>39</v>
      </c>
      <c r="C2199" t="s">
        <v>50</v>
      </c>
      <c r="D2199" t="s">
        <v>60</v>
      </c>
      <c r="E2199">
        <v>1445</v>
      </c>
      <c r="F2199">
        <v>56</v>
      </c>
      <c r="G2199">
        <v>5</v>
      </c>
      <c r="H2199">
        <v>7427.78</v>
      </c>
      <c r="I2199">
        <v>36402.43</v>
      </c>
      <c r="J2199">
        <v>22</v>
      </c>
      <c r="K2199">
        <v>1</v>
      </c>
      <c r="L2199">
        <v>6.6</v>
      </c>
      <c r="M2199">
        <v>42.7</v>
      </c>
      <c r="N2199" t="s">
        <v>81</v>
      </c>
      <c r="O2199" t="s">
        <v>75</v>
      </c>
      <c r="P2199" t="s">
        <v>66</v>
      </c>
      <c r="R2199">
        <f>SUMIF(A2199:A7198,"C02198",I2199:I7198)</f>
        <v>36402.43</v>
      </c>
      <c r="S2199" s="1">
        <v>2848.89</v>
      </c>
      <c r="T2199">
        <f t="shared" si="254"/>
        <v>1654.65590909091</v>
      </c>
      <c r="U2199">
        <f t="shared" si="248"/>
        <v>939.4</v>
      </c>
      <c r="V2199">
        <f>U2199</f>
        <v>939.4</v>
      </c>
      <c r="W2199">
        <f t="shared" si="252"/>
        <v>14610.4033333333</v>
      </c>
      <c r="X2199">
        <f t="shared" si="249"/>
        <v>0.194539956756931</v>
      </c>
      <c r="AH2199" t="str">
        <f t="shared" si="253"/>
        <v>2nd Quality</v>
      </c>
      <c r="AJ2199">
        <f>((T2199-X2199)*2)/6.6</f>
        <v>501.351930040652</v>
      </c>
      <c r="AK2199">
        <f t="shared" si="251"/>
        <v>2390977.78863636</v>
      </c>
    </row>
    <row r="2200" spans="1:37">
      <c r="A2200" t="s">
        <v>2266</v>
      </c>
      <c r="B2200">
        <v>18</v>
      </c>
      <c r="C2200" t="s">
        <v>50</v>
      </c>
      <c r="D2200" t="s">
        <v>60</v>
      </c>
      <c r="E2200">
        <v>608</v>
      </c>
      <c r="F2200">
        <v>34</v>
      </c>
      <c r="G2200">
        <v>9</v>
      </c>
      <c r="H2200">
        <v>1205.47</v>
      </c>
      <c r="I2200">
        <v>11336.01</v>
      </c>
      <c r="J2200">
        <v>73</v>
      </c>
      <c r="K2200">
        <v>0</v>
      </c>
      <c r="L2200">
        <v>31.2</v>
      </c>
      <c r="M2200">
        <v>68.1</v>
      </c>
      <c r="N2200" t="s">
        <v>81</v>
      </c>
      <c r="O2200" t="s">
        <v>53</v>
      </c>
      <c r="P2200" t="s">
        <v>58</v>
      </c>
      <c r="R2200">
        <f>SUMIF(A2200:A7199,"C02199",I2200:I7199)</f>
        <v>11336.01</v>
      </c>
      <c r="S2200" s="1">
        <v>48587.31</v>
      </c>
      <c r="T2200">
        <f t="shared" si="254"/>
        <v>155.287808219178</v>
      </c>
      <c r="U2200">
        <f t="shared" si="248"/>
        <v>4971.3</v>
      </c>
      <c r="V2200">
        <f t="shared" si="250"/>
        <v>414.275</v>
      </c>
      <c r="W2200">
        <f t="shared" si="252"/>
        <v>4180.82666666667</v>
      </c>
      <c r="X2200">
        <f t="shared" si="249"/>
        <v>0.504367591064066</v>
      </c>
      <c r="AH2200" t="str">
        <f t="shared" si="253"/>
        <v>3rd Quality</v>
      </c>
      <c r="AJ2200">
        <f>((T2200-X2200)*2)/31.2</f>
        <v>9.9220154248791</v>
      </c>
      <c r="AK2200">
        <f t="shared" si="251"/>
        <v>94414.9873972603</v>
      </c>
    </row>
    <row r="2201" spans="1:37">
      <c r="A2201" t="s">
        <v>2267</v>
      </c>
      <c r="B2201">
        <v>24</v>
      </c>
      <c r="C2201" t="s">
        <v>44</v>
      </c>
      <c r="D2201" t="s">
        <v>45</v>
      </c>
      <c r="E2201">
        <v>675</v>
      </c>
      <c r="F2201">
        <v>72</v>
      </c>
      <c r="G2201">
        <v>2</v>
      </c>
      <c r="H2201">
        <v>1307.04</v>
      </c>
      <c r="I2201">
        <v>2848.89</v>
      </c>
      <c r="J2201">
        <v>18</v>
      </c>
      <c r="K2201">
        <v>1</v>
      </c>
      <c r="L2201">
        <v>25</v>
      </c>
      <c r="M2201">
        <v>23.4</v>
      </c>
      <c r="N2201" t="s">
        <v>52</v>
      </c>
      <c r="O2201" t="s">
        <v>47</v>
      </c>
      <c r="P2201" t="s">
        <v>68</v>
      </c>
      <c r="R2201">
        <f>SUMIF(A2201:A7200,"C02200",I2201:I7200)</f>
        <v>2848.89</v>
      </c>
      <c r="S2201" s="1">
        <v>7683.92</v>
      </c>
      <c r="T2201">
        <f t="shared" si="254"/>
        <v>158.271666666667</v>
      </c>
      <c r="U2201">
        <f t="shared" si="248"/>
        <v>421.2</v>
      </c>
      <c r="V2201">
        <f>U2201</f>
        <v>421.2</v>
      </c>
      <c r="W2201">
        <f t="shared" si="252"/>
        <v>1385.64333333333</v>
      </c>
      <c r="X2201">
        <f t="shared" si="249"/>
        <v>0.516434080058759</v>
      </c>
      <c r="AH2201" t="str">
        <f t="shared" si="253"/>
        <v>3rd Quality</v>
      </c>
      <c r="AJ2201">
        <f>((T2201-X2201)*2)/25</f>
        <v>12.6204186069287</v>
      </c>
      <c r="AK2201">
        <f t="shared" si="251"/>
        <v>106833.375</v>
      </c>
    </row>
    <row r="2202" spans="1:37">
      <c r="A2202" t="s">
        <v>2268</v>
      </c>
      <c r="B2202">
        <v>49</v>
      </c>
      <c r="C2202" t="s">
        <v>44</v>
      </c>
      <c r="D2202" t="s">
        <v>60</v>
      </c>
      <c r="E2202">
        <v>1135</v>
      </c>
      <c r="F2202">
        <v>12</v>
      </c>
      <c r="G2202">
        <v>23</v>
      </c>
      <c r="H2202">
        <v>2124.17</v>
      </c>
      <c r="I2202">
        <v>48587.31</v>
      </c>
      <c r="J2202">
        <v>58</v>
      </c>
      <c r="K2202">
        <v>2</v>
      </c>
      <c r="L2202">
        <v>11.6</v>
      </c>
      <c r="M2202">
        <v>26.8</v>
      </c>
      <c r="N2202" t="s">
        <v>61</v>
      </c>
      <c r="O2202" t="s">
        <v>47</v>
      </c>
      <c r="P2202" t="s">
        <v>48</v>
      </c>
      <c r="R2202">
        <f>SUMIF(A2202:A7201,"C02201",I2202:I7201)</f>
        <v>48587.31</v>
      </c>
      <c r="S2202" s="1">
        <v>1204.73</v>
      </c>
      <c r="T2202">
        <f t="shared" si="254"/>
        <v>837.71224137931</v>
      </c>
      <c r="U2202">
        <f t="shared" si="248"/>
        <v>1554.4</v>
      </c>
      <c r="V2202">
        <f>U2202</f>
        <v>1554.4</v>
      </c>
      <c r="W2202">
        <f t="shared" si="252"/>
        <v>16904.16</v>
      </c>
      <c r="X2202">
        <f t="shared" si="249"/>
        <v>0.534326348644412</v>
      </c>
      <c r="AH2202" t="str">
        <f t="shared" si="253"/>
        <v>3rd Quality</v>
      </c>
      <c r="AJ2202">
        <f>((T2202-X2202)*2)/11.6</f>
        <v>144.341019832873</v>
      </c>
      <c r="AK2202">
        <f t="shared" si="251"/>
        <v>950803.393965517</v>
      </c>
    </row>
    <row r="2203" spans="1:37">
      <c r="A2203" t="s">
        <v>2269</v>
      </c>
      <c r="B2203">
        <v>31</v>
      </c>
      <c r="C2203" t="s">
        <v>50</v>
      </c>
      <c r="D2203" t="s">
        <v>51</v>
      </c>
      <c r="E2203">
        <v>1176</v>
      </c>
      <c r="F2203">
        <v>365</v>
      </c>
      <c r="G2203">
        <v>3</v>
      </c>
      <c r="H2203">
        <v>2365.88</v>
      </c>
      <c r="I2203">
        <v>7683.92</v>
      </c>
      <c r="J2203">
        <v>26</v>
      </c>
      <c r="K2203">
        <v>0</v>
      </c>
      <c r="L2203">
        <v>27.7</v>
      </c>
      <c r="M2203">
        <v>8.3</v>
      </c>
      <c r="N2203" t="s">
        <v>52</v>
      </c>
      <c r="O2203" t="s">
        <v>47</v>
      </c>
      <c r="P2203" t="s">
        <v>58</v>
      </c>
      <c r="R2203">
        <f>SUMIF(A2203:A7202,"C02202",I2203:I7202)</f>
        <v>7683.92</v>
      </c>
      <c r="S2203" s="1">
        <v>62317.85</v>
      </c>
      <c r="T2203">
        <f t="shared" si="254"/>
        <v>295.535384615385</v>
      </c>
      <c r="U2203">
        <f t="shared" si="248"/>
        <v>215.8</v>
      </c>
      <c r="V2203">
        <f>U2203/12</f>
        <v>17.9833333333333</v>
      </c>
      <c r="W2203">
        <f t="shared" si="252"/>
        <v>3350.26666666667</v>
      </c>
      <c r="X2203">
        <f t="shared" si="249"/>
        <v>0.49706663059834</v>
      </c>
      <c r="AH2203" t="str">
        <f t="shared" si="253"/>
        <v>3rd Quality</v>
      </c>
      <c r="AJ2203">
        <f>((T2203-X2203)*2)/27.7</f>
        <v>21.3024056306705</v>
      </c>
      <c r="AK2203">
        <f t="shared" si="251"/>
        <v>347549.612307692</v>
      </c>
    </row>
    <row r="2204" spans="1:37">
      <c r="A2204" t="s">
        <v>2270</v>
      </c>
      <c r="B2204">
        <v>28</v>
      </c>
      <c r="C2204" t="s">
        <v>50</v>
      </c>
      <c r="D2204" t="s">
        <v>45</v>
      </c>
      <c r="E2204">
        <v>901</v>
      </c>
      <c r="F2204">
        <v>97</v>
      </c>
      <c r="G2204">
        <v>1</v>
      </c>
      <c r="H2204">
        <v>1368.26</v>
      </c>
      <c r="I2204">
        <v>1204.73</v>
      </c>
      <c r="J2204">
        <v>12</v>
      </c>
      <c r="K2204">
        <v>0</v>
      </c>
      <c r="L2204">
        <v>4.6</v>
      </c>
      <c r="M2204">
        <v>57.7</v>
      </c>
      <c r="N2204" t="s">
        <v>81</v>
      </c>
      <c r="O2204" t="s">
        <v>47</v>
      </c>
      <c r="P2204" t="s">
        <v>58</v>
      </c>
      <c r="R2204">
        <f>SUMIF(A2204:A7203,"C02203",I2204:I7203)</f>
        <v>1204.73</v>
      </c>
      <c r="S2204" s="1">
        <v>22396.52</v>
      </c>
      <c r="T2204">
        <f t="shared" si="254"/>
        <v>100.394166666667</v>
      </c>
      <c r="U2204">
        <f t="shared" si="248"/>
        <v>692.4</v>
      </c>
      <c r="V2204">
        <f t="shared" si="250"/>
        <v>57.7</v>
      </c>
      <c r="W2204">
        <f t="shared" si="252"/>
        <v>857.996666666667</v>
      </c>
      <c r="X2204">
        <f t="shared" si="249"/>
        <v>0.658500577375645</v>
      </c>
      <c r="AH2204" t="str">
        <f t="shared" si="253"/>
        <v>3rd Quality</v>
      </c>
      <c r="AJ2204">
        <f>((T2204-X2204)*2)/4.6</f>
        <v>43.3633330823006</v>
      </c>
      <c r="AK2204">
        <f t="shared" si="251"/>
        <v>90455.1441666667</v>
      </c>
    </row>
    <row r="2205" spans="1:37">
      <c r="A2205" t="s">
        <v>2271</v>
      </c>
      <c r="B2205">
        <v>56</v>
      </c>
      <c r="C2205" t="s">
        <v>44</v>
      </c>
      <c r="D2205" t="s">
        <v>51</v>
      </c>
      <c r="E2205">
        <v>1162</v>
      </c>
      <c r="F2205">
        <v>8</v>
      </c>
      <c r="G2205">
        <v>21</v>
      </c>
      <c r="H2205">
        <v>2700.36</v>
      </c>
      <c r="I2205">
        <v>62317.85</v>
      </c>
      <c r="J2205">
        <v>51</v>
      </c>
      <c r="K2205">
        <v>1</v>
      </c>
      <c r="L2205">
        <v>11.8</v>
      </c>
      <c r="M2205">
        <v>31.4</v>
      </c>
      <c r="N2205" t="s">
        <v>61</v>
      </c>
      <c r="O2205" t="s">
        <v>47</v>
      </c>
      <c r="P2205" t="s">
        <v>58</v>
      </c>
      <c r="R2205">
        <f>SUMIF(A2205:A7204,"C02204",I2205:I7204)</f>
        <v>62317.85</v>
      </c>
      <c r="S2205" s="1">
        <v>62463</v>
      </c>
      <c r="T2205">
        <f t="shared" si="254"/>
        <v>1221.91862745098</v>
      </c>
      <c r="U2205">
        <f t="shared" si="248"/>
        <v>1601.4</v>
      </c>
      <c r="V2205">
        <f>U2205</f>
        <v>1601.4</v>
      </c>
      <c r="W2205">
        <f t="shared" si="252"/>
        <v>21673.07</v>
      </c>
      <c r="X2205">
        <f t="shared" si="249"/>
        <v>0.43031299530433</v>
      </c>
      <c r="AH2205" t="str">
        <f t="shared" si="253"/>
        <v>3rd Quality</v>
      </c>
      <c r="AJ2205">
        <f>((T2205-X2205)*2)/11.8</f>
        <v>207.031917704352</v>
      </c>
      <c r="AK2205">
        <f t="shared" si="251"/>
        <v>1419869.44509804</v>
      </c>
    </row>
    <row r="2206" spans="1:37">
      <c r="A2206" t="s">
        <v>2272</v>
      </c>
      <c r="B2206">
        <v>34</v>
      </c>
      <c r="C2206" t="s">
        <v>50</v>
      </c>
      <c r="D2206" t="s">
        <v>60</v>
      </c>
      <c r="E2206">
        <v>1058</v>
      </c>
      <c r="F2206">
        <v>21</v>
      </c>
      <c r="G2206">
        <v>13</v>
      </c>
      <c r="H2206">
        <v>1611.25</v>
      </c>
      <c r="I2206">
        <v>22396.52</v>
      </c>
      <c r="J2206">
        <v>71</v>
      </c>
      <c r="K2206">
        <v>1</v>
      </c>
      <c r="L2206">
        <v>25.9</v>
      </c>
      <c r="M2206">
        <v>32.2</v>
      </c>
      <c r="N2206" t="s">
        <v>57</v>
      </c>
      <c r="O2206" t="s">
        <v>53</v>
      </c>
      <c r="P2206" t="s">
        <v>58</v>
      </c>
      <c r="R2206">
        <f>SUMIF(A2206:A7205,"C02205",I2206:I7205)</f>
        <v>22396.52</v>
      </c>
      <c r="S2206" s="1">
        <v>3155.03</v>
      </c>
      <c r="T2206">
        <f t="shared" si="254"/>
        <v>315.443943661972</v>
      </c>
      <c r="U2206">
        <f t="shared" si="248"/>
        <v>2286.2</v>
      </c>
      <c r="V2206">
        <f>U2206</f>
        <v>2286.2</v>
      </c>
      <c r="W2206">
        <f t="shared" si="252"/>
        <v>8002.92333333333</v>
      </c>
      <c r="X2206">
        <f t="shared" si="249"/>
        <v>0.656633048875097</v>
      </c>
      <c r="AH2206" t="str">
        <f t="shared" si="253"/>
        <v>2nd Quality</v>
      </c>
      <c r="AJ2206">
        <f>((T2206-X2206)*2)/25.9</f>
        <v>24.3079004334438</v>
      </c>
      <c r="AK2206">
        <f t="shared" si="251"/>
        <v>333739.692394366</v>
      </c>
    </row>
    <row r="2207" spans="1:37">
      <c r="A2207" t="s">
        <v>2273</v>
      </c>
      <c r="B2207">
        <v>25</v>
      </c>
      <c r="C2207" t="s">
        <v>44</v>
      </c>
      <c r="D2207" t="s">
        <v>60</v>
      </c>
      <c r="E2207">
        <v>636</v>
      </c>
      <c r="F2207">
        <v>11</v>
      </c>
      <c r="G2207">
        <v>8</v>
      </c>
      <c r="H2207">
        <v>8560.13</v>
      </c>
      <c r="I2207">
        <v>62463</v>
      </c>
      <c r="J2207">
        <v>57</v>
      </c>
      <c r="K2207">
        <v>0</v>
      </c>
      <c r="L2207">
        <v>8.5</v>
      </c>
      <c r="M2207">
        <v>33.7</v>
      </c>
      <c r="N2207" t="s">
        <v>52</v>
      </c>
      <c r="O2207" t="s">
        <v>75</v>
      </c>
      <c r="P2207" t="s">
        <v>66</v>
      </c>
      <c r="R2207">
        <f>SUMIF(A2207:A7206,"C02206",I2207:I7206)</f>
        <v>62463</v>
      </c>
      <c r="S2207" s="1">
        <v>3530.45</v>
      </c>
      <c r="T2207">
        <f t="shared" si="254"/>
        <v>1095.84210526316</v>
      </c>
      <c r="U2207">
        <f t="shared" si="248"/>
        <v>1920.9</v>
      </c>
      <c r="V2207">
        <f t="shared" si="250"/>
        <v>160.075</v>
      </c>
      <c r="W2207">
        <f t="shared" si="252"/>
        <v>23674.71</v>
      </c>
      <c r="X2207">
        <f t="shared" si="249"/>
        <v>0.0742979370640399</v>
      </c>
      <c r="AH2207" t="str">
        <f t="shared" si="253"/>
        <v>2nd Quality</v>
      </c>
      <c r="AJ2207">
        <f>((T2207-X2207)*2)/8.5</f>
        <v>257.827719370846</v>
      </c>
      <c r="AK2207">
        <f t="shared" si="251"/>
        <v>696955.578947368</v>
      </c>
    </row>
    <row r="2208" spans="1:37">
      <c r="A2208" t="s">
        <v>2274</v>
      </c>
      <c r="B2208">
        <v>40</v>
      </c>
      <c r="C2208" t="s">
        <v>44</v>
      </c>
      <c r="D2208" t="s">
        <v>45</v>
      </c>
      <c r="E2208">
        <v>1267</v>
      </c>
      <c r="F2208">
        <v>61</v>
      </c>
      <c r="G2208">
        <v>5</v>
      </c>
      <c r="H2208">
        <v>605.53</v>
      </c>
      <c r="I2208">
        <v>3155.03</v>
      </c>
      <c r="J2208">
        <v>34</v>
      </c>
      <c r="K2208">
        <v>1</v>
      </c>
      <c r="L2208">
        <v>17.1</v>
      </c>
      <c r="M2208">
        <v>4.6</v>
      </c>
      <c r="N2208" t="s">
        <v>52</v>
      </c>
      <c r="O2208" t="s">
        <v>47</v>
      </c>
      <c r="P2208" t="s">
        <v>66</v>
      </c>
      <c r="R2208">
        <f>SUMIF(A2208:A7207,"C02207",I2208:I7207)</f>
        <v>3155.03</v>
      </c>
      <c r="S2208" s="1">
        <v>52580.97</v>
      </c>
      <c r="T2208">
        <f t="shared" si="254"/>
        <v>92.795</v>
      </c>
      <c r="U2208">
        <f t="shared" si="248"/>
        <v>156.4</v>
      </c>
      <c r="V2208">
        <f>U2208</f>
        <v>156.4</v>
      </c>
      <c r="W2208">
        <f t="shared" si="252"/>
        <v>1253.85333333333</v>
      </c>
      <c r="X2208">
        <f t="shared" si="249"/>
        <v>2.09238188033623</v>
      </c>
      <c r="AH2208" t="str">
        <f t="shared" si="253"/>
        <v>3rd Quality</v>
      </c>
      <c r="AJ2208">
        <f>((T2208-X2208)*2)/17.1</f>
        <v>10.6084933473291</v>
      </c>
      <c r="AK2208">
        <f t="shared" si="251"/>
        <v>117571.265</v>
      </c>
    </row>
    <row r="2209" spans="1:37">
      <c r="A2209" t="s">
        <v>2275</v>
      </c>
      <c r="B2209">
        <v>29</v>
      </c>
      <c r="C2209" t="s">
        <v>44</v>
      </c>
      <c r="D2209" t="s">
        <v>45</v>
      </c>
      <c r="E2209">
        <v>672</v>
      </c>
      <c r="F2209">
        <v>9</v>
      </c>
      <c r="G2209">
        <v>3</v>
      </c>
      <c r="H2209">
        <v>1172.81</v>
      </c>
      <c r="I2209">
        <v>3530.45</v>
      </c>
      <c r="J2209">
        <v>30</v>
      </c>
      <c r="K2209">
        <v>0</v>
      </c>
      <c r="L2209">
        <v>16.7</v>
      </c>
      <c r="M2209">
        <v>78.9</v>
      </c>
      <c r="N2209" t="s">
        <v>46</v>
      </c>
      <c r="O2209" t="s">
        <v>47</v>
      </c>
      <c r="P2209" t="s">
        <v>58</v>
      </c>
      <c r="R2209">
        <f>SUMIF(A2209:A7208,"C02208",I2209:I7208)</f>
        <v>3530.45</v>
      </c>
      <c r="S2209" s="1">
        <v>66976.68</v>
      </c>
      <c r="T2209">
        <f t="shared" si="254"/>
        <v>117.681666666667</v>
      </c>
      <c r="U2209">
        <f t="shared" si="248"/>
        <v>2367</v>
      </c>
      <c r="V2209">
        <f t="shared" si="250"/>
        <v>197.25</v>
      </c>
      <c r="W2209">
        <f t="shared" si="252"/>
        <v>1568.08666666667</v>
      </c>
      <c r="X2209">
        <f t="shared" si="249"/>
        <v>0.572982836094508</v>
      </c>
      <c r="AH2209" t="str">
        <f t="shared" si="253"/>
        <v>3rd Quality</v>
      </c>
      <c r="AJ2209">
        <f>((T2209-X2209)*2)/16.7</f>
        <v>14.0249920755177</v>
      </c>
      <c r="AK2209">
        <f t="shared" si="251"/>
        <v>79082.08</v>
      </c>
    </row>
    <row r="2210" spans="1:37">
      <c r="A2210" t="s">
        <v>2276</v>
      </c>
      <c r="B2210">
        <v>33</v>
      </c>
      <c r="C2210" t="s">
        <v>101</v>
      </c>
      <c r="D2210" t="s">
        <v>51</v>
      </c>
      <c r="E2210">
        <v>1108</v>
      </c>
      <c r="F2210">
        <v>2</v>
      </c>
      <c r="G2210">
        <v>29</v>
      </c>
      <c r="H2210">
        <v>1629.1</v>
      </c>
      <c r="I2210">
        <v>52580.97</v>
      </c>
      <c r="J2210">
        <v>122</v>
      </c>
      <c r="K2210">
        <v>3</v>
      </c>
      <c r="L2210">
        <v>0</v>
      </c>
      <c r="M2210">
        <v>54.2</v>
      </c>
      <c r="N2210" t="s">
        <v>81</v>
      </c>
      <c r="O2210" t="s">
        <v>47</v>
      </c>
      <c r="P2210" t="s">
        <v>68</v>
      </c>
      <c r="R2210">
        <f>SUMIF(A2210:A7209,"C02209",I2210:I7209)</f>
        <v>52580.97</v>
      </c>
      <c r="S2210" s="1">
        <v>1073.47</v>
      </c>
      <c r="T2210">
        <f t="shared" si="254"/>
        <v>430.991557377049</v>
      </c>
      <c r="U2210">
        <f t="shared" ref="U2210:U2273" si="255">J2210*M2210</f>
        <v>6612.4</v>
      </c>
      <c r="V2210">
        <f>U2210</f>
        <v>6612.4</v>
      </c>
      <c r="W2210">
        <f t="shared" si="252"/>
        <v>18070.3566666667</v>
      </c>
      <c r="X2210">
        <f t="shared" si="249"/>
        <v>0.680130133202382</v>
      </c>
      <c r="AH2210" t="str">
        <f t="shared" si="253"/>
        <v>1st Quality</v>
      </c>
      <c r="AJ2210">
        <f>((T2210-X2210)*2)</f>
        <v>860.622854487693</v>
      </c>
      <c r="AK2210">
        <f t="shared" si="251"/>
        <v>477538.64557377</v>
      </c>
    </row>
    <row r="2211" spans="1:37">
      <c r="A2211" t="s">
        <v>2277</v>
      </c>
      <c r="B2211">
        <v>32</v>
      </c>
      <c r="C2211" t="s">
        <v>50</v>
      </c>
      <c r="D2211" t="s">
        <v>45</v>
      </c>
      <c r="E2211">
        <v>953</v>
      </c>
      <c r="F2211">
        <v>30</v>
      </c>
      <c r="G2211">
        <v>19</v>
      </c>
      <c r="H2211">
        <v>3698.77</v>
      </c>
      <c r="I2211">
        <v>66976.68</v>
      </c>
      <c r="J2211">
        <v>85</v>
      </c>
      <c r="K2211">
        <v>3</v>
      </c>
      <c r="L2211">
        <v>0</v>
      </c>
      <c r="M2211">
        <v>28.1</v>
      </c>
      <c r="N2211" t="s">
        <v>46</v>
      </c>
      <c r="O2211" t="s">
        <v>47</v>
      </c>
      <c r="P2211" t="s">
        <v>66</v>
      </c>
      <c r="R2211">
        <f>SUMIF(A2211:A7210,"C02210",I2211:I7210)</f>
        <v>66976.68</v>
      </c>
      <c r="S2211" s="1">
        <v>15217.75</v>
      </c>
      <c r="T2211">
        <f t="shared" si="254"/>
        <v>787.960941176471</v>
      </c>
      <c r="U2211">
        <f t="shared" si="255"/>
        <v>2388.5</v>
      </c>
      <c r="V2211">
        <f>U2211</f>
        <v>2388.5</v>
      </c>
      <c r="W2211">
        <f t="shared" si="252"/>
        <v>23558.8166666667</v>
      </c>
      <c r="X2211">
        <f t="shared" si="249"/>
        <v>0.257653219854168</v>
      </c>
      <c r="AH2211" t="str">
        <f t="shared" si="253"/>
        <v>1st Quality</v>
      </c>
      <c r="AJ2211">
        <f>((T2211-X2211)*2)</f>
        <v>1575.40657591323</v>
      </c>
      <c r="AK2211">
        <f t="shared" si="251"/>
        <v>750926.776941176</v>
      </c>
    </row>
    <row r="2212" spans="1:37">
      <c r="A2212" t="s">
        <v>2278</v>
      </c>
      <c r="B2212">
        <v>18</v>
      </c>
      <c r="C2212" t="s">
        <v>44</v>
      </c>
      <c r="D2212" t="s">
        <v>60</v>
      </c>
      <c r="E2212">
        <v>954</v>
      </c>
      <c r="F2212">
        <v>73</v>
      </c>
      <c r="G2212">
        <v>2</v>
      </c>
      <c r="H2212">
        <v>523.05</v>
      </c>
      <c r="I2212">
        <v>1073.47</v>
      </c>
      <c r="J2212">
        <v>17</v>
      </c>
      <c r="K2212">
        <v>0</v>
      </c>
      <c r="L2212">
        <v>22.9</v>
      </c>
      <c r="M2212">
        <v>14.8</v>
      </c>
      <c r="N2212" t="s">
        <v>61</v>
      </c>
      <c r="O2212" t="s">
        <v>53</v>
      </c>
      <c r="P2212" t="s">
        <v>58</v>
      </c>
      <c r="R2212">
        <f>SUMIF(A2212:A7211,"C02211",I2212:I7211)</f>
        <v>1073.47</v>
      </c>
      <c r="S2212" s="1">
        <v>2004.02</v>
      </c>
      <c r="T2212">
        <f t="shared" si="254"/>
        <v>63.1452941176471</v>
      </c>
      <c r="U2212">
        <f t="shared" si="255"/>
        <v>251.6</v>
      </c>
      <c r="V2212">
        <f t="shared" si="250"/>
        <v>20.9666666666667</v>
      </c>
      <c r="W2212">
        <f t="shared" si="252"/>
        <v>532.506666666667</v>
      </c>
      <c r="X2212">
        <f t="shared" si="249"/>
        <v>1.82391740751362</v>
      </c>
      <c r="AH2212" t="str">
        <f t="shared" si="253"/>
        <v>3rd Quality</v>
      </c>
      <c r="AJ2212">
        <f>((T2212-X2212)*2)/22.9</f>
        <v>5.35557875197672</v>
      </c>
      <c r="AK2212">
        <f t="shared" si="251"/>
        <v>60240.6105882353</v>
      </c>
    </row>
    <row r="2213" spans="1:37">
      <c r="A2213" t="s">
        <v>2279</v>
      </c>
      <c r="B2213">
        <v>41</v>
      </c>
      <c r="C2213" t="s">
        <v>50</v>
      </c>
      <c r="D2213" t="s">
        <v>60</v>
      </c>
      <c r="E2213">
        <v>1309</v>
      </c>
      <c r="F2213">
        <v>53</v>
      </c>
      <c r="G2213">
        <v>8</v>
      </c>
      <c r="H2213">
        <v>1891.84</v>
      </c>
      <c r="I2213">
        <v>15217.75</v>
      </c>
      <c r="J2213">
        <v>56</v>
      </c>
      <c r="K2213">
        <v>1</v>
      </c>
      <c r="L2213">
        <v>19.7</v>
      </c>
      <c r="M2213">
        <v>23</v>
      </c>
      <c r="N2213" t="s">
        <v>46</v>
      </c>
      <c r="O2213" t="s">
        <v>47</v>
      </c>
      <c r="P2213" t="s">
        <v>68</v>
      </c>
      <c r="R2213">
        <f>SUMIF(A2213:A7212,"C02212",I2213:I7212)</f>
        <v>15217.75</v>
      </c>
      <c r="S2213" s="1">
        <v>29345.14</v>
      </c>
      <c r="T2213">
        <f t="shared" si="254"/>
        <v>271.745535714286</v>
      </c>
      <c r="U2213">
        <f t="shared" si="255"/>
        <v>1288</v>
      </c>
      <c r="V2213">
        <f>U2213</f>
        <v>1288</v>
      </c>
      <c r="W2213">
        <f t="shared" si="252"/>
        <v>5703.53</v>
      </c>
      <c r="X2213">
        <f t="shared" si="249"/>
        <v>0.69191897834912</v>
      </c>
      <c r="AH2213" t="str">
        <f t="shared" si="253"/>
        <v>3rd Quality</v>
      </c>
      <c r="AJ2213">
        <f>((T2213-X2213)*2)/19.7</f>
        <v>27.5181336787753</v>
      </c>
      <c r="AK2213">
        <f t="shared" si="251"/>
        <v>355714.90625</v>
      </c>
    </row>
    <row r="2214" spans="1:37">
      <c r="A2214" t="s">
        <v>2280</v>
      </c>
      <c r="B2214">
        <v>57</v>
      </c>
      <c r="C2214" t="s">
        <v>50</v>
      </c>
      <c r="D2214" t="s">
        <v>51</v>
      </c>
      <c r="E2214">
        <v>1358</v>
      </c>
      <c r="F2214">
        <v>365</v>
      </c>
      <c r="G2214">
        <v>1</v>
      </c>
      <c r="H2214">
        <v>2147.77</v>
      </c>
      <c r="I2214">
        <v>2004.02</v>
      </c>
      <c r="J2214">
        <v>13</v>
      </c>
      <c r="K2214">
        <v>0</v>
      </c>
      <c r="L2214">
        <v>22.7</v>
      </c>
      <c r="M2214">
        <v>5.4</v>
      </c>
      <c r="N2214" t="s">
        <v>57</v>
      </c>
      <c r="O2214" t="s">
        <v>75</v>
      </c>
      <c r="P2214" t="s">
        <v>66</v>
      </c>
      <c r="R2214">
        <f>SUMIF(A2214:A7213,"C02213",I2214:I7213)</f>
        <v>2004.02</v>
      </c>
      <c r="S2214" s="1">
        <v>4122.69</v>
      </c>
      <c r="T2214">
        <f t="shared" si="254"/>
        <v>154.155384615385</v>
      </c>
      <c r="U2214">
        <f t="shared" si="255"/>
        <v>70.2</v>
      </c>
      <c r="V2214">
        <f t="shared" si="250"/>
        <v>5.85</v>
      </c>
      <c r="W2214">
        <f t="shared" si="252"/>
        <v>1384.26333333333</v>
      </c>
      <c r="X2214">
        <f t="shared" si="249"/>
        <v>0.632283717530276</v>
      </c>
      <c r="AH2214" t="str">
        <f t="shared" si="253"/>
        <v>3rd Quality</v>
      </c>
      <c r="AJ2214">
        <f>((T2214-X2214)*2)/22.7</f>
        <v>13.5262643962868</v>
      </c>
      <c r="AK2214">
        <f t="shared" si="251"/>
        <v>209343.012307692</v>
      </c>
    </row>
    <row r="2215" spans="1:37">
      <c r="A2215" t="s">
        <v>2281</v>
      </c>
      <c r="B2215">
        <v>18</v>
      </c>
      <c r="C2215" t="s">
        <v>50</v>
      </c>
      <c r="D2215" t="s">
        <v>60</v>
      </c>
      <c r="E2215">
        <v>1176</v>
      </c>
      <c r="F2215">
        <v>76</v>
      </c>
      <c r="G2215">
        <v>11</v>
      </c>
      <c r="H2215">
        <v>2480.97</v>
      </c>
      <c r="I2215">
        <v>29345.14</v>
      </c>
      <c r="J2215">
        <v>52</v>
      </c>
      <c r="K2215">
        <v>0</v>
      </c>
      <c r="L2215">
        <v>27.4</v>
      </c>
      <c r="M2215">
        <v>45.8</v>
      </c>
      <c r="N2215" t="s">
        <v>46</v>
      </c>
      <c r="O2215" t="s">
        <v>53</v>
      </c>
      <c r="P2215" t="s">
        <v>54</v>
      </c>
      <c r="R2215">
        <f>SUMIF(A2215:A7214,"C02214",I2215:I7214)</f>
        <v>29345.14</v>
      </c>
      <c r="S2215" s="1">
        <v>69222.88</v>
      </c>
      <c r="T2215">
        <f t="shared" si="254"/>
        <v>564.329615384615</v>
      </c>
      <c r="U2215">
        <f t="shared" si="255"/>
        <v>2381.6</v>
      </c>
      <c r="V2215">
        <f t="shared" si="250"/>
        <v>198.466666666667</v>
      </c>
      <c r="W2215">
        <f t="shared" si="252"/>
        <v>10609.0366666667</v>
      </c>
      <c r="X2215">
        <f t="shared" si="249"/>
        <v>0.47400815003809</v>
      </c>
      <c r="AH2215" t="str">
        <f t="shared" si="253"/>
        <v>2nd Quality</v>
      </c>
      <c r="AJ2215">
        <f>((T2215-X2215)*2)/27.4</f>
        <v>41.1573435937647</v>
      </c>
      <c r="AK2215">
        <f t="shared" si="251"/>
        <v>663651.627692308</v>
      </c>
    </row>
    <row r="2216" spans="1:37">
      <c r="A2216" t="s">
        <v>2282</v>
      </c>
      <c r="B2216">
        <v>48</v>
      </c>
      <c r="C2216" t="s">
        <v>50</v>
      </c>
      <c r="D2216" t="s">
        <v>60</v>
      </c>
      <c r="E2216">
        <v>1021</v>
      </c>
      <c r="F2216">
        <v>303</v>
      </c>
      <c r="G2216">
        <v>1</v>
      </c>
      <c r="H2216">
        <v>3895.48</v>
      </c>
      <c r="I2216">
        <v>4122.69</v>
      </c>
      <c r="J2216">
        <v>7</v>
      </c>
      <c r="K2216">
        <v>0</v>
      </c>
      <c r="L2216">
        <v>9.1</v>
      </c>
      <c r="M2216">
        <v>4.8</v>
      </c>
      <c r="N2216" t="s">
        <v>61</v>
      </c>
      <c r="O2216" t="s">
        <v>47</v>
      </c>
      <c r="P2216" t="s">
        <v>48</v>
      </c>
      <c r="R2216">
        <f>SUMIF(A2216:A7215,"C02215",I2216:I7215)</f>
        <v>4122.69</v>
      </c>
      <c r="S2216" s="1">
        <v>80906.77</v>
      </c>
      <c r="T2216">
        <f t="shared" si="254"/>
        <v>588.955714285714</v>
      </c>
      <c r="U2216">
        <f t="shared" si="255"/>
        <v>33.6</v>
      </c>
      <c r="V2216">
        <f t="shared" si="250"/>
        <v>2.8</v>
      </c>
      <c r="W2216">
        <f t="shared" si="252"/>
        <v>2673.05666666667</v>
      </c>
      <c r="X2216">
        <f t="shared" si="249"/>
        <v>0.262098637395135</v>
      </c>
      <c r="AH2216" t="str">
        <f t="shared" si="253"/>
        <v>3rd Quality</v>
      </c>
      <c r="AJ2216">
        <f>((T2216-X2216)*2)/9.1</f>
        <v>129.3832122304</v>
      </c>
      <c r="AK2216">
        <f t="shared" si="251"/>
        <v>601323.784285714</v>
      </c>
    </row>
    <row r="2217" spans="1:37">
      <c r="A2217" t="s">
        <v>2283</v>
      </c>
      <c r="B2217">
        <v>31</v>
      </c>
      <c r="C2217" t="s">
        <v>44</v>
      </c>
      <c r="D2217" t="s">
        <v>60</v>
      </c>
      <c r="E2217">
        <v>700</v>
      </c>
      <c r="F2217">
        <v>16</v>
      </c>
      <c r="G2217">
        <v>15</v>
      </c>
      <c r="H2217">
        <v>4566.49</v>
      </c>
      <c r="I2217">
        <v>69222.88</v>
      </c>
      <c r="J2217">
        <v>99</v>
      </c>
      <c r="K2217">
        <v>5</v>
      </c>
      <c r="L2217">
        <v>10.2</v>
      </c>
      <c r="M2217">
        <v>54.5</v>
      </c>
      <c r="N2217" t="s">
        <v>46</v>
      </c>
      <c r="O2217" t="s">
        <v>47</v>
      </c>
      <c r="P2217" t="s">
        <v>68</v>
      </c>
      <c r="R2217">
        <f>SUMIF(A2217:A7216,"C02216",I2217:I7216)</f>
        <v>69222.88</v>
      </c>
      <c r="S2217" s="1">
        <v>4278.97</v>
      </c>
      <c r="T2217">
        <f t="shared" si="254"/>
        <v>699.22101010101</v>
      </c>
      <c r="U2217">
        <f t="shared" si="255"/>
        <v>5395.5</v>
      </c>
      <c r="V2217">
        <f>U2217</f>
        <v>5395.5</v>
      </c>
      <c r="W2217">
        <f t="shared" si="252"/>
        <v>24596.79</v>
      </c>
      <c r="X2217">
        <f t="shared" si="249"/>
        <v>0.153290601753207</v>
      </c>
      <c r="AH2217" t="str">
        <f t="shared" si="253"/>
        <v>2nd Quality</v>
      </c>
      <c r="AJ2217">
        <f>((T2217-X2217)*2)/10.2</f>
        <v>137.072101862599</v>
      </c>
      <c r="AK2217">
        <f t="shared" si="251"/>
        <v>489454.707070707</v>
      </c>
    </row>
    <row r="2218" spans="1:37">
      <c r="A2218" t="s">
        <v>2284</v>
      </c>
      <c r="B2218">
        <v>26</v>
      </c>
      <c r="C2218" t="s">
        <v>44</v>
      </c>
      <c r="D2218" t="s">
        <v>45</v>
      </c>
      <c r="E2218">
        <v>1156</v>
      </c>
      <c r="F2218">
        <v>6</v>
      </c>
      <c r="G2218">
        <v>29</v>
      </c>
      <c r="H2218">
        <v>2521.2</v>
      </c>
      <c r="I2218">
        <v>80906.77</v>
      </c>
      <c r="J2218">
        <v>242</v>
      </c>
      <c r="K2218">
        <v>3</v>
      </c>
      <c r="L2218">
        <v>0</v>
      </c>
      <c r="M2218">
        <v>36.8</v>
      </c>
      <c r="N2218" t="s">
        <v>57</v>
      </c>
      <c r="O2218" t="s">
        <v>53</v>
      </c>
      <c r="P2218" t="s">
        <v>58</v>
      </c>
      <c r="R2218">
        <f>SUMIF(A2218:A7217,"C02217",I2218:I7217)</f>
        <v>80906.77</v>
      </c>
      <c r="S2218" s="1">
        <v>1162.39</v>
      </c>
      <c r="T2218">
        <f t="shared" si="254"/>
        <v>334.325495867769</v>
      </c>
      <c r="U2218">
        <f t="shared" si="255"/>
        <v>8905.6</v>
      </c>
      <c r="V2218">
        <f>U2218</f>
        <v>8905.6</v>
      </c>
      <c r="W2218">
        <f t="shared" si="252"/>
        <v>27809.6566666667</v>
      </c>
      <c r="X2218">
        <f t="shared" si="249"/>
        <v>0.458511819768364</v>
      </c>
      <c r="AH2218" t="str">
        <f t="shared" si="253"/>
        <v>1st Quality</v>
      </c>
      <c r="AJ2218">
        <f>((T2218-X2218)*2)</f>
        <v>667.733968096001</v>
      </c>
      <c r="AK2218">
        <f t="shared" si="251"/>
        <v>386480.273223141</v>
      </c>
    </row>
    <row r="2219" spans="1:37">
      <c r="A2219" t="s">
        <v>2285</v>
      </c>
      <c r="B2219">
        <v>37</v>
      </c>
      <c r="C2219" t="s">
        <v>44</v>
      </c>
      <c r="D2219" t="s">
        <v>60</v>
      </c>
      <c r="E2219">
        <v>417</v>
      </c>
      <c r="F2219">
        <v>365</v>
      </c>
      <c r="G2219">
        <v>1</v>
      </c>
      <c r="H2219">
        <v>3881.51</v>
      </c>
      <c r="I2219">
        <v>4278.97</v>
      </c>
      <c r="J2219">
        <v>17</v>
      </c>
      <c r="K2219">
        <v>0</v>
      </c>
      <c r="L2219">
        <v>18.9</v>
      </c>
      <c r="M2219">
        <v>13.2</v>
      </c>
      <c r="N2219" t="s">
        <v>63</v>
      </c>
      <c r="O2219" t="s">
        <v>47</v>
      </c>
      <c r="P2219" t="s">
        <v>66</v>
      </c>
      <c r="R2219">
        <f>SUMIF(A2219:A7218,"C02218",I2219:I7218)</f>
        <v>4278.97</v>
      </c>
      <c r="S2219" s="1">
        <v>9607.58</v>
      </c>
      <c r="T2219">
        <f t="shared" si="254"/>
        <v>251.704117647059</v>
      </c>
      <c r="U2219">
        <f t="shared" si="255"/>
        <v>224.4</v>
      </c>
      <c r="V2219">
        <f t="shared" si="250"/>
        <v>18.7</v>
      </c>
      <c r="W2219">
        <f t="shared" si="252"/>
        <v>2720.49333333333</v>
      </c>
      <c r="X2219">
        <f t="shared" si="249"/>
        <v>0.10743241676564</v>
      </c>
      <c r="AH2219" t="str">
        <f t="shared" si="253"/>
        <v>3rd Quality</v>
      </c>
      <c r="AJ2219">
        <f>((T2219-X2219)*2)/18.9</f>
        <v>26.6239878550575</v>
      </c>
      <c r="AK2219">
        <f t="shared" si="251"/>
        <v>104960.617058824</v>
      </c>
    </row>
    <row r="2220" spans="1:37">
      <c r="A2220" t="s">
        <v>2286</v>
      </c>
      <c r="B2220">
        <v>41</v>
      </c>
      <c r="C2220" t="s">
        <v>50</v>
      </c>
      <c r="D2220" t="s">
        <v>45</v>
      </c>
      <c r="E2220">
        <v>481</v>
      </c>
      <c r="F2220">
        <v>365</v>
      </c>
      <c r="G2220">
        <v>1</v>
      </c>
      <c r="H2220">
        <v>1079.97</v>
      </c>
      <c r="I2220">
        <v>1162.39</v>
      </c>
      <c r="J2220">
        <v>19</v>
      </c>
      <c r="K2220">
        <v>0</v>
      </c>
      <c r="L2220">
        <v>20</v>
      </c>
      <c r="M2220">
        <v>6.5</v>
      </c>
      <c r="N2220" t="s">
        <v>81</v>
      </c>
      <c r="O2220" t="s">
        <v>47</v>
      </c>
      <c r="P2220" t="s">
        <v>54</v>
      </c>
      <c r="R2220">
        <f>SUMIF(A2220:A7219,"C02219",I2220:I7219)</f>
        <v>1162.39</v>
      </c>
      <c r="S2220" s="1">
        <v>23899.78</v>
      </c>
      <c r="T2220">
        <f t="shared" si="254"/>
        <v>61.1784210526316</v>
      </c>
      <c r="U2220">
        <f t="shared" si="255"/>
        <v>123.5</v>
      </c>
      <c r="V2220">
        <f t="shared" si="250"/>
        <v>10.2916666666667</v>
      </c>
      <c r="W2220">
        <f t="shared" si="252"/>
        <v>747.786666666667</v>
      </c>
      <c r="X2220">
        <f t="shared" si="249"/>
        <v>0.445382742113207</v>
      </c>
      <c r="AH2220" t="str">
        <f t="shared" si="253"/>
        <v>3rd Quality</v>
      </c>
      <c r="AJ2220">
        <f>((T2220-X2220)*2)/20</f>
        <v>6.07330383105184</v>
      </c>
      <c r="AK2220">
        <f t="shared" si="251"/>
        <v>29426.8205263158</v>
      </c>
    </row>
    <row r="2221" spans="1:37">
      <c r="A2221" t="s">
        <v>2287</v>
      </c>
      <c r="B2221">
        <v>36</v>
      </c>
      <c r="C2221" t="s">
        <v>44</v>
      </c>
      <c r="D2221" t="s">
        <v>45</v>
      </c>
      <c r="E2221">
        <v>1032</v>
      </c>
      <c r="F2221">
        <v>25</v>
      </c>
      <c r="G2221">
        <v>16</v>
      </c>
      <c r="H2221">
        <v>655.13</v>
      </c>
      <c r="I2221">
        <v>9607.58</v>
      </c>
      <c r="J2221">
        <v>89</v>
      </c>
      <c r="K2221">
        <v>0</v>
      </c>
      <c r="L2221">
        <v>20.4</v>
      </c>
      <c r="M2221">
        <v>39.7</v>
      </c>
      <c r="N2221" t="s">
        <v>78</v>
      </c>
      <c r="O2221" t="s">
        <v>47</v>
      </c>
      <c r="P2221" t="s">
        <v>58</v>
      </c>
      <c r="R2221">
        <f>SUMIF(A2221:A7220,"C02220",I2221:I7220)</f>
        <v>9607.58</v>
      </c>
      <c r="S2221" s="1">
        <v>17794.08</v>
      </c>
      <c r="T2221">
        <f t="shared" si="254"/>
        <v>107.950337078652</v>
      </c>
      <c r="U2221">
        <f t="shared" si="255"/>
        <v>3533.3</v>
      </c>
      <c r="V2221">
        <f t="shared" si="250"/>
        <v>294.441666666667</v>
      </c>
      <c r="W2221">
        <f t="shared" si="252"/>
        <v>3421.23666666667</v>
      </c>
      <c r="X2221">
        <f t="shared" si="249"/>
        <v>1.57525987208646</v>
      </c>
      <c r="AH2221" t="str">
        <f t="shared" si="253"/>
        <v>3rd Quality</v>
      </c>
      <c r="AJ2221">
        <f>((T2221-X2221)*2)/20.4</f>
        <v>10.4289291378986</v>
      </c>
      <c r="AK2221">
        <f t="shared" si="251"/>
        <v>111404.747865169</v>
      </c>
    </row>
    <row r="2222" spans="1:37">
      <c r="A2222" t="s">
        <v>2288</v>
      </c>
      <c r="B2222">
        <v>24</v>
      </c>
      <c r="C2222" t="s">
        <v>44</v>
      </c>
      <c r="D2222" t="s">
        <v>45</v>
      </c>
      <c r="E2222">
        <v>667</v>
      </c>
      <c r="F2222">
        <v>7</v>
      </c>
      <c r="G2222">
        <v>8</v>
      </c>
      <c r="H2222">
        <v>2729.29</v>
      </c>
      <c r="I2222">
        <v>23899.78</v>
      </c>
      <c r="J2222">
        <v>37</v>
      </c>
      <c r="K2222">
        <v>2</v>
      </c>
      <c r="L2222">
        <v>10.2</v>
      </c>
      <c r="M2222">
        <v>51.3</v>
      </c>
      <c r="N2222" t="s">
        <v>52</v>
      </c>
      <c r="O2222" t="s">
        <v>47</v>
      </c>
      <c r="P2222" t="s">
        <v>58</v>
      </c>
      <c r="R2222">
        <f>SUMIF(A2222:A7221,"C02221",I2222:I7221)</f>
        <v>23899.78</v>
      </c>
      <c r="S2222" s="1">
        <v>4037.95</v>
      </c>
      <c r="T2222">
        <f t="shared" si="254"/>
        <v>645.94</v>
      </c>
      <c r="U2222">
        <f t="shared" si="255"/>
        <v>1898.1</v>
      </c>
      <c r="V2222">
        <f>U2222</f>
        <v>1898.1</v>
      </c>
      <c r="W2222">
        <f t="shared" si="252"/>
        <v>8876.69</v>
      </c>
      <c r="X2222">
        <f t="shared" si="249"/>
        <v>0.244385902560739</v>
      </c>
      <c r="AH2222" t="str">
        <f t="shared" si="253"/>
        <v>2nd Quality</v>
      </c>
      <c r="AJ2222">
        <f>((T2222-X2222)*2)/10.2</f>
        <v>126.606983156361</v>
      </c>
      <c r="AK2222">
        <f t="shared" si="251"/>
        <v>430841.98</v>
      </c>
    </row>
    <row r="2223" spans="1:37">
      <c r="A2223" t="s">
        <v>2289</v>
      </c>
      <c r="B2223">
        <v>30</v>
      </c>
      <c r="C2223" t="s">
        <v>44</v>
      </c>
      <c r="D2223" t="s">
        <v>45</v>
      </c>
      <c r="E2223">
        <v>889</v>
      </c>
      <c r="F2223">
        <v>66</v>
      </c>
      <c r="G2223">
        <v>11</v>
      </c>
      <c r="H2223">
        <v>1696.72</v>
      </c>
      <c r="I2223">
        <v>17794.08</v>
      </c>
      <c r="J2223">
        <v>26</v>
      </c>
      <c r="K2223">
        <v>1</v>
      </c>
      <c r="L2223">
        <v>11.6</v>
      </c>
      <c r="M2223">
        <v>58.9</v>
      </c>
      <c r="N2223" t="s">
        <v>81</v>
      </c>
      <c r="O2223" t="s">
        <v>53</v>
      </c>
      <c r="P2223" t="s">
        <v>58</v>
      </c>
      <c r="R2223">
        <f>SUMIF(A2223:A7222,"C02222",I2223:I7222)</f>
        <v>17794.08</v>
      </c>
      <c r="S2223" s="1">
        <v>57503.88</v>
      </c>
      <c r="T2223">
        <f t="shared" si="254"/>
        <v>684.387692307692</v>
      </c>
      <c r="U2223">
        <f t="shared" si="255"/>
        <v>1531.4</v>
      </c>
      <c r="V2223">
        <f>U2223</f>
        <v>1531.4</v>
      </c>
      <c r="W2223">
        <f t="shared" si="252"/>
        <v>6497.26666666667</v>
      </c>
      <c r="X2223">
        <f t="shared" ref="X2223:X2286" si="256">E2223/H2223</f>
        <v>0.523952095808383</v>
      </c>
      <c r="AH2223" t="str">
        <f t="shared" si="253"/>
        <v>2nd Quality</v>
      </c>
      <c r="AJ2223">
        <f>((T2223-X2223)*2)/11.6</f>
        <v>117.907541415842</v>
      </c>
      <c r="AK2223">
        <f t="shared" si="251"/>
        <v>608420.658461539</v>
      </c>
    </row>
    <row r="2224" spans="1:37">
      <c r="A2224" t="s">
        <v>2290</v>
      </c>
      <c r="B2224">
        <v>35</v>
      </c>
      <c r="C2224" t="s">
        <v>101</v>
      </c>
      <c r="D2224" t="s">
        <v>51</v>
      </c>
      <c r="E2224">
        <v>1397</v>
      </c>
      <c r="F2224">
        <v>157</v>
      </c>
      <c r="G2224">
        <v>6</v>
      </c>
      <c r="H2224">
        <v>661.86</v>
      </c>
      <c r="I2224">
        <v>4037.95</v>
      </c>
      <c r="J2224">
        <v>55</v>
      </c>
      <c r="K2224">
        <v>1</v>
      </c>
      <c r="L2224">
        <v>39.8</v>
      </c>
      <c r="M2224">
        <v>21.6</v>
      </c>
      <c r="N2224" t="s">
        <v>57</v>
      </c>
      <c r="O2224" t="s">
        <v>53</v>
      </c>
      <c r="P2224" t="s">
        <v>66</v>
      </c>
      <c r="R2224">
        <f>SUMIF(A2224:A7223,"C02223",I2224:I7223)</f>
        <v>4037.95</v>
      </c>
      <c r="S2224" s="1">
        <v>1960.83</v>
      </c>
      <c r="T2224">
        <f t="shared" si="254"/>
        <v>73.4172727272727</v>
      </c>
      <c r="U2224">
        <f t="shared" si="255"/>
        <v>1188</v>
      </c>
      <c r="V2224">
        <f>U2224</f>
        <v>1188</v>
      </c>
      <c r="W2224">
        <f t="shared" si="252"/>
        <v>1566.93666666667</v>
      </c>
      <c r="X2224">
        <f t="shared" si="256"/>
        <v>2.11071827879008</v>
      </c>
      <c r="AH2224" t="str">
        <f t="shared" si="253"/>
        <v>3rd Quality</v>
      </c>
      <c r="AJ2224">
        <f>((T2224-X2224)*2)/39.8</f>
        <v>3.58324394213481</v>
      </c>
      <c r="AK2224">
        <f t="shared" si="251"/>
        <v>102563.93</v>
      </c>
    </row>
    <row r="2225" spans="1:37">
      <c r="A2225" t="s">
        <v>2291</v>
      </c>
      <c r="B2225">
        <v>37</v>
      </c>
      <c r="C2225" t="s">
        <v>44</v>
      </c>
      <c r="D2225" t="s">
        <v>60</v>
      </c>
      <c r="E2225">
        <v>745</v>
      </c>
      <c r="F2225">
        <v>3</v>
      </c>
      <c r="G2225">
        <v>27</v>
      </c>
      <c r="H2225">
        <v>1911.93</v>
      </c>
      <c r="I2225">
        <v>57503.88</v>
      </c>
      <c r="J2225">
        <v>169</v>
      </c>
      <c r="K2225">
        <v>4</v>
      </c>
      <c r="L2225">
        <v>13.3</v>
      </c>
      <c r="M2225">
        <v>48.3</v>
      </c>
      <c r="N2225" t="s">
        <v>52</v>
      </c>
      <c r="O2225" t="s">
        <v>75</v>
      </c>
      <c r="P2225" t="s">
        <v>58</v>
      </c>
      <c r="R2225">
        <f>SUMIF(A2225:A7224,"C02224",I2225:I7224)</f>
        <v>57503.88</v>
      </c>
      <c r="S2225" s="1">
        <v>7200.67</v>
      </c>
      <c r="T2225">
        <f t="shared" si="254"/>
        <v>340.259644970414</v>
      </c>
      <c r="U2225">
        <f t="shared" si="255"/>
        <v>8162.7</v>
      </c>
      <c r="V2225">
        <f>U2225</f>
        <v>8162.7</v>
      </c>
      <c r="W2225">
        <f t="shared" si="252"/>
        <v>19805.6033333333</v>
      </c>
      <c r="X2225">
        <f t="shared" si="256"/>
        <v>0.389658617208789</v>
      </c>
      <c r="AH2225" t="str">
        <f t="shared" si="253"/>
        <v>2nd Quality</v>
      </c>
      <c r="AJ2225">
        <f>((T2225-X2225)*2)/13.3</f>
        <v>51.1082686245421</v>
      </c>
      <c r="AK2225">
        <f t="shared" si="251"/>
        <v>253493.435502959</v>
      </c>
    </row>
    <row r="2226" spans="1:37">
      <c r="A2226" t="s">
        <v>2292</v>
      </c>
      <c r="B2226">
        <v>45</v>
      </c>
      <c r="C2226" t="s">
        <v>44</v>
      </c>
      <c r="D2226" t="s">
        <v>45</v>
      </c>
      <c r="E2226">
        <v>830</v>
      </c>
      <c r="F2226">
        <v>9</v>
      </c>
      <c r="G2226">
        <v>1</v>
      </c>
      <c r="H2226">
        <v>2096.18</v>
      </c>
      <c r="I2226">
        <v>1960.83</v>
      </c>
      <c r="J2226">
        <v>12</v>
      </c>
      <c r="K2226">
        <v>0</v>
      </c>
      <c r="L2226">
        <v>15</v>
      </c>
      <c r="M2226">
        <v>4.6</v>
      </c>
      <c r="N2226" t="s">
        <v>81</v>
      </c>
      <c r="O2226" t="s">
        <v>47</v>
      </c>
      <c r="P2226" t="s">
        <v>58</v>
      </c>
      <c r="R2226">
        <f>SUMIF(A2226:A7225,"C02225",I2226:I7225)</f>
        <v>1960.83</v>
      </c>
      <c r="S2226" s="1">
        <v>699.51</v>
      </c>
      <c r="T2226">
        <f t="shared" si="254"/>
        <v>163.4025</v>
      </c>
      <c r="U2226">
        <f t="shared" si="255"/>
        <v>55.2</v>
      </c>
      <c r="V2226">
        <f t="shared" si="250"/>
        <v>4.6</v>
      </c>
      <c r="W2226">
        <f t="shared" si="252"/>
        <v>1352.67</v>
      </c>
      <c r="X2226">
        <f t="shared" si="256"/>
        <v>0.395958362354378</v>
      </c>
      <c r="AH2226" t="str">
        <f t="shared" si="253"/>
        <v>3rd Quality</v>
      </c>
      <c r="AJ2226">
        <f>((T2226-X2226)*2)/15</f>
        <v>21.7342055516861</v>
      </c>
      <c r="AK2226">
        <f t="shared" si="251"/>
        <v>135624.075</v>
      </c>
    </row>
    <row r="2227" spans="1:37">
      <c r="A2227" t="s">
        <v>2293</v>
      </c>
      <c r="B2227">
        <v>18</v>
      </c>
      <c r="C2227" t="s">
        <v>50</v>
      </c>
      <c r="D2227" t="s">
        <v>60</v>
      </c>
      <c r="E2227">
        <v>1075</v>
      </c>
      <c r="F2227">
        <v>29</v>
      </c>
      <c r="G2227">
        <v>8</v>
      </c>
      <c r="H2227">
        <v>969.98</v>
      </c>
      <c r="I2227">
        <v>7200.67</v>
      </c>
      <c r="J2227">
        <v>50</v>
      </c>
      <c r="K2227">
        <v>0</v>
      </c>
      <c r="L2227">
        <v>28.7</v>
      </c>
      <c r="M2227">
        <v>31</v>
      </c>
      <c r="N2227" t="s">
        <v>81</v>
      </c>
      <c r="O2227" t="s">
        <v>47</v>
      </c>
      <c r="P2227" t="s">
        <v>68</v>
      </c>
      <c r="R2227">
        <f>SUMIF(A2227:A7226,"C02226",I2227:I7226)</f>
        <v>7200.67</v>
      </c>
      <c r="S2227" s="1">
        <v>155121.6</v>
      </c>
      <c r="T2227">
        <f t="shared" si="254"/>
        <v>144.0134</v>
      </c>
      <c r="U2227">
        <f t="shared" si="255"/>
        <v>1550</v>
      </c>
      <c r="V2227">
        <f t="shared" si="250"/>
        <v>129.166666666667</v>
      </c>
      <c r="W2227">
        <f t="shared" si="252"/>
        <v>2723.88333333333</v>
      </c>
      <c r="X2227">
        <f t="shared" si="256"/>
        <v>1.10827027361389</v>
      </c>
      <c r="AH2227" t="str">
        <f t="shared" si="253"/>
        <v>3rd Quality</v>
      </c>
      <c r="AJ2227">
        <f>((T2227-X2227)*2)/28.7</f>
        <v>9.95854562553213</v>
      </c>
      <c r="AK2227">
        <f t="shared" si="251"/>
        <v>154814.405</v>
      </c>
    </row>
    <row r="2228" spans="1:37">
      <c r="A2228" t="s">
        <v>2294</v>
      </c>
      <c r="B2228">
        <v>36</v>
      </c>
      <c r="C2228" t="s">
        <v>101</v>
      </c>
      <c r="D2228" t="s">
        <v>45</v>
      </c>
      <c r="E2228">
        <v>1173</v>
      </c>
      <c r="F2228">
        <v>53</v>
      </c>
      <c r="G2228">
        <v>1</v>
      </c>
      <c r="H2228">
        <v>645.03</v>
      </c>
      <c r="I2228">
        <v>699.51</v>
      </c>
      <c r="J2228">
        <v>9</v>
      </c>
      <c r="K2228">
        <v>0</v>
      </c>
      <c r="L2228">
        <v>39.3</v>
      </c>
      <c r="M2228">
        <v>14.9</v>
      </c>
      <c r="N2228" t="s">
        <v>63</v>
      </c>
      <c r="O2228" t="s">
        <v>75</v>
      </c>
      <c r="P2228" t="s">
        <v>54</v>
      </c>
      <c r="R2228">
        <f>SUMIF(A2228:A7227,"C02227",I2228:I7227)</f>
        <v>699.51</v>
      </c>
      <c r="S2228" s="1">
        <v>146803.87</v>
      </c>
      <c r="T2228">
        <f t="shared" si="254"/>
        <v>77.7233333333333</v>
      </c>
      <c r="U2228">
        <f t="shared" si="255"/>
        <v>134.1</v>
      </c>
      <c r="V2228">
        <f t="shared" si="250"/>
        <v>11.175</v>
      </c>
      <c r="W2228">
        <f t="shared" si="252"/>
        <v>448.513333333333</v>
      </c>
      <c r="X2228">
        <f t="shared" si="256"/>
        <v>1.81852006883401</v>
      </c>
      <c r="AH2228" t="str">
        <f t="shared" si="253"/>
        <v>3rd Quality</v>
      </c>
      <c r="AJ2228">
        <f>((T2228-X2228)*2)/39.3</f>
        <v>3.86284036969462</v>
      </c>
      <c r="AK2228">
        <f t="shared" si="251"/>
        <v>91169.47</v>
      </c>
    </row>
    <row r="2229" spans="1:37">
      <c r="A2229" t="s">
        <v>2295</v>
      </c>
      <c r="B2229">
        <v>32</v>
      </c>
      <c r="C2229" t="s">
        <v>50</v>
      </c>
      <c r="D2229" t="s">
        <v>60</v>
      </c>
      <c r="E2229">
        <v>1408</v>
      </c>
      <c r="F2229">
        <v>11</v>
      </c>
      <c r="G2229">
        <v>26</v>
      </c>
      <c r="H2229">
        <v>6755.73</v>
      </c>
      <c r="I2229">
        <v>155121.6</v>
      </c>
      <c r="J2229">
        <v>108</v>
      </c>
      <c r="K2229">
        <v>2</v>
      </c>
      <c r="L2229">
        <v>17.5</v>
      </c>
      <c r="M2229">
        <v>80</v>
      </c>
      <c r="N2229" t="s">
        <v>63</v>
      </c>
      <c r="O2229" t="s">
        <v>75</v>
      </c>
      <c r="P2229" t="s">
        <v>48</v>
      </c>
      <c r="R2229">
        <f>SUMIF(A2229:A7228,"C02228",I2229:I7228)</f>
        <v>155121.6</v>
      </c>
      <c r="S2229" s="1">
        <v>28885.76</v>
      </c>
      <c r="T2229">
        <f t="shared" si="254"/>
        <v>1436.31111111111</v>
      </c>
      <c r="U2229">
        <f t="shared" si="255"/>
        <v>8640</v>
      </c>
      <c r="V2229">
        <f>U2229</f>
        <v>8640</v>
      </c>
      <c r="W2229">
        <f t="shared" si="252"/>
        <v>53959.4433333333</v>
      </c>
      <c r="X2229">
        <f t="shared" si="256"/>
        <v>0.208415670845342</v>
      </c>
      <c r="AH2229" t="str">
        <f t="shared" si="253"/>
        <v>1st Quality</v>
      </c>
      <c r="AJ2229">
        <f>((T2229-X2229)*2)/17.5</f>
        <v>164.12602233603</v>
      </c>
      <c r="AK2229">
        <f t="shared" si="251"/>
        <v>2022326.04444444</v>
      </c>
    </row>
    <row r="2230" spans="1:37">
      <c r="A2230" t="s">
        <v>2296</v>
      </c>
      <c r="B2230">
        <v>34</v>
      </c>
      <c r="C2230" t="s">
        <v>50</v>
      </c>
      <c r="D2230" t="s">
        <v>60</v>
      </c>
      <c r="E2230">
        <v>717</v>
      </c>
      <c r="F2230">
        <v>5</v>
      </c>
      <c r="G2230">
        <v>22</v>
      </c>
      <c r="H2230">
        <v>7238.87</v>
      </c>
      <c r="I2230">
        <v>146803.87</v>
      </c>
      <c r="J2230">
        <v>74</v>
      </c>
      <c r="K2230">
        <v>5</v>
      </c>
      <c r="L2230">
        <v>7.6</v>
      </c>
      <c r="M2230">
        <v>40.6</v>
      </c>
      <c r="N2230" t="s">
        <v>46</v>
      </c>
      <c r="O2230" t="s">
        <v>53</v>
      </c>
      <c r="P2230" t="s">
        <v>58</v>
      </c>
      <c r="R2230">
        <f>SUMIF(A2230:A7229,"C02229",I2230:I7229)</f>
        <v>146803.87</v>
      </c>
      <c r="S2230" s="1">
        <v>16174.47</v>
      </c>
      <c r="T2230">
        <f t="shared" si="254"/>
        <v>1983.83608108108</v>
      </c>
      <c r="U2230">
        <f t="shared" si="255"/>
        <v>3004.4</v>
      </c>
      <c r="V2230">
        <f>U2230</f>
        <v>3004.4</v>
      </c>
      <c r="W2230">
        <f t="shared" si="252"/>
        <v>51347.9133333333</v>
      </c>
      <c r="X2230">
        <f t="shared" si="256"/>
        <v>0.0990486084154018</v>
      </c>
      <c r="AH2230" t="str">
        <f t="shared" si="253"/>
        <v>2nd Quality</v>
      </c>
      <c r="AJ2230">
        <f>((T2230-X2230)*2)/7.6</f>
        <v>522.036061177017</v>
      </c>
      <c r="AK2230">
        <f t="shared" si="251"/>
        <v>1422410.47013514</v>
      </c>
    </row>
    <row r="2231" spans="1:37">
      <c r="A2231" t="s">
        <v>2297</v>
      </c>
      <c r="B2231">
        <v>44</v>
      </c>
      <c r="C2231" t="s">
        <v>44</v>
      </c>
      <c r="D2231" t="s">
        <v>45</v>
      </c>
      <c r="E2231">
        <v>1355</v>
      </c>
      <c r="F2231">
        <v>24</v>
      </c>
      <c r="G2231">
        <v>3</v>
      </c>
      <c r="H2231">
        <v>10044.86</v>
      </c>
      <c r="I2231">
        <v>28885.76</v>
      </c>
      <c r="J2231">
        <v>23</v>
      </c>
      <c r="K2231">
        <v>0</v>
      </c>
      <c r="L2231">
        <v>3.7</v>
      </c>
      <c r="M2231">
        <v>29.4</v>
      </c>
      <c r="N2231" t="s">
        <v>63</v>
      </c>
      <c r="O2231" t="s">
        <v>75</v>
      </c>
      <c r="P2231" t="s">
        <v>68</v>
      </c>
      <c r="R2231">
        <f>SUMIF(A2231:A7230,"C02230",I2231:I7230)</f>
        <v>28885.76</v>
      </c>
      <c r="S2231" s="1">
        <v>39970.35</v>
      </c>
      <c r="T2231">
        <f t="shared" si="254"/>
        <v>1255.90260869565</v>
      </c>
      <c r="U2231">
        <f t="shared" si="255"/>
        <v>676.2</v>
      </c>
      <c r="V2231">
        <f t="shared" si="250"/>
        <v>56.35</v>
      </c>
      <c r="W2231">
        <f t="shared" si="252"/>
        <v>12977.2066666667</v>
      </c>
      <c r="X2231">
        <f t="shared" si="256"/>
        <v>0.134894861650635</v>
      </c>
      <c r="AH2231" t="str">
        <f t="shared" si="253"/>
        <v>3rd Quality</v>
      </c>
      <c r="AJ2231">
        <f>((T2231-X2231)*2)/3.7</f>
        <v>678.793358829189</v>
      </c>
      <c r="AK2231">
        <f t="shared" si="251"/>
        <v>1701748.03478261</v>
      </c>
    </row>
    <row r="2232" spans="1:37">
      <c r="A2232" t="s">
        <v>2298</v>
      </c>
      <c r="B2232">
        <v>25</v>
      </c>
      <c r="C2232" t="s">
        <v>50</v>
      </c>
      <c r="D2232" t="s">
        <v>60</v>
      </c>
      <c r="E2232">
        <v>610</v>
      </c>
      <c r="F2232">
        <v>12</v>
      </c>
      <c r="G2232">
        <v>12</v>
      </c>
      <c r="H2232">
        <v>1274.96</v>
      </c>
      <c r="I2232">
        <v>16174.47</v>
      </c>
      <c r="J2232">
        <v>32</v>
      </c>
      <c r="K2232">
        <v>1</v>
      </c>
      <c r="L2232">
        <v>27.6</v>
      </c>
      <c r="M2232">
        <v>50.4</v>
      </c>
      <c r="N2232" t="s">
        <v>52</v>
      </c>
      <c r="O2232" t="s">
        <v>75</v>
      </c>
      <c r="P2232" t="s">
        <v>58</v>
      </c>
      <c r="R2232">
        <f>SUMIF(A2232:A7231,"C02231",I2232:I7231)</f>
        <v>16174.47</v>
      </c>
      <c r="S2232" s="1">
        <v>62971.5</v>
      </c>
      <c r="T2232">
        <f t="shared" si="254"/>
        <v>505.4521875</v>
      </c>
      <c r="U2232">
        <f t="shared" si="255"/>
        <v>1612.8</v>
      </c>
      <c r="V2232">
        <f>U2232</f>
        <v>1612.8</v>
      </c>
      <c r="W2232">
        <f t="shared" si="252"/>
        <v>5816.81</v>
      </c>
      <c r="X2232">
        <f t="shared" si="256"/>
        <v>0.478446382631612</v>
      </c>
      <c r="AH2232" t="str">
        <f t="shared" si="253"/>
        <v>3rd Quality</v>
      </c>
      <c r="AJ2232">
        <f>((T2232-X2232)*2)/27.6</f>
        <v>36.5923000809687</v>
      </c>
      <c r="AK2232">
        <f t="shared" si="251"/>
        <v>308325.834375</v>
      </c>
    </row>
    <row r="2233" spans="1:37">
      <c r="A2233" t="s">
        <v>2299</v>
      </c>
      <c r="B2233">
        <v>25</v>
      </c>
      <c r="C2233" t="s">
        <v>50</v>
      </c>
      <c r="D2233" t="s">
        <v>45</v>
      </c>
      <c r="E2233">
        <v>1096</v>
      </c>
      <c r="F2233">
        <v>3</v>
      </c>
      <c r="G2233">
        <v>3</v>
      </c>
      <c r="H2233">
        <v>13386.21</v>
      </c>
      <c r="I2233">
        <v>39970.35</v>
      </c>
      <c r="J2233">
        <v>16</v>
      </c>
      <c r="K2233">
        <v>1</v>
      </c>
      <c r="L2233">
        <v>4.4</v>
      </c>
      <c r="M2233">
        <v>38.9</v>
      </c>
      <c r="N2233" t="s">
        <v>57</v>
      </c>
      <c r="O2233" t="s">
        <v>47</v>
      </c>
      <c r="P2233" t="s">
        <v>58</v>
      </c>
      <c r="R2233">
        <f>SUMIF(A2233:A7232,"C02232",I2233:I7232)</f>
        <v>39970.35</v>
      </c>
      <c r="S2233" s="1">
        <v>801.55</v>
      </c>
      <c r="T2233">
        <f t="shared" si="254"/>
        <v>2498.146875</v>
      </c>
      <c r="U2233">
        <f t="shared" si="255"/>
        <v>622.4</v>
      </c>
      <c r="V2233">
        <f>U2233</f>
        <v>622.4</v>
      </c>
      <c r="W2233">
        <f t="shared" si="252"/>
        <v>17785.8533333333</v>
      </c>
      <c r="X2233">
        <f t="shared" si="256"/>
        <v>0.0818753030170601</v>
      </c>
      <c r="AH2233" t="str">
        <f t="shared" si="253"/>
        <v>1st Quality</v>
      </c>
      <c r="AJ2233">
        <f>((T2233-X2233)*2)/4.4</f>
        <v>1135.48409077136</v>
      </c>
      <c r="AK2233">
        <f t="shared" si="251"/>
        <v>2737968.975</v>
      </c>
    </row>
    <row r="2234" spans="1:37">
      <c r="A2234" t="s">
        <v>2300</v>
      </c>
      <c r="B2234">
        <v>20</v>
      </c>
      <c r="C2234" t="s">
        <v>44</v>
      </c>
      <c r="D2234" t="s">
        <v>60</v>
      </c>
      <c r="E2234">
        <v>457</v>
      </c>
      <c r="F2234">
        <v>9</v>
      </c>
      <c r="G2234">
        <v>25</v>
      </c>
      <c r="H2234">
        <v>2585.04</v>
      </c>
      <c r="I2234">
        <v>62971.5</v>
      </c>
      <c r="J2234">
        <v>209</v>
      </c>
      <c r="K2234">
        <v>0</v>
      </c>
      <c r="L2234">
        <v>17.4</v>
      </c>
      <c r="M2234">
        <v>10.8</v>
      </c>
      <c r="N2234" t="s">
        <v>61</v>
      </c>
      <c r="O2234" t="s">
        <v>53</v>
      </c>
      <c r="P2234" t="s">
        <v>58</v>
      </c>
      <c r="R2234">
        <f>SUMIF(A2234:A7233,"C02233",I2234:I7233)</f>
        <v>62971.5</v>
      </c>
      <c r="S2234" s="1">
        <v>631.82</v>
      </c>
      <c r="T2234">
        <f t="shared" si="254"/>
        <v>301.299043062201</v>
      </c>
      <c r="U2234">
        <f t="shared" si="255"/>
        <v>2257.2</v>
      </c>
      <c r="V2234">
        <f t="shared" si="250"/>
        <v>188.1</v>
      </c>
      <c r="W2234">
        <f t="shared" si="252"/>
        <v>21852.5133333333</v>
      </c>
      <c r="X2234">
        <f t="shared" si="256"/>
        <v>0.176786432705103</v>
      </c>
      <c r="AH2234" t="str">
        <f t="shared" si="253"/>
        <v>2nd Quality</v>
      </c>
      <c r="AJ2234">
        <f>((T2234-X2234)*2)/17.4</f>
        <v>34.6117536355742</v>
      </c>
      <c r="AK2234">
        <f t="shared" si="251"/>
        <v>137693.662679426</v>
      </c>
    </row>
    <row r="2235" spans="1:37">
      <c r="A2235" t="s">
        <v>2301</v>
      </c>
      <c r="B2235">
        <v>34</v>
      </c>
      <c r="C2235" t="s">
        <v>50</v>
      </c>
      <c r="D2235" t="s">
        <v>60</v>
      </c>
      <c r="E2235">
        <v>1416</v>
      </c>
      <c r="F2235">
        <v>329</v>
      </c>
      <c r="G2235">
        <v>1</v>
      </c>
      <c r="H2235">
        <v>728.35</v>
      </c>
      <c r="I2235">
        <v>801.55</v>
      </c>
      <c r="J2235">
        <v>9</v>
      </c>
      <c r="K2235">
        <v>0</v>
      </c>
      <c r="L2235">
        <v>17.8</v>
      </c>
      <c r="M2235">
        <v>17.7</v>
      </c>
      <c r="N2235" t="s">
        <v>78</v>
      </c>
      <c r="O2235" t="s">
        <v>47</v>
      </c>
      <c r="P2235" t="s">
        <v>66</v>
      </c>
      <c r="R2235">
        <f>SUMIF(A2235:A7234,"C02234",I2235:I7234)</f>
        <v>801.55</v>
      </c>
      <c r="S2235" s="1">
        <v>3411.62</v>
      </c>
      <c r="T2235">
        <f t="shared" si="254"/>
        <v>89.0611111111111</v>
      </c>
      <c r="U2235">
        <f t="shared" si="255"/>
        <v>159.3</v>
      </c>
      <c r="V2235">
        <f t="shared" si="250"/>
        <v>13.275</v>
      </c>
      <c r="W2235">
        <f t="shared" si="252"/>
        <v>510.3</v>
      </c>
      <c r="X2235">
        <f t="shared" si="256"/>
        <v>1.94412027184733</v>
      </c>
      <c r="AH2235" t="str">
        <f t="shared" si="253"/>
        <v>3rd Quality</v>
      </c>
      <c r="AJ2235">
        <f>((T2235-X2235)*2)/17.8</f>
        <v>9.78842593699593</v>
      </c>
      <c r="AK2235">
        <f t="shared" si="251"/>
        <v>126110.533333333</v>
      </c>
    </row>
    <row r="2236" spans="1:37">
      <c r="A2236" t="s">
        <v>2302</v>
      </c>
      <c r="B2236">
        <v>23</v>
      </c>
      <c r="C2236" t="s">
        <v>44</v>
      </c>
      <c r="D2236" t="s">
        <v>60</v>
      </c>
      <c r="E2236">
        <v>1230</v>
      </c>
      <c r="F2236">
        <v>25</v>
      </c>
      <c r="G2236">
        <v>2</v>
      </c>
      <c r="H2236">
        <v>297.63</v>
      </c>
      <c r="I2236">
        <v>631.82</v>
      </c>
      <c r="J2236">
        <v>20</v>
      </c>
      <c r="K2236">
        <v>0</v>
      </c>
      <c r="L2236">
        <v>34.6</v>
      </c>
      <c r="M2236">
        <v>15.4</v>
      </c>
      <c r="N2236" t="s">
        <v>61</v>
      </c>
      <c r="O2236" t="s">
        <v>47</v>
      </c>
      <c r="P2236" t="s">
        <v>48</v>
      </c>
      <c r="R2236">
        <f>SUMIF(A2236:A7235,"C02235",I2236:I7235)</f>
        <v>631.82</v>
      </c>
      <c r="S2236" s="1">
        <v>81740.97</v>
      </c>
      <c r="T2236">
        <f t="shared" si="254"/>
        <v>31.591</v>
      </c>
      <c r="U2236">
        <f t="shared" si="255"/>
        <v>308</v>
      </c>
      <c r="V2236">
        <f t="shared" si="250"/>
        <v>25.6666666666667</v>
      </c>
      <c r="W2236">
        <f t="shared" si="252"/>
        <v>310.15</v>
      </c>
      <c r="X2236">
        <f t="shared" si="256"/>
        <v>4.1326479185566</v>
      </c>
      <c r="AH2236" t="str">
        <f t="shared" si="253"/>
        <v>3rd Quality</v>
      </c>
      <c r="AJ2236">
        <f>((T2236-X2236)*2)/34.6</f>
        <v>1.58718798158632</v>
      </c>
      <c r="AK2236">
        <f t="shared" si="251"/>
        <v>38856.93</v>
      </c>
    </row>
    <row r="2237" spans="1:37">
      <c r="A2237" t="s">
        <v>2303</v>
      </c>
      <c r="B2237">
        <v>24</v>
      </c>
      <c r="C2237" t="s">
        <v>44</v>
      </c>
      <c r="D2237" t="s">
        <v>51</v>
      </c>
      <c r="E2237">
        <v>801</v>
      </c>
      <c r="F2237">
        <v>365</v>
      </c>
      <c r="G2237">
        <v>2</v>
      </c>
      <c r="H2237">
        <v>1653.11</v>
      </c>
      <c r="I2237">
        <v>3411.62</v>
      </c>
      <c r="J2237">
        <v>9</v>
      </c>
      <c r="K2237">
        <v>0</v>
      </c>
      <c r="L2237">
        <v>24.3</v>
      </c>
      <c r="M2237">
        <v>49.4</v>
      </c>
      <c r="N2237" t="s">
        <v>61</v>
      </c>
      <c r="O2237" t="s">
        <v>47</v>
      </c>
      <c r="P2237" t="s">
        <v>68</v>
      </c>
      <c r="R2237">
        <f>SUMIF(A2237:A7236,"C02236",I2237:I7236)</f>
        <v>3411.62</v>
      </c>
      <c r="S2237" s="1">
        <v>11801.74</v>
      </c>
      <c r="T2237">
        <f t="shared" si="254"/>
        <v>379.068888888889</v>
      </c>
      <c r="U2237">
        <f t="shared" si="255"/>
        <v>444.6</v>
      </c>
      <c r="V2237">
        <f t="shared" si="250"/>
        <v>37.05</v>
      </c>
      <c r="W2237">
        <f t="shared" si="252"/>
        <v>1688.57666666667</v>
      </c>
      <c r="X2237">
        <f t="shared" si="256"/>
        <v>0.484541258597432</v>
      </c>
      <c r="AH2237" t="str">
        <f t="shared" si="253"/>
        <v>3rd Quality</v>
      </c>
      <c r="AJ2237">
        <f>((T2237-X2237)*2)/24.3</f>
        <v>31.1592055662791</v>
      </c>
      <c r="AK2237">
        <f t="shared" si="251"/>
        <v>303634.18</v>
      </c>
    </row>
    <row r="2238" spans="1:37">
      <c r="A2238" t="s">
        <v>2304</v>
      </c>
      <c r="B2238">
        <v>36</v>
      </c>
      <c r="C2238" t="s">
        <v>101</v>
      </c>
      <c r="D2238" t="s">
        <v>60</v>
      </c>
      <c r="E2238">
        <v>1352</v>
      </c>
      <c r="F2238">
        <v>14</v>
      </c>
      <c r="G2238">
        <v>19</v>
      </c>
      <c r="H2238">
        <v>4473.92</v>
      </c>
      <c r="I2238">
        <v>81740.97</v>
      </c>
      <c r="J2238">
        <v>162</v>
      </c>
      <c r="K2238">
        <v>1</v>
      </c>
      <c r="L2238">
        <v>0</v>
      </c>
      <c r="M2238">
        <v>88.2</v>
      </c>
      <c r="N2238" t="s">
        <v>46</v>
      </c>
      <c r="O2238" t="s">
        <v>47</v>
      </c>
      <c r="P2238" t="s">
        <v>58</v>
      </c>
      <c r="R2238">
        <f>SUMIF(A2238:A7237,"C02237",I2238:I7237)</f>
        <v>81740.97</v>
      </c>
      <c r="S2238" s="1">
        <v>8638.59</v>
      </c>
      <c r="T2238">
        <f t="shared" si="254"/>
        <v>504.573888888889</v>
      </c>
      <c r="U2238">
        <f t="shared" si="255"/>
        <v>14288.4</v>
      </c>
      <c r="V2238">
        <f>U2238</f>
        <v>14288.4</v>
      </c>
      <c r="W2238">
        <f t="shared" si="252"/>
        <v>28738.63</v>
      </c>
      <c r="X2238">
        <f t="shared" si="256"/>
        <v>0.302195837207639</v>
      </c>
      <c r="AH2238" t="str">
        <f t="shared" si="253"/>
        <v>2nd Quality</v>
      </c>
      <c r="AJ2238">
        <f>((T2238-X2238)*2)</f>
        <v>1008.54338610336</v>
      </c>
      <c r="AK2238">
        <f t="shared" si="251"/>
        <v>682183.897777778</v>
      </c>
    </row>
    <row r="2239" spans="1:37">
      <c r="A2239" t="s">
        <v>2305</v>
      </c>
      <c r="B2239">
        <v>28</v>
      </c>
      <c r="C2239" t="s">
        <v>50</v>
      </c>
      <c r="D2239" t="s">
        <v>60</v>
      </c>
      <c r="E2239">
        <v>480</v>
      </c>
      <c r="F2239">
        <v>21</v>
      </c>
      <c r="G2239">
        <v>8</v>
      </c>
      <c r="H2239">
        <v>1358.23</v>
      </c>
      <c r="I2239">
        <v>11801.74</v>
      </c>
      <c r="J2239">
        <v>29</v>
      </c>
      <c r="K2239">
        <v>1</v>
      </c>
      <c r="L2239">
        <v>23</v>
      </c>
      <c r="M2239">
        <v>17.5</v>
      </c>
      <c r="N2239" t="s">
        <v>61</v>
      </c>
      <c r="O2239" t="s">
        <v>47</v>
      </c>
      <c r="P2239" t="s">
        <v>58</v>
      </c>
      <c r="R2239">
        <f>SUMIF(A2239:A7238,"C02238",I2239:I7238)</f>
        <v>11801.74</v>
      </c>
      <c r="S2239" s="1">
        <v>44581.23</v>
      </c>
      <c r="T2239">
        <f t="shared" si="254"/>
        <v>406.956551724138</v>
      </c>
      <c r="U2239">
        <f t="shared" si="255"/>
        <v>507.5</v>
      </c>
      <c r="V2239">
        <f>U2239</f>
        <v>507.5</v>
      </c>
      <c r="W2239">
        <f t="shared" si="252"/>
        <v>4386.99</v>
      </c>
      <c r="X2239">
        <f t="shared" si="256"/>
        <v>0.353401117631034</v>
      </c>
      <c r="AH2239" t="str">
        <f t="shared" si="253"/>
        <v>3rd Quality</v>
      </c>
      <c r="AJ2239">
        <f>((T2239-X2239)*2)/23</f>
        <v>35.3567957049137</v>
      </c>
      <c r="AK2239">
        <f t="shared" si="251"/>
        <v>195339.144827586</v>
      </c>
    </row>
    <row r="2240" spans="1:37">
      <c r="A2240" t="s">
        <v>2306</v>
      </c>
      <c r="B2240">
        <v>28</v>
      </c>
      <c r="C2240" t="s">
        <v>50</v>
      </c>
      <c r="D2240" t="s">
        <v>60</v>
      </c>
      <c r="E2240">
        <v>767</v>
      </c>
      <c r="F2240">
        <v>86</v>
      </c>
      <c r="G2240">
        <v>5</v>
      </c>
      <c r="H2240">
        <v>1836.55</v>
      </c>
      <c r="I2240">
        <v>8638.59</v>
      </c>
      <c r="J2240">
        <v>43</v>
      </c>
      <c r="K2240">
        <v>0</v>
      </c>
      <c r="L2240">
        <v>30</v>
      </c>
      <c r="M2240">
        <v>41.3</v>
      </c>
      <c r="N2240" t="s">
        <v>78</v>
      </c>
      <c r="O2240" t="s">
        <v>75</v>
      </c>
      <c r="P2240" t="s">
        <v>54</v>
      </c>
      <c r="R2240">
        <f>SUMIF(A2240:A7239,"C02239",I2240:I7239)</f>
        <v>8638.59</v>
      </c>
      <c r="S2240" s="1">
        <v>25854.89</v>
      </c>
      <c r="T2240">
        <f t="shared" si="254"/>
        <v>200.897441860465</v>
      </c>
      <c r="U2240">
        <f t="shared" si="255"/>
        <v>1775.9</v>
      </c>
      <c r="V2240">
        <f t="shared" si="250"/>
        <v>147.991666666667</v>
      </c>
      <c r="W2240">
        <f t="shared" si="252"/>
        <v>3492.04666666667</v>
      </c>
      <c r="X2240">
        <f t="shared" si="256"/>
        <v>0.417630883994446</v>
      </c>
      <c r="AH2240" t="str">
        <f t="shared" si="253"/>
        <v>3rd Quality</v>
      </c>
      <c r="AJ2240">
        <f>((T2240-X2240)*2)/30</f>
        <v>13.3653207317647</v>
      </c>
      <c r="AK2240">
        <f t="shared" si="251"/>
        <v>154088.337906977</v>
      </c>
    </row>
    <row r="2241" spans="1:37">
      <c r="A2241" t="s">
        <v>2307</v>
      </c>
      <c r="B2241">
        <v>39</v>
      </c>
      <c r="C2241" t="s">
        <v>44</v>
      </c>
      <c r="D2241" t="s">
        <v>45</v>
      </c>
      <c r="E2241">
        <v>863</v>
      </c>
      <c r="F2241">
        <v>56</v>
      </c>
      <c r="G2241">
        <v>3</v>
      </c>
      <c r="H2241">
        <v>13423.79</v>
      </c>
      <c r="I2241">
        <v>44581.23</v>
      </c>
      <c r="J2241">
        <v>10</v>
      </c>
      <c r="K2241">
        <v>1</v>
      </c>
      <c r="L2241">
        <v>0.4</v>
      </c>
      <c r="M2241">
        <v>2.6</v>
      </c>
      <c r="N2241" t="s">
        <v>63</v>
      </c>
      <c r="O2241" t="s">
        <v>47</v>
      </c>
      <c r="P2241" t="s">
        <v>68</v>
      </c>
      <c r="R2241">
        <f>SUMIF(A2241:A7240,"C02240",I2241:I7240)</f>
        <v>44581.23</v>
      </c>
      <c r="S2241" s="1">
        <v>81368.45</v>
      </c>
      <c r="T2241">
        <f t="shared" si="254"/>
        <v>4458.123</v>
      </c>
      <c r="U2241">
        <f t="shared" si="255"/>
        <v>26</v>
      </c>
      <c r="V2241">
        <f>U2241</f>
        <v>26</v>
      </c>
      <c r="W2241">
        <f t="shared" si="252"/>
        <v>19335.34</v>
      </c>
      <c r="X2241">
        <f t="shared" si="256"/>
        <v>0.0642888483803754</v>
      </c>
      <c r="AH2241" t="str">
        <f t="shared" si="253"/>
        <v>2nd Quality</v>
      </c>
      <c r="AJ2241">
        <f>((T2241-X2241)*2)/0.4</f>
        <v>22290.2935557581</v>
      </c>
      <c r="AK2241">
        <f t="shared" si="251"/>
        <v>3847360.149</v>
      </c>
    </row>
    <row r="2242" spans="1:37">
      <c r="A2242" t="s">
        <v>2308</v>
      </c>
      <c r="B2242">
        <v>25</v>
      </c>
      <c r="C2242" t="s">
        <v>44</v>
      </c>
      <c r="D2242" t="s">
        <v>51</v>
      </c>
      <c r="E2242">
        <v>1089</v>
      </c>
      <c r="F2242">
        <v>54</v>
      </c>
      <c r="G2242">
        <v>12</v>
      </c>
      <c r="H2242">
        <v>2285.99</v>
      </c>
      <c r="I2242">
        <v>25854.89</v>
      </c>
      <c r="J2242">
        <v>58</v>
      </c>
      <c r="K2242">
        <v>3</v>
      </c>
      <c r="L2242">
        <v>18.2</v>
      </c>
      <c r="M2242">
        <v>63.6</v>
      </c>
      <c r="N2242" t="s">
        <v>61</v>
      </c>
      <c r="O2242" t="s">
        <v>47</v>
      </c>
      <c r="P2242" t="s">
        <v>68</v>
      </c>
      <c r="R2242">
        <f>SUMIF(A2242:A7241,"C02241",I2242:I7241)</f>
        <v>25854.89</v>
      </c>
      <c r="S2242" s="1">
        <v>9889.49</v>
      </c>
      <c r="T2242">
        <f t="shared" si="254"/>
        <v>445.773965517241</v>
      </c>
      <c r="U2242">
        <f t="shared" si="255"/>
        <v>3688.8</v>
      </c>
      <c r="V2242">
        <f>U2242</f>
        <v>3688.8</v>
      </c>
      <c r="W2242">
        <f t="shared" si="252"/>
        <v>9380.62666666667</v>
      </c>
      <c r="X2242">
        <f t="shared" si="256"/>
        <v>0.476380036658078</v>
      </c>
      <c r="AH2242" t="str">
        <f t="shared" si="253"/>
        <v>2nd Quality</v>
      </c>
      <c r="AJ2242">
        <f>((T2242-X2242)*2)/18.2</f>
        <v>48.9338006022619</v>
      </c>
      <c r="AK2242">
        <f t="shared" si="251"/>
        <v>485447.848448276</v>
      </c>
    </row>
    <row r="2243" spans="1:37">
      <c r="A2243" t="s">
        <v>2309</v>
      </c>
      <c r="B2243">
        <v>38</v>
      </c>
      <c r="C2243" t="s">
        <v>44</v>
      </c>
      <c r="D2243" t="s">
        <v>60</v>
      </c>
      <c r="E2243">
        <v>1090</v>
      </c>
      <c r="F2243">
        <v>11</v>
      </c>
      <c r="G2243">
        <v>22</v>
      </c>
      <c r="H2243">
        <v>3434.71</v>
      </c>
      <c r="I2243">
        <v>81368.45</v>
      </c>
      <c r="J2243">
        <v>48</v>
      </c>
      <c r="K2243">
        <v>1</v>
      </c>
      <c r="L2243">
        <v>17.4</v>
      </c>
      <c r="M2243">
        <v>35.1</v>
      </c>
      <c r="N2243" t="s">
        <v>57</v>
      </c>
      <c r="O2243" t="s">
        <v>75</v>
      </c>
      <c r="P2243" t="s">
        <v>58</v>
      </c>
      <c r="R2243">
        <f>SUMIF(A2243:A7242,"C02242",I2243:I7242)</f>
        <v>81368.45</v>
      </c>
      <c r="S2243" s="1">
        <v>17414.19</v>
      </c>
      <c r="T2243">
        <f t="shared" si="254"/>
        <v>1695.17604166667</v>
      </c>
      <c r="U2243">
        <f t="shared" si="255"/>
        <v>1684.8</v>
      </c>
      <c r="V2243">
        <f>U2243</f>
        <v>1684.8</v>
      </c>
      <c r="W2243">
        <f t="shared" si="252"/>
        <v>28268.0533333333</v>
      </c>
      <c r="X2243">
        <f t="shared" si="256"/>
        <v>0.317348480657756</v>
      </c>
      <c r="AH2243" t="str">
        <f t="shared" si="253"/>
        <v>2nd Quality</v>
      </c>
      <c r="AJ2243">
        <f>((T2243-X2243)*2)/17.4</f>
        <v>194.811344044369</v>
      </c>
      <c r="AK2243">
        <f t="shared" ref="AK2243:AK2306" si="257">I2243/J2243*E2243</f>
        <v>1847741.88541667</v>
      </c>
    </row>
    <row r="2244" spans="1:37">
      <c r="A2244" t="s">
        <v>2310</v>
      </c>
      <c r="B2244">
        <v>46</v>
      </c>
      <c r="C2244" t="s">
        <v>50</v>
      </c>
      <c r="D2244" t="s">
        <v>60</v>
      </c>
      <c r="E2244">
        <v>427</v>
      </c>
      <c r="F2244">
        <v>22</v>
      </c>
      <c r="G2244">
        <v>6</v>
      </c>
      <c r="H2244">
        <v>1499.21</v>
      </c>
      <c r="I2244">
        <v>9889.49</v>
      </c>
      <c r="J2244">
        <v>51</v>
      </c>
      <c r="K2244">
        <v>0</v>
      </c>
      <c r="L2244">
        <v>32.7</v>
      </c>
      <c r="M2244">
        <v>23.5</v>
      </c>
      <c r="N2244" t="s">
        <v>81</v>
      </c>
      <c r="O2244" t="s">
        <v>75</v>
      </c>
      <c r="P2244" t="s">
        <v>58</v>
      </c>
      <c r="R2244">
        <f>SUMIF(A2244:A7243,"C02243",I2244:I7243)</f>
        <v>9889.49</v>
      </c>
      <c r="S2244" s="1">
        <v>4577.1</v>
      </c>
      <c r="T2244">
        <f t="shared" si="254"/>
        <v>193.911568627451</v>
      </c>
      <c r="U2244">
        <f t="shared" si="255"/>
        <v>1198.5</v>
      </c>
      <c r="V2244">
        <f t="shared" ref="V2241:V2304" si="258">U2244/12</f>
        <v>99.875</v>
      </c>
      <c r="W2244">
        <f t="shared" si="252"/>
        <v>3796.56666666667</v>
      </c>
      <c r="X2244">
        <f t="shared" si="256"/>
        <v>0.284816670112926</v>
      </c>
      <c r="AH2244" t="str">
        <f t="shared" si="253"/>
        <v>3rd Quality</v>
      </c>
      <c r="AJ2244">
        <f>((T2244-X2244)*2)/32.7</f>
        <v>11.8426147986139</v>
      </c>
      <c r="AK2244">
        <f t="shared" si="257"/>
        <v>82800.2398039216</v>
      </c>
    </row>
    <row r="2245" spans="1:37">
      <c r="A2245" t="s">
        <v>2311</v>
      </c>
      <c r="B2245">
        <v>27</v>
      </c>
      <c r="C2245" t="s">
        <v>50</v>
      </c>
      <c r="D2245" t="s">
        <v>45</v>
      </c>
      <c r="E2245">
        <v>1244</v>
      </c>
      <c r="F2245">
        <v>45</v>
      </c>
      <c r="G2245">
        <v>14</v>
      </c>
      <c r="H2245">
        <v>1331.25</v>
      </c>
      <c r="I2245">
        <v>17414.19</v>
      </c>
      <c r="J2245">
        <v>112</v>
      </c>
      <c r="K2245">
        <v>0</v>
      </c>
      <c r="L2245">
        <v>0</v>
      </c>
      <c r="M2245">
        <v>31.2</v>
      </c>
      <c r="N2245" t="s">
        <v>46</v>
      </c>
      <c r="O2245" t="s">
        <v>47</v>
      </c>
      <c r="P2245" t="s">
        <v>48</v>
      </c>
      <c r="R2245">
        <f>SUMIF(A2245:A7244,"C02244",I2245:I7244)</f>
        <v>17414.19</v>
      </c>
      <c r="S2245" s="1">
        <v>30072</v>
      </c>
      <c r="T2245">
        <f t="shared" si="254"/>
        <v>155.483839285714</v>
      </c>
      <c r="U2245">
        <f t="shared" si="255"/>
        <v>3494.4</v>
      </c>
      <c r="V2245">
        <f t="shared" si="258"/>
        <v>291.2</v>
      </c>
      <c r="W2245">
        <f t="shared" si="252"/>
        <v>6248.81333333333</v>
      </c>
      <c r="X2245">
        <f t="shared" si="256"/>
        <v>0.934460093896714</v>
      </c>
      <c r="AH2245" t="str">
        <f t="shared" si="253"/>
        <v>3rd Quality</v>
      </c>
      <c r="AJ2245">
        <f>((T2245-X2245)*2)</f>
        <v>309.098758383635</v>
      </c>
      <c r="AK2245">
        <f t="shared" si="257"/>
        <v>193421.896071429</v>
      </c>
    </row>
    <row r="2246" spans="1:37">
      <c r="A2246" t="s">
        <v>2312</v>
      </c>
      <c r="B2246">
        <v>44</v>
      </c>
      <c r="C2246" t="s">
        <v>44</v>
      </c>
      <c r="D2246" t="s">
        <v>51</v>
      </c>
      <c r="E2246">
        <v>527</v>
      </c>
      <c r="F2246">
        <v>38</v>
      </c>
      <c r="G2246">
        <v>4</v>
      </c>
      <c r="H2246">
        <v>1223.74</v>
      </c>
      <c r="I2246">
        <v>4577.1</v>
      </c>
      <c r="J2246">
        <v>37</v>
      </c>
      <c r="K2246">
        <v>0</v>
      </c>
      <c r="L2246">
        <v>30.4</v>
      </c>
      <c r="M2246">
        <v>15.8</v>
      </c>
      <c r="N2246" t="s">
        <v>81</v>
      </c>
      <c r="O2246" t="s">
        <v>47</v>
      </c>
      <c r="P2246" t="s">
        <v>58</v>
      </c>
      <c r="R2246">
        <f>SUMIF(A2246:A7245,"C02245",I2246:I7245)</f>
        <v>4577.1</v>
      </c>
      <c r="S2246" s="1">
        <v>18244.43</v>
      </c>
      <c r="T2246">
        <f t="shared" si="254"/>
        <v>123.705405405405</v>
      </c>
      <c r="U2246">
        <f t="shared" si="255"/>
        <v>584.6</v>
      </c>
      <c r="V2246">
        <f t="shared" si="258"/>
        <v>48.7166666666667</v>
      </c>
      <c r="W2246">
        <f t="shared" si="252"/>
        <v>1933.94666666667</v>
      </c>
      <c r="X2246">
        <f t="shared" si="256"/>
        <v>0.430647032866459</v>
      </c>
      <c r="AH2246" t="str">
        <f t="shared" si="253"/>
        <v>3rd Quality</v>
      </c>
      <c r="AJ2246">
        <f>((T2246-X2246)*2)/30.4</f>
        <v>8.11018147187754</v>
      </c>
      <c r="AK2246">
        <f t="shared" si="257"/>
        <v>65192.7486486487</v>
      </c>
    </row>
    <row r="2247" spans="1:37">
      <c r="A2247" t="s">
        <v>2313</v>
      </c>
      <c r="B2247">
        <v>22</v>
      </c>
      <c r="C2247" t="s">
        <v>50</v>
      </c>
      <c r="D2247" t="s">
        <v>60</v>
      </c>
      <c r="E2247">
        <v>1393</v>
      </c>
      <c r="F2247">
        <v>23</v>
      </c>
      <c r="G2247">
        <v>19</v>
      </c>
      <c r="H2247">
        <v>1760.82</v>
      </c>
      <c r="I2247">
        <v>30072</v>
      </c>
      <c r="J2247">
        <v>47</v>
      </c>
      <c r="K2247">
        <v>1</v>
      </c>
      <c r="L2247">
        <v>0</v>
      </c>
      <c r="M2247">
        <v>41.8</v>
      </c>
      <c r="N2247" t="s">
        <v>57</v>
      </c>
      <c r="O2247" t="s">
        <v>47</v>
      </c>
      <c r="P2247" t="s">
        <v>58</v>
      </c>
      <c r="R2247">
        <f>SUMIF(A2247:A7246,"C02246",I2247:I7246)</f>
        <v>30072</v>
      </c>
      <c r="S2247" s="1">
        <v>57479.86</v>
      </c>
      <c r="T2247">
        <f t="shared" si="254"/>
        <v>639.829787234043</v>
      </c>
      <c r="U2247">
        <f t="shared" si="255"/>
        <v>1964.6</v>
      </c>
      <c r="V2247">
        <f>U2247</f>
        <v>1964.6</v>
      </c>
      <c r="W2247">
        <f t="shared" si="252"/>
        <v>10611.2733333333</v>
      </c>
      <c r="X2247">
        <f t="shared" si="256"/>
        <v>0.791108687997637</v>
      </c>
      <c r="AH2247" t="str">
        <f t="shared" si="253"/>
        <v>2nd Quality</v>
      </c>
      <c r="AJ2247">
        <f>((T2247-X2247)*2)</f>
        <v>1278.07735709209</v>
      </c>
      <c r="AK2247">
        <f t="shared" si="257"/>
        <v>891282.893617021</v>
      </c>
    </row>
    <row r="2248" spans="1:37">
      <c r="A2248" t="s">
        <v>2314</v>
      </c>
      <c r="B2248">
        <v>55</v>
      </c>
      <c r="C2248" t="s">
        <v>56</v>
      </c>
      <c r="D2248" t="s">
        <v>60</v>
      </c>
      <c r="E2248">
        <v>816</v>
      </c>
      <c r="F2248">
        <v>51</v>
      </c>
      <c r="G2248">
        <v>9</v>
      </c>
      <c r="H2248">
        <v>2107.41</v>
      </c>
      <c r="I2248">
        <v>18244.43</v>
      </c>
      <c r="J2248">
        <v>69</v>
      </c>
      <c r="K2248">
        <v>1</v>
      </c>
      <c r="L2248">
        <v>21.6</v>
      </c>
      <c r="M2248">
        <v>45.2</v>
      </c>
      <c r="N2248" t="s">
        <v>61</v>
      </c>
      <c r="O2248" t="s">
        <v>75</v>
      </c>
      <c r="P2248" t="s">
        <v>58</v>
      </c>
      <c r="R2248">
        <f>SUMIF(A2248:A7247,"C02247",I2248:I7247)</f>
        <v>18244.43</v>
      </c>
      <c r="S2248" s="1">
        <v>9254.16</v>
      </c>
      <c r="T2248">
        <f t="shared" si="254"/>
        <v>264.412028985507</v>
      </c>
      <c r="U2248">
        <f t="shared" si="255"/>
        <v>3118.8</v>
      </c>
      <c r="V2248">
        <f>U2248</f>
        <v>3118.8</v>
      </c>
      <c r="W2248">
        <f t="shared" si="252"/>
        <v>6784.28</v>
      </c>
      <c r="X2248">
        <f t="shared" si="256"/>
        <v>0.387205147550785</v>
      </c>
      <c r="AH2248" t="str">
        <f t="shared" si="253"/>
        <v>3rd Quality</v>
      </c>
      <c r="AJ2248">
        <f>((T2248-X2248)*2)/21.6</f>
        <v>24.4467429479589</v>
      </c>
      <c r="AK2248">
        <f t="shared" si="257"/>
        <v>215760.215652174</v>
      </c>
    </row>
    <row r="2249" spans="1:37">
      <c r="A2249" t="s">
        <v>2315</v>
      </c>
      <c r="B2249">
        <v>39</v>
      </c>
      <c r="C2249" t="s">
        <v>44</v>
      </c>
      <c r="D2249" t="s">
        <v>45</v>
      </c>
      <c r="E2249">
        <v>934</v>
      </c>
      <c r="F2249">
        <v>22</v>
      </c>
      <c r="G2249">
        <v>7</v>
      </c>
      <c r="H2249">
        <v>8210.9</v>
      </c>
      <c r="I2249">
        <v>57479.86</v>
      </c>
      <c r="J2249">
        <v>35</v>
      </c>
      <c r="K2249">
        <v>0</v>
      </c>
      <c r="L2249">
        <v>0</v>
      </c>
      <c r="M2249">
        <v>62.8</v>
      </c>
      <c r="N2249" t="s">
        <v>81</v>
      </c>
      <c r="O2249" t="s">
        <v>47</v>
      </c>
      <c r="P2249" t="s">
        <v>58</v>
      </c>
      <c r="R2249">
        <f>SUMIF(A2249:A7248,"C02248",I2249:I7248)</f>
        <v>57479.86</v>
      </c>
      <c r="S2249" s="1">
        <v>11061.67</v>
      </c>
      <c r="T2249">
        <f t="shared" si="254"/>
        <v>1642.28171428571</v>
      </c>
      <c r="U2249">
        <f t="shared" si="255"/>
        <v>2198</v>
      </c>
      <c r="V2249">
        <f t="shared" si="258"/>
        <v>183.166666666667</v>
      </c>
      <c r="W2249">
        <f t="shared" ref="W2249:W2312" si="259">(H2249+I2249+1)/3</f>
        <v>21897.2533333333</v>
      </c>
      <c r="X2249">
        <f t="shared" si="256"/>
        <v>0.113751233116954</v>
      </c>
      <c r="AH2249" t="str">
        <f t="shared" si="253"/>
        <v>2nd Quality</v>
      </c>
      <c r="AJ2249">
        <f>((T2249-X2249)*2)</f>
        <v>3284.33592610519</v>
      </c>
      <c r="AK2249">
        <f t="shared" si="257"/>
        <v>1533891.12114286</v>
      </c>
    </row>
    <row r="2250" spans="1:37">
      <c r="A2250" t="s">
        <v>2316</v>
      </c>
      <c r="B2250">
        <v>28</v>
      </c>
      <c r="C2250" t="s">
        <v>50</v>
      </c>
      <c r="D2250" t="s">
        <v>45</v>
      </c>
      <c r="E2250">
        <v>796</v>
      </c>
      <c r="F2250">
        <v>26</v>
      </c>
      <c r="G2250">
        <v>9</v>
      </c>
      <c r="H2250">
        <v>1141.69</v>
      </c>
      <c r="I2250">
        <v>9254.16</v>
      </c>
      <c r="J2250">
        <v>25</v>
      </c>
      <c r="K2250">
        <v>1</v>
      </c>
      <c r="L2250">
        <v>18.2</v>
      </c>
      <c r="M2250">
        <v>13.9</v>
      </c>
      <c r="N2250" t="s">
        <v>57</v>
      </c>
      <c r="O2250" t="s">
        <v>53</v>
      </c>
      <c r="P2250" t="s">
        <v>58</v>
      </c>
      <c r="R2250">
        <f>SUMIF(A2250:A7249,"C02249",I2250:I7249)</f>
        <v>9254.16</v>
      </c>
      <c r="S2250" s="1">
        <v>39212.48</v>
      </c>
      <c r="T2250">
        <f t="shared" si="254"/>
        <v>370.1664</v>
      </c>
      <c r="U2250">
        <f t="shared" si="255"/>
        <v>347.5</v>
      </c>
      <c r="V2250">
        <f>U2250</f>
        <v>347.5</v>
      </c>
      <c r="W2250">
        <f t="shared" si="259"/>
        <v>3465.61666666667</v>
      </c>
      <c r="X2250">
        <f t="shared" si="256"/>
        <v>0.697212027783374</v>
      </c>
      <c r="AH2250" t="str">
        <f t="shared" si="253"/>
        <v>3rd Quality</v>
      </c>
      <c r="AJ2250">
        <f>((T2250-X2250)*2)/18.2</f>
        <v>40.6010096672765</v>
      </c>
      <c r="AK2250">
        <f t="shared" si="257"/>
        <v>294652.4544</v>
      </c>
    </row>
    <row r="2251" spans="1:37">
      <c r="A2251" t="s">
        <v>2317</v>
      </c>
      <c r="B2251">
        <v>45</v>
      </c>
      <c r="C2251" t="s">
        <v>50</v>
      </c>
      <c r="D2251" t="s">
        <v>60</v>
      </c>
      <c r="E2251">
        <v>777</v>
      </c>
      <c r="F2251">
        <v>17</v>
      </c>
      <c r="G2251">
        <v>11</v>
      </c>
      <c r="H2251">
        <v>1098.88</v>
      </c>
      <c r="I2251">
        <v>11061.67</v>
      </c>
      <c r="J2251">
        <v>72</v>
      </c>
      <c r="K2251">
        <v>2</v>
      </c>
      <c r="L2251">
        <v>22.7</v>
      </c>
      <c r="M2251">
        <v>8.4</v>
      </c>
      <c r="N2251" t="s">
        <v>78</v>
      </c>
      <c r="O2251" t="s">
        <v>47</v>
      </c>
      <c r="P2251" t="s">
        <v>58</v>
      </c>
      <c r="R2251">
        <f>SUMIF(A2251:A7250,"C02250",I2251:I7250)</f>
        <v>11061.67</v>
      </c>
      <c r="S2251" s="1">
        <v>3038.58</v>
      </c>
      <c r="T2251">
        <f t="shared" si="254"/>
        <v>153.634305555556</v>
      </c>
      <c r="U2251">
        <f t="shared" si="255"/>
        <v>604.8</v>
      </c>
      <c r="V2251">
        <f>U2251</f>
        <v>604.8</v>
      </c>
      <c r="W2251">
        <f t="shared" si="259"/>
        <v>4053.85</v>
      </c>
      <c r="X2251">
        <f t="shared" si="256"/>
        <v>0.707083576004659</v>
      </c>
      <c r="AH2251" t="str">
        <f t="shared" si="253"/>
        <v>3rd Quality</v>
      </c>
      <c r="AJ2251">
        <f>((T2251-X2251)*2)/22.7</f>
        <v>13.4737640510618</v>
      </c>
      <c r="AK2251">
        <f t="shared" si="257"/>
        <v>119373.855416667</v>
      </c>
    </row>
    <row r="2252" spans="1:37">
      <c r="A2252" t="s">
        <v>2318</v>
      </c>
      <c r="B2252">
        <v>23</v>
      </c>
      <c r="C2252" t="s">
        <v>56</v>
      </c>
      <c r="D2252" t="s">
        <v>60</v>
      </c>
      <c r="E2252">
        <v>861</v>
      </c>
      <c r="F2252">
        <v>33</v>
      </c>
      <c r="G2252">
        <v>7</v>
      </c>
      <c r="H2252">
        <v>5708.43</v>
      </c>
      <c r="I2252">
        <v>39212.48</v>
      </c>
      <c r="J2252">
        <v>37</v>
      </c>
      <c r="K2252">
        <v>0</v>
      </c>
      <c r="L2252">
        <v>9.7</v>
      </c>
      <c r="M2252">
        <v>18.4</v>
      </c>
      <c r="N2252" t="s">
        <v>61</v>
      </c>
      <c r="O2252" t="s">
        <v>47</v>
      </c>
      <c r="P2252" t="s">
        <v>68</v>
      </c>
      <c r="R2252">
        <f>SUMIF(A2252:A7251,"C02251",I2252:I7251)</f>
        <v>39212.48</v>
      </c>
      <c r="S2252" s="1">
        <v>17505.35</v>
      </c>
      <c r="T2252">
        <f t="shared" si="254"/>
        <v>1059.79675675676</v>
      </c>
      <c r="U2252">
        <f t="shared" si="255"/>
        <v>680.8</v>
      </c>
      <c r="V2252">
        <f>U2252/12</f>
        <v>56.7333333333333</v>
      </c>
      <c r="W2252">
        <f t="shared" si="259"/>
        <v>14973.97</v>
      </c>
      <c r="X2252">
        <f t="shared" si="256"/>
        <v>0.150829562594268</v>
      </c>
      <c r="AH2252" t="str">
        <f t="shared" si="253"/>
        <v>2nd Quality</v>
      </c>
      <c r="AJ2252">
        <f>((T2252-X2252)*2)/9.7</f>
        <v>218.483696328694</v>
      </c>
      <c r="AK2252">
        <f t="shared" si="257"/>
        <v>912485.007567568</v>
      </c>
    </row>
    <row r="2253" spans="1:37">
      <c r="A2253" t="s">
        <v>2319</v>
      </c>
      <c r="B2253">
        <v>18</v>
      </c>
      <c r="C2253" t="s">
        <v>50</v>
      </c>
      <c r="D2253" t="s">
        <v>60</v>
      </c>
      <c r="E2253">
        <v>677</v>
      </c>
      <c r="F2253">
        <v>61</v>
      </c>
      <c r="G2253">
        <v>4</v>
      </c>
      <c r="H2253">
        <v>822.81</v>
      </c>
      <c r="I2253">
        <v>3038.58</v>
      </c>
      <c r="J2253">
        <v>27</v>
      </c>
      <c r="K2253">
        <v>0</v>
      </c>
      <c r="L2253">
        <v>39</v>
      </c>
      <c r="M2253">
        <v>6.2</v>
      </c>
      <c r="N2253" t="s">
        <v>61</v>
      </c>
      <c r="O2253" t="s">
        <v>47</v>
      </c>
      <c r="P2253" t="s">
        <v>58</v>
      </c>
      <c r="R2253">
        <f>SUMIF(A2253:A7252,"C02252",I2253:I7252)</f>
        <v>3038.58</v>
      </c>
      <c r="S2253" s="1">
        <v>27827.68</v>
      </c>
      <c r="T2253">
        <f t="shared" si="254"/>
        <v>112.54</v>
      </c>
      <c r="U2253">
        <f t="shared" si="255"/>
        <v>167.4</v>
      </c>
      <c r="V2253">
        <f t="shared" si="258"/>
        <v>13.95</v>
      </c>
      <c r="W2253">
        <f t="shared" si="259"/>
        <v>1287.46333333333</v>
      </c>
      <c r="X2253">
        <f t="shared" si="256"/>
        <v>0.82279019457712</v>
      </c>
      <c r="AH2253" t="str">
        <f t="shared" si="253"/>
        <v>3rd Quality</v>
      </c>
      <c r="AJ2253">
        <f>((T2253-X2253)*2)/39</f>
        <v>5.72908768232938</v>
      </c>
      <c r="AK2253">
        <f t="shared" si="257"/>
        <v>76189.58</v>
      </c>
    </row>
    <row r="2254" spans="1:37">
      <c r="A2254" t="s">
        <v>2320</v>
      </c>
      <c r="B2254">
        <v>22</v>
      </c>
      <c r="C2254" t="s">
        <v>50</v>
      </c>
      <c r="D2254" t="s">
        <v>45</v>
      </c>
      <c r="E2254">
        <v>1357</v>
      </c>
      <c r="F2254">
        <v>10</v>
      </c>
      <c r="G2254">
        <v>10</v>
      </c>
      <c r="H2254">
        <v>1642.71</v>
      </c>
      <c r="I2254">
        <v>17505.35</v>
      </c>
      <c r="J2254">
        <v>45</v>
      </c>
      <c r="K2254">
        <v>0</v>
      </c>
      <c r="L2254">
        <v>12.6</v>
      </c>
      <c r="M2254">
        <v>12.2</v>
      </c>
      <c r="N2254" t="s">
        <v>81</v>
      </c>
      <c r="O2254" t="s">
        <v>75</v>
      </c>
      <c r="P2254" t="s">
        <v>58</v>
      </c>
      <c r="R2254">
        <f>SUMIF(A2254:A7253,"C02253",I2254:I7253)</f>
        <v>17505.35</v>
      </c>
      <c r="S2254" s="1">
        <v>2247.11</v>
      </c>
      <c r="T2254">
        <f t="shared" si="254"/>
        <v>389.007777777778</v>
      </c>
      <c r="U2254">
        <f t="shared" si="255"/>
        <v>549</v>
      </c>
      <c r="V2254">
        <f t="shared" si="258"/>
        <v>45.75</v>
      </c>
      <c r="W2254">
        <f t="shared" si="259"/>
        <v>6383.02</v>
      </c>
      <c r="X2254">
        <f t="shared" si="256"/>
        <v>0.826073987496271</v>
      </c>
      <c r="AH2254" t="str">
        <f t="shared" ref="AH2254:AH2317" si="260">IF(AND(W2254&gt;=12550,B2254&lt;=33,E2254&gt;=915),"1st Quality",IF(AND(W2254&gt;=6275,B2254&lt;=43,E2254&gt;=457),"2nd Quality","3rd Quality"))</f>
        <v>2nd Quality</v>
      </c>
      <c r="AJ2254">
        <f>((T2254-X2254)*2)/12.6</f>
        <v>61.6161434587749</v>
      </c>
      <c r="AK2254">
        <f t="shared" si="257"/>
        <v>527883.554444444</v>
      </c>
    </row>
    <row r="2255" spans="1:37">
      <c r="A2255" t="s">
        <v>2321</v>
      </c>
      <c r="B2255">
        <v>19</v>
      </c>
      <c r="C2255" t="s">
        <v>44</v>
      </c>
      <c r="D2255" t="s">
        <v>51</v>
      </c>
      <c r="E2255">
        <v>1032</v>
      </c>
      <c r="F2255">
        <v>53</v>
      </c>
      <c r="G2255">
        <v>4</v>
      </c>
      <c r="H2255">
        <v>7266.56</v>
      </c>
      <c r="I2255">
        <v>27827.68</v>
      </c>
      <c r="J2255">
        <v>17</v>
      </c>
      <c r="K2255">
        <v>0</v>
      </c>
      <c r="L2255">
        <v>14.1</v>
      </c>
      <c r="M2255">
        <v>45.3</v>
      </c>
      <c r="N2255" t="s">
        <v>63</v>
      </c>
      <c r="O2255" t="s">
        <v>47</v>
      </c>
      <c r="P2255" t="s">
        <v>68</v>
      </c>
      <c r="R2255">
        <f>SUMIF(A2255:A7254,"C02254",I2255:I7254)</f>
        <v>27827.68</v>
      </c>
      <c r="S2255" s="1">
        <v>30296.58</v>
      </c>
      <c r="T2255">
        <f t="shared" si="254"/>
        <v>1636.92235294118</v>
      </c>
      <c r="U2255">
        <f t="shared" si="255"/>
        <v>770.1</v>
      </c>
      <c r="V2255">
        <f t="shared" si="258"/>
        <v>64.175</v>
      </c>
      <c r="W2255">
        <f t="shared" si="259"/>
        <v>11698.4133333333</v>
      </c>
      <c r="X2255">
        <f t="shared" si="256"/>
        <v>0.142020433327462</v>
      </c>
      <c r="AH2255" t="str">
        <f t="shared" si="260"/>
        <v>2nd Quality</v>
      </c>
      <c r="AJ2255">
        <f>((T2255-X2255)*2)/14.1</f>
        <v>232.167423050759</v>
      </c>
      <c r="AK2255">
        <f t="shared" si="257"/>
        <v>1689303.86823529</v>
      </c>
    </row>
    <row r="2256" spans="1:37">
      <c r="A2256" t="s">
        <v>2322</v>
      </c>
      <c r="B2256">
        <v>18</v>
      </c>
      <c r="C2256" t="s">
        <v>50</v>
      </c>
      <c r="D2256" t="s">
        <v>51</v>
      </c>
      <c r="E2256">
        <v>864</v>
      </c>
      <c r="F2256">
        <v>125</v>
      </c>
      <c r="G2256">
        <v>1</v>
      </c>
      <c r="H2256">
        <v>2521.66</v>
      </c>
      <c r="I2256">
        <v>2247.11</v>
      </c>
      <c r="J2256">
        <v>12</v>
      </c>
      <c r="K2256">
        <v>0</v>
      </c>
      <c r="L2256">
        <v>15.1</v>
      </c>
      <c r="M2256">
        <v>18.4</v>
      </c>
      <c r="N2256" t="s">
        <v>61</v>
      </c>
      <c r="O2256" t="s">
        <v>53</v>
      </c>
      <c r="P2256" t="s">
        <v>48</v>
      </c>
      <c r="R2256">
        <f>SUMIF(A2256:A7255,"C02255",I2256:I7255)</f>
        <v>2247.11</v>
      </c>
      <c r="S2256" s="1">
        <v>905.61</v>
      </c>
      <c r="T2256">
        <f t="shared" si="254"/>
        <v>187.259166666667</v>
      </c>
      <c r="U2256">
        <f t="shared" si="255"/>
        <v>220.8</v>
      </c>
      <c r="V2256">
        <f t="shared" si="258"/>
        <v>18.4</v>
      </c>
      <c r="W2256">
        <f t="shared" si="259"/>
        <v>1589.92333333333</v>
      </c>
      <c r="X2256">
        <f t="shared" si="256"/>
        <v>0.3426314411935</v>
      </c>
      <c r="AH2256" t="str">
        <f t="shared" si="260"/>
        <v>3rd Quality</v>
      </c>
      <c r="AJ2256">
        <f>((T2256-X2256)*2)/15.1</f>
        <v>24.7571569835064</v>
      </c>
      <c r="AK2256">
        <f t="shared" si="257"/>
        <v>161791.92</v>
      </c>
    </row>
    <row r="2257" spans="1:37">
      <c r="A2257" t="s">
        <v>2323</v>
      </c>
      <c r="B2257">
        <v>41</v>
      </c>
      <c r="C2257" t="s">
        <v>101</v>
      </c>
      <c r="D2257" t="s">
        <v>60</v>
      </c>
      <c r="E2257">
        <v>1125</v>
      </c>
      <c r="F2257">
        <v>23</v>
      </c>
      <c r="G2257">
        <v>4</v>
      </c>
      <c r="H2257">
        <v>8258.93</v>
      </c>
      <c r="I2257">
        <v>30296.58</v>
      </c>
      <c r="J2257">
        <v>38</v>
      </c>
      <c r="K2257">
        <v>0</v>
      </c>
      <c r="L2257">
        <v>4.2</v>
      </c>
      <c r="M2257">
        <v>52.8</v>
      </c>
      <c r="N2257" t="s">
        <v>57</v>
      </c>
      <c r="O2257" t="s">
        <v>47</v>
      </c>
      <c r="P2257" t="s">
        <v>58</v>
      </c>
      <c r="R2257">
        <f>SUMIF(A2257:A7256,"C02256",I2257:I7256)</f>
        <v>30296.58</v>
      </c>
      <c r="S2257" s="1">
        <v>2621.61</v>
      </c>
      <c r="T2257">
        <f t="shared" si="254"/>
        <v>797.278421052632</v>
      </c>
      <c r="U2257">
        <f t="shared" si="255"/>
        <v>2006.4</v>
      </c>
      <c r="V2257">
        <f t="shared" si="258"/>
        <v>167.2</v>
      </c>
      <c r="W2257">
        <f t="shared" si="259"/>
        <v>12852.17</v>
      </c>
      <c r="X2257">
        <f t="shared" si="256"/>
        <v>0.136216192654496</v>
      </c>
      <c r="AH2257" t="str">
        <f t="shared" si="260"/>
        <v>2nd Quality</v>
      </c>
      <c r="AJ2257">
        <f>((T2257-X2257)*2)/4.2</f>
        <v>379.591526123799</v>
      </c>
      <c r="AK2257">
        <f t="shared" si="257"/>
        <v>896938.223684211</v>
      </c>
    </row>
    <row r="2258" spans="1:37">
      <c r="A2258" t="s">
        <v>2324</v>
      </c>
      <c r="B2258">
        <v>41</v>
      </c>
      <c r="C2258" t="s">
        <v>50</v>
      </c>
      <c r="D2258" t="s">
        <v>60</v>
      </c>
      <c r="E2258">
        <v>433</v>
      </c>
      <c r="F2258">
        <v>365</v>
      </c>
      <c r="G2258">
        <v>1</v>
      </c>
      <c r="H2258">
        <v>949.54</v>
      </c>
      <c r="I2258">
        <v>905.61</v>
      </c>
      <c r="J2258">
        <v>11</v>
      </c>
      <c r="K2258">
        <v>0</v>
      </c>
      <c r="L2258">
        <v>28.9</v>
      </c>
      <c r="M2258">
        <v>8.1</v>
      </c>
      <c r="N2258" t="s">
        <v>63</v>
      </c>
      <c r="O2258" t="s">
        <v>53</v>
      </c>
      <c r="P2258" t="s">
        <v>58</v>
      </c>
      <c r="R2258">
        <f>SUMIF(A2258:A7257,"C02257",I2258:I7257)</f>
        <v>905.61</v>
      </c>
      <c r="S2258" s="1">
        <v>83592.37</v>
      </c>
      <c r="T2258">
        <f t="shared" si="254"/>
        <v>82.3281818181818</v>
      </c>
      <c r="U2258">
        <f t="shared" si="255"/>
        <v>89.1</v>
      </c>
      <c r="V2258">
        <f t="shared" si="258"/>
        <v>7.425</v>
      </c>
      <c r="W2258">
        <f t="shared" si="259"/>
        <v>618.716666666667</v>
      </c>
      <c r="X2258">
        <f t="shared" si="256"/>
        <v>0.456010278661246</v>
      </c>
      <c r="AH2258" t="str">
        <f t="shared" si="260"/>
        <v>3rd Quality</v>
      </c>
      <c r="AJ2258">
        <f>((T2258-X2258)*2)/28.9</f>
        <v>5.66589422418827</v>
      </c>
      <c r="AK2258">
        <f t="shared" si="257"/>
        <v>35648.1027272727</v>
      </c>
    </row>
    <row r="2259" spans="1:37">
      <c r="A2259" t="s">
        <v>2325</v>
      </c>
      <c r="B2259">
        <v>26</v>
      </c>
      <c r="C2259" t="s">
        <v>50</v>
      </c>
      <c r="D2259" t="s">
        <v>45</v>
      </c>
      <c r="E2259">
        <v>1059</v>
      </c>
      <c r="F2259">
        <v>185</v>
      </c>
      <c r="G2259">
        <v>2</v>
      </c>
      <c r="H2259">
        <v>1432.59</v>
      </c>
      <c r="I2259">
        <v>2621.61</v>
      </c>
      <c r="J2259">
        <v>9</v>
      </c>
      <c r="K2259">
        <v>0</v>
      </c>
      <c r="L2259">
        <v>34.9</v>
      </c>
      <c r="M2259">
        <v>11</v>
      </c>
      <c r="N2259" t="s">
        <v>78</v>
      </c>
      <c r="O2259" t="s">
        <v>75</v>
      </c>
      <c r="P2259" t="s">
        <v>66</v>
      </c>
      <c r="R2259">
        <f>SUMIF(A2259:A7258,"C02258",I2259:I7258)</f>
        <v>2621.61</v>
      </c>
      <c r="S2259" s="1">
        <v>13937.35</v>
      </c>
      <c r="T2259">
        <f t="shared" si="254"/>
        <v>291.29</v>
      </c>
      <c r="U2259">
        <f t="shared" si="255"/>
        <v>99</v>
      </c>
      <c r="V2259">
        <f t="shared" si="258"/>
        <v>8.25</v>
      </c>
      <c r="W2259">
        <f t="shared" si="259"/>
        <v>1351.73333333333</v>
      </c>
      <c r="X2259">
        <f t="shared" si="256"/>
        <v>0.739220572529475</v>
      </c>
      <c r="AH2259" t="str">
        <f t="shared" si="260"/>
        <v>3rd Quality</v>
      </c>
      <c r="AJ2259">
        <f>((T2259-X2259)*2)/34.9</f>
        <v>16.6504744657576</v>
      </c>
      <c r="AK2259">
        <f t="shared" si="257"/>
        <v>308476.11</v>
      </c>
    </row>
    <row r="2260" spans="1:37">
      <c r="A2260" t="s">
        <v>2326</v>
      </c>
      <c r="B2260">
        <v>49</v>
      </c>
      <c r="C2260" t="s">
        <v>50</v>
      </c>
      <c r="D2260" t="s">
        <v>60</v>
      </c>
      <c r="E2260">
        <v>554</v>
      </c>
      <c r="F2260">
        <v>14</v>
      </c>
      <c r="G2260">
        <v>26</v>
      </c>
      <c r="H2260">
        <v>3450.66</v>
      </c>
      <c r="I2260">
        <v>83592.37</v>
      </c>
      <c r="J2260">
        <v>140</v>
      </c>
      <c r="K2260">
        <v>2</v>
      </c>
      <c r="L2260">
        <v>0</v>
      </c>
      <c r="M2260">
        <v>18.1</v>
      </c>
      <c r="N2260" t="s">
        <v>52</v>
      </c>
      <c r="O2260" t="s">
        <v>75</v>
      </c>
      <c r="P2260" t="s">
        <v>66</v>
      </c>
      <c r="R2260">
        <f>SUMIF(A2260:A7259,"C02259",I2260:I7259)</f>
        <v>83592.37</v>
      </c>
      <c r="S2260" s="1">
        <v>5837.02</v>
      </c>
      <c r="T2260">
        <f t="shared" si="254"/>
        <v>597.088357142857</v>
      </c>
      <c r="U2260">
        <f t="shared" si="255"/>
        <v>2534</v>
      </c>
      <c r="V2260">
        <f>U2260</f>
        <v>2534</v>
      </c>
      <c r="W2260">
        <f t="shared" si="259"/>
        <v>29014.6766666667</v>
      </c>
      <c r="X2260">
        <f t="shared" si="256"/>
        <v>0.160548996423873</v>
      </c>
      <c r="AH2260" t="str">
        <f t="shared" si="260"/>
        <v>3rd Quality</v>
      </c>
      <c r="AJ2260">
        <f>((T2260-X2260)*2)</f>
        <v>1193.85561629287</v>
      </c>
      <c r="AK2260">
        <f t="shared" si="257"/>
        <v>330786.949857143</v>
      </c>
    </row>
    <row r="2261" spans="1:37">
      <c r="A2261" t="s">
        <v>2327</v>
      </c>
      <c r="B2261">
        <v>20</v>
      </c>
      <c r="C2261" t="s">
        <v>50</v>
      </c>
      <c r="D2261" t="s">
        <v>45</v>
      </c>
      <c r="E2261">
        <v>582</v>
      </c>
      <c r="F2261">
        <v>40</v>
      </c>
      <c r="G2261">
        <v>8</v>
      </c>
      <c r="H2261">
        <v>1874.14</v>
      </c>
      <c r="I2261">
        <v>13937.35</v>
      </c>
      <c r="J2261">
        <v>50</v>
      </c>
      <c r="K2261">
        <v>0</v>
      </c>
      <c r="L2261">
        <v>21.5</v>
      </c>
      <c r="M2261">
        <v>27.6</v>
      </c>
      <c r="N2261" t="s">
        <v>46</v>
      </c>
      <c r="O2261" t="s">
        <v>47</v>
      </c>
      <c r="P2261" t="s">
        <v>68</v>
      </c>
      <c r="R2261">
        <f>SUMIF(A2261:A7260,"C02260",I2261:I7260)</f>
        <v>13937.35</v>
      </c>
      <c r="S2261" s="1">
        <v>1193.48</v>
      </c>
      <c r="T2261">
        <f t="shared" si="254"/>
        <v>278.747</v>
      </c>
      <c r="U2261">
        <f t="shared" si="255"/>
        <v>1380</v>
      </c>
      <c r="V2261">
        <f t="shared" si="258"/>
        <v>115</v>
      </c>
      <c r="W2261">
        <f t="shared" si="259"/>
        <v>5270.83</v>
      </c>
      <c r="X2261">
        <f t="shared" si="256"/>
        <v>0.310542435463733</v>
      </c>
      <c r="AH2261" t="str">
        <f t="shared" si="260"/>
        <v>3rd Quality</v>
      </c>
      <c r="AJ2261">
        <f>((T2261-X2261)*2)/21.5</f>
        <v>25.9010658199569</v>
      </c>
      <c r="AK2261">
        <f t="shared" si="257"/>
        <v>162230.754</v>
      </c>
    </row>
    <row r="2262" spans="1:37">
      <c r="A2262" t="s">
        <v>2328</v>
      </c>
      <c r="B2262">
        <v>46</v>
      </c>
      <c r="C2262" t="s">
        <v>50</v>
      </c>
      <c r="D2262" t="s">
        <v>60</v>
      </c>
      <c r="E2262">
        <v>1088</v>
      </c>
      <c r="F2262">
        <v>291</v>
      </c>
      <c r="G2262">
        <v>5</v>
      </c>
      <c r="H2262">
        <v>1190.64</v>
      </c>
      <c r="I2262">
        <v>5837.02</v>
      </c>
      <c r="J2262">
        <v>43</v>
      </c>
      <c r="K2262">
        <v>0</v>
      </c>
      <c r="L2262">
        <v>23.8</v>
      </c>
      <c r="M2262">
        <v>26.6</v>
      </c>
      <c r="N2262" t="s">
        <v>57</v>
      </c>
      <c r="O2262" t="s">
        <v>47</v>
      </c>
      <c r="P2262" t="s">
        <v>58</v>
      </c>
      <c r="R2262">
        <f>SUMIF(A2262:A7261,"C02261",I2262:I7261)</f>
        <v>5837.02</v>
      </c>
      <c r="S2262" s="1">
        <v>17095.64</v>
      </c>
      <c r="T2262">
        <f t="shared" ref="T2262:T2325" si="261">I2262/J2262</f>
        <v>135.744651162791</v>
      </c>
      <c r="U2262">
        <f t="shared" si="255"/>
        <v>1143.8</v>
      </c>
      <c r="V2262">
        <f t="shared" si="258"/>
        <v>95.3166666666667</v>
      </c>
      <c r="W2262">
        <f t="shared" si="259"/>
        <v>2342.88666666667</v>
      </c>
      <c r="X2262">
        <f t="shared" si="256"/>
        <v>0.913794261909561</v>
      </c>
      <c r="AH2262" t="str">
        <f t="shared" si="260"/>
        <v>3rd Quality</v>
      </c>
      <c r="AJ2262">
        <f>((T2262-X2262)*2)/23.8</f>
        <v>11.3303241093178</v>
      </c>
      <c r="AK2262">
        <f t="shared" si="257"/>
        <v>147690.180465116</v>
      </c>
    </row>
    <row r="2263" spans="1:37">
      <c r="A2263" t="s">
        <v>2329</v>
      </c>
      <c r="B2263">
        <v>23</v>
      </c>
      <c r="C2263" t="s">
        <v>44</v>
      </c>
      <c r="D2263" t="s">
        <v>45</v>
      </c>
      <c r="E2263">
        <v>856</v>
      </c>
      <c r="F2263">
        <v>165</v>
      </c>
      <c r="G2263">
        <v>1</v>
      </c>
      <c r="H2263">
        <v>1186.62</v>
      </c>
      <c r="I2263">
        <v>1193.48</v>
      </c>
      <c r="J2263">
        <v>15</v>
      </c>
      <c r="K2263">
        <v>0</v>
      </c>
      <c r="L2263">
        <v>14</v>
      </c>
      <c r="M2263">
        <v>63.7</v>
      </c>
      <c r="N2263" t="s">
        <v>61</v>
      </c>
      <c r="O2263" t="s">
        <v>47</v>
      </c>
      <c r="P2263" t="s">
        <v>68</v>
      </c>
      <c r="R2263">
        <f>SUMIF(A2263:A7262,"C02262",I2263:I7262)</f>
        <v>1193.48</v>
      </c>
      <c r="S2263" s="1">
        <v>187432.23</v>
      </c>
      <c r="T2263">
        <f t="shared" si="261"/>
        <v>79.5653333333333</v>
      </c>
      <c r="U2263">
        <f t="shared" si="255"/>
        <v>955.5</v>
      </c>
      <c r="V2263">
        <f t="shared" si="258"/>
        <v>79.625</v>
      </c>
      <c r="W2263">
        <f t="shared" si="259"/>
        <v>793.7</v>
      </c>
      <c r="X2263">
        <f t="shared" si="256"/>
        <v>0.721376683352716</v>
      </c>
      <c r="AH2263" t="str">
        <f t="shared" si="260"/>
        <v>3rd Quality</v>
      </c>
      <c r="AJ2263">
        <f>((T2263-X2263)*2)/14</f>
        <v>11.2634223785687</v>
      </c>
      <c r="AK2263">
        <f t="shared" si="257"/>
        <v>68107.9253333333</v>
      </c>
    </row>
    <row r="2264" spans="1:37">
      <c r="A2264" t="s">
        <v>2330</v>
      </c>
      <c r="B2264">
        <v>36</v>
      </c>
      <c r="C2264" t="s">
        <v>50</v>
      </c>
      <c r="D2264" t="s">
        <v>60</v>
      </c>
      <c r="E2264">
        <v>563</v>
      </c>
      <c r="F2264">
        <v>17</v>
      </c>
      <c r="G2264">
        <v>15</v>
      </c>
      <c r="H2264">
        <v>1107.14</v>
      </c>
      <c r="I2264">
        <v>17095.64</v>
      </c>
      <c r="J2264">
        <v>128</v>
      </c>
      <c r="K2264">
        <v>0</v>
      </c>
      <c r="L2264">
        <v>21.1</v>
      </c>
      <c r="M2264">
        <v>23</v>
      </c>
      <c r="N2264" t="s">
        <v>63</v>
      </c>
      <c r="O2264" t="s">
        <v>47</v>
      </c>
      <c r="P2264" t="s">
        <v>48</v>
      </c>
      <c r="R2264">
        <f>SUMIF(A2264:A7263,"C02263",I2264:I7263)</f>
        <v>17095.64</v>
      </c>
      <c r="S2264" s="1">
        <v>79767.52</v>
      </c>
      <c r="T2264">
        <f t="shared" si="261"/>
        <v>133.5596875</v>
      </c>
      <c r="U2264">
        <f t="shared" si="255"/>
        <v>2944</v>
      </c>
      <c r="V2264">
        <f t="shared" si="258"/>
        <v>245.333333333333</v>
      </c>
      <c r="W2264">
        <f t="shared" si="259"/>
        <v>6067.92666666667</v>
      </c>
      <c r="X2264">
        <f t="shared" si="256"/>
        <v>0.508517441335332</v>
      </c>
      <c r="AH2264" t="str">
        <f t="shared" si="260"/>
        <v>3rd Quality</v>
      </c>
      <c r="AJ2264">
        <f>((T2264-X2264)*2)/21.1</f>
        <v>12.6114853136175</v>
      </c>
      <c r="AK2264">
        <f t="shared" si="257"/>
        <v>75194.1040625</v>
      </c>
    </row>
    <row r="2265" spans="1:37">
      <c r="A2265" t="s">
        <v>2331</v>
      </c>
      <c r="B2265">
        <v>28</v>
      </c>
      <c r="C2265" t="s">
        <v>50</v>
      </c>
      <c r="D2265" t="s">
        <v>45</v>
      </c>
      <c r="E2265">
        <v>451</v>
      </c>
      <c r="F2265">
        <v>23</v>
      </c>
      <c r="G2265">
        <v>36</v>
      </c>
      <c r="H2265">
        <v>4740.67</v>
      </c>
      <c r="I2265">
        <v>187432.23</v>
      </c>
      <c r="J2265">
        <v>188</v>
      </c>
      <c r="K2265">
        <v>4</v>
      </c>
      <c r="L2265">
        <v>12.2</v>
      </c>
      <c r="M2265">
        <v>52.8</v>
      </c>
      <c r="N2265" t="s">
        <v>78</v>
      </c>
      <c r="O2265" t="s">
        <v>47</v>
      </c>
      <c r="P2265" t="s">
        <v>58</v>
      </c>
      <c r="R2265">
        <f>SUMIF(A2265:A7264,"C02264",I2265:I7264)</f>
        <v>187432.23</v>
      </c>
      <c r="S2265" s="1">
        <v>79060.03</v>
      </c>
      <c r="T2265">
        <f t="shared" si="261"/>
        <v>996.979946808511</v>
      </c>
      <c r="U2265">
        <f t="shared" si="255"/>
        <v>9926.4</v>
      </c>
      <c r="V2265">
        <f>U2265</f>
        <v>9926.4</v>
      </c>
      <c r="W2265">
        <f t="shared" si="259"/>
        <v>64057.9666666667</v>
      </c>
      <c r="X2265">
        <f t="shared" si="256"/>
        <v>0.0951342320811193</v>
      </c>
      <c r="AH2265" t="str">
        <f t="shared" si="260"/>
        <v>3rd Quality</v>
      </c>
      <c r="AJ2265">
        <f>((T2265-X2265)*2)/12.2</f>
        <v>163.423739766628</v>
      </c>
      <c r="AK2265">
        <f t="shared" si="257"/>
        <v>449637.956010638</v>
      </c>
    </row>
    <row r="2266" spans="1:37">
      <c r="A2266" t="s">
        <v>2332</v>
      </c>
      <c r="B2266">
        <v>32</v>
      </c>
      <c r="C2266" t="s">
        <v>44</v>
      </c>
      <c r="D2266" t="s">
        <v>45</v>
      </c>
      <c r="E2266">
        <v>1035</v>
      </c>
      <c r="F2266">
        <v>42</v>
      </c>
      <c r="G2266">
        <v>4</v>
      </c>
      <c r="H2266">
        <v>19080.64</v>
      </c>
      <c r="I2266">
        <v>79767.52</v>
      </c>
      <c r="J2266">
        <v>30</v>
      </c>
      <c r="K2266">
        <v>0</v>
      </c>
      <c r="L2266">
        <v>0</v>
      </c>
      <c r="M2266">
        <v>12.5</v>
      </c>
      <c r="N2266" t="s">
        <v>81</v>
      </c>
      <c r="O2266" t="s">
        <v>75</v>
      </c>
      <c r="P2266" t="s">
        <v>48</v>
      </c>
      <c r="R2266">
        <f>SUMIF(A2266:A7265,"C02265",I2266:I7265)</f>
        <v>79767.52</v>
      </c>
      <c r="S2266" s="1">
        <v>2646.33</v>
      </c>
      <c r="T2266">
        <f t="shared" si="261"/>
        <v>2658.91733333333</v>
      </c>
      <c r="U2266">
        <f t="shared" si="255"/>
        <v>375</v>
      </c>
      <c r="V2266">
        <f t="shared" si="258"/>
        <v>31.25</v>
      </c>
      <c r="W2266">
        <f t="shared" si="259"/>
        <v>32949.72</v>
      </c>
      <c r="X2266">
        <f t="shared" si="256"/>
        <v>0.0542434635316216</v>
      </c>
      <c r="AH2266" t="str">
        <f t="shared" si="260"/>
        <v>1st Quality</v>
      </c>
      <c r="AJ2266">
        <f>((T2266-X2266)*2)</f>
        <v>5317.7261797396</v>
      </c>
      <c r="AK2266">
        <f t="shared" si="257"/>
        <v>2751979.44</v>
      </c>
    </row>
    <row r="2267" spans="1:37">
      <c r="A2267" t="s">
        <v>2333</v>
      </c>
      <c r="B2267">
        <v>35</v>
      </c>
      <c r="C2267" t="s">
        <v>50</v>
      </c>
      <c r="D2267" t="s">
        <v>45</v>
      </c>
      <c r="E2267">
        <v>937</v>
      </c>
      <c r="F2267">
        <v>4</v>
      </c>
      <c r="G2267">
        <v>26</v>
      </c>
      <c r="H2267">
        <v>3277.89</v>
      </c>
      <c r="I2267">
        <v>79060.03</v>
      </c>
      <c r="J2267">
        <v>214</v>
      </c>
      <c r="K2267">
        <v>2</v>
      </c>
      <c r="L2267">
        <v>7.4</v>
      </c>
      <c r="M2267">
        <v>21.1</v>
      </c>
      <c r="N2267" t="s">
        <v>78</v>
      </c>
      <c r="O2267" t="s">
        <v>75</v>
      </c>
      <c r="P2267" t="s">
        <v>58</v>
      </c>
      <c r="R2267">
        <f>SUMIF(A2267:A7266,"C02266",I2267:I7266)</f>
        <v>79060.03</v>
      </c>
      <c r="S2267" s="1">
        <v>37990.86</v>
      </c>
      <c r="T2267">
        <f t="shared" si="261"/>
        <v>369.439392523364</v>
      </c>
      <c r="U2267">
        <f t="shared" si="255"/>
        <v>4515.4</v>
      </c>
      <c r="V2267">
        <f>U2267</f>
        <v>4515.4</v>
      </c>
      <c r="W2267">
        <f t="shared" si="259"/>
        <v>27446.3066666667</v>
      </c>
      <c r="X2267">
        <f t="shared" si="256"/>
        <v>0.285854619892675</v>
      </c>
      <c r="AH2267" t="str">
        <f t="shared" si="260"/>
        <v>2nd Quality</v>
      </c>
      <c r="AJ2267">
        <f>((T2267-X2267)*2)/7.4</f>
        <v>99.7712264603976</v>
      </c>
      <c r="AK2267">
        <f t="shared" si="257"/>
        <v>346164.710794393</v>
      </c>
    </row>
    <row r="2268" spans="1:37">
      <c r="A2268" t="s">
        <v>2334</v>
      </c>
      <c r="B2268">
        <v>28</v>
      </c>
      <c r="C2268" t="s">
        <v>50</v>
      </c>
      <c r="D2268" t="s">
        <v>45</v>
      </c>
      <c r="E2268">
        <v>629</v>
      </c>
      <c r="F2268">
        <v>133</v>
      </c>
      <c r="G2268">
        <v>4</v>
      </c>
      <c r="H2268">
        <v>669.75</v>
      </c>
      <c r="I2268">
        <v>2646.33</v>
      </c>
      <c r="J2268">
        <v>21</v>
      </c>
      <c r="K2268">
        <v>0</v>
      </c>
      <c r="L2268">
        <v>26.2</v>
      </c>
      <c r="M2268">
        <v>21.2</v>
      </c>
      <c r="N2268" t="s">
        <v>81</v>
      </c>
      <c r="O2268" t="s">
        <v>47</v>
      </c>
      <c r="P2268" t="s">
        <v>68</v>
      </c>
      <c r="R2268">
        <f>SUMIF(A2268:A7267,"C02267",I2268:I7267)</f>
        <v>2646.33</v>
      </c>
      <c r="S2268" s="1">
        <v>2715.01</v>
      </c>
      <c r="T2268">
        <f t="shared" si="261"/>
        <v>126.015714285714</v>
      </c>
      <c r="U2268">
        <f t="shared" si="255"/>
        <v>445.2</v>
      </c>
      <c r="V2268">
        <f t="shared" si="258"/>
        <v>37.1</v>
      </c>
      <c r="W2268">
        <f t="shared" si="259"/>
        <v>1105.69333333333</v>
      </c>
      <c r="X2268">
        <f t="shared" si="256"/>
        <v>0.939156401642404</v>
      </c>
      <c r="AH2268" t="str">
        <f t="shared" si="260"/>
        <v>3rd Quality</v>
      </c>
      <c r="AJ2268">
        <f>((T2268-X2268)*2)/26.2</f>
        <v>9.54782884611233</v>
      </c>
      <c r="AK2268">
        <f t="shared" si="257"/>
        <v>79263.8842857143</v>
      </c>
    </row>
    <row r="2269" spans="1:37">
      <c r="A2269" t="s">
        <v>2335</v>
      </c>
      <c r="B2269">
        <v>32</v>
      </c>
      <c r="C2269" t="s">
        <v>50</v>
      </c>
      <c r="D2269" t="s">
        <v>60</v>
      </c>
      <c r="E2269">
        <v>603</v>
      </c>
      <c r="F2269">
        <v>6</v>
      </c>
      <c r="G2269">
        <v>2</v>
      </c>
      <c r="H2269">
        <v>18003.74</v>
      </c>
      <c r="I2269">
        <v>37990.86</v>
      </c>
      <c r="J2269">
        <v>22</v>
      </c>
      <c r="K2269">
        <v>0</v>
      </c>
      <c r="L2269">
        <v>8.7</v>
      </c>
      <c r="M2269">
        <v>12.8</v>
      </c>
      <c r="N2269" t="s">
        <v>78</v>
      </c>
      <c r="O2269" t="s">
        <v>47</v>
      </c>
      <c r="P2269" t="s">
        <v>58</v>
      </c>
      <c r="R2269">
        <f>SUMIF(A2269:A7268,"C02268",I2269:I7268)</f>
        <v>37990.86</v>
      </c>
      <c r="S2269" s="1">
        <v>1773.5</v>
      </c>
      <c r="T2269">
        <f t="shared" si="261"/>
        <v>1726.85727272727</v>
      </c>
      <c r="U2269">
        <f t="shared" si="255"/>
        <v>281.6</v>
      </c>
      <c r="V2269">
        <f t="shared" si="258"/>
        <v>23.4666666666667</v>
      </c>
      <c r="W2269">
        <f t="shared" si="259"/>
        <v>18665.2</v>
      </c>
      <c r="X2269">
        <f t="shared" si="256"/>
        <v>0.0334930408903928</v>
      </c>
      <c r="AH2269" t="str">
        <f t="shared" si="260"/>
        <v>2nd Quality</v>
      </c>
      <c r="AJ2269">
        <f>((T2269-X2269)*2)/8.7</f>
        <v>396.970983835949</v>
      </c>
      <c r="AK2269">
        <f t="shared" si="257"/>
        <v>1041294.93545455</v>
      </c>
    </row>
    <row r="2270" spans="1:37">
      <c r="A2270" t="s">
        <v>2336</v>
      </c>
      <c r="B2270">
        <v>25</v>
      </c>
      <c r="C2270" t="s">
        <v>50</v>
      </c>
      <c r="D2270" t="s">
        <v>60</v>
      </c>
      <c r="E2270">
        <v>1180</v>
      </c>
      <c r="F2270">
        <v>188</v>
      </c>
      <c r="G2270">
        <v>4</v>
      </c>
      <c r="H2270">
        <v>669.89</v>
      </c>
      <c r="I2270">
        <v>2715.01</v>
      </c>
      <c r="J2270">
        <v>39</v>
      </c>
      <c r="K2270">
        <v>2</v>
      </c>
      <c r="L2270">
        <v>28.6</v>
      </c>
      <c r="M2270">
        <v>23.3</v>
      </c>
      <c r="N2270" t="s">
        <v>57</v>
      </c>
      <c r="O2270" t="s">
        <v>75</v>
      </c>
      <c r="P2270" t="s">
        <v>68</v>
      </c>
      <c r="R2270">
        <f>SUMIF(A2270:A7269,"C02269",I2270:I7269)</f>
        <v>2715.01</v>
      </c>
      <c r="S2270" s="1">
        <v>60422.95</v>
      </c>
      <c r="T2270">
        <f t="shared" si="261"/>
        <v>69.615641025641</v>
      </c>
      <c r="U2270">
        <f t="shared" si="255"/>
        <v>908.7</v>
      </c>
      <c r="V2270">
        <f>U2270</f>
        <v>908.7</v>
      </c>
      <c r="W2270">
        <f t="shared" si="259"/>
        <v>1128.63333333333</v>
      </c>
      <c r="X2270">
        <f t="shared" si="256"/>
        <v>1.76148322858977</v>
      </c>
      <c r="AH2270" t="str">
        <f t="shared" si="260"/>
        <v>3rd Quality</v>
      </c>
      <c r="AJ2270">
        <f>((T2270-X2270)*2)/28.6</f>
        <v>4.74504599979379</v>
      </c>
      <c r="AK2270">
        <f t="shared" si="257"/>
        <v>82146.4564102564</v>
      </c>
    </row>
    <row r="2271" spans="1:37">
      <c r="A2271" t="s">
        <v>2337</v>
      </c>
      <c r="B2271">
        <v>19</v>
      </c>
      <c r="C2271" t="s">
        <v>50</v>
      </c>
      <c r="D2271" t="s">
        <v>45</v>
      </c>
      <c r="E2271">
        <v>1340</v>
      </c>
      <c r="F2271">
        <v>242</v>
      </c>
      <c r="G2271">
        <v>1</v>
      </c>
      <c r="H2271">
        <v>1926.37</v>
      </c>
      <c r="I2271">
        <v>1773.5</v>
      </c>
      <c r="J2271">
        <v>13</v>
      </c>
      <c r="K2271">
        <v>0</v>
      </c>
      <c r="L2271">
        <v>23.6</v>
      </c>
      <c r="M2271">
        <v>54.2</v>
      </c>
      <c r="N2271" t="s">
        <v>57</v>
      </c>
      <c r="O2271" t="s">
        <v>47</v>
      </c>
      <c r="P2271" t="s">
        <v>48</v>
      </c>
      <c r="R2271">
        <f>SUMIF(A2271:A7270,"C02270",I2271:I7270)</f>
        <v>1773.5</v>
      </c>
      <c r="S2271" s="1">
        <v>19513.29</v>
      </c>
      <c r="T2271">
        <f t="shared" si="261"/>
        <v>136.423076923077</v>
      </c>
      <c r="U2271">
        <f t="shared" si="255"/>
        <v>704.6</v>
      </c>
      <c r="V2271">
        <f t="shared" si="258"/>
        <v>58.7166666666667</v>
      </c>
      <c r="W2271">
        <f t="shared" si="259"/>
        <v>1233.62333333333</v>
      </c>
      <c r="X2271">
        <f t="shared" si="256"/>
        <v>0.695608839423371</v>
      </c>
      <c r="AH2271" t="str">
        <f t="shared" si="260"/>
        <v>3rd Quality</v>
      </c>
      <c r="AJ2271">
        <f>((T2271-X2271)*2)/23.6</f>
        <v>11.5023278036995</v>
      </c>
      <c r="AK2271">
        <f t="shared" si="257"/>
        <v>182806.923076923</v>
      </c>
    </row>
    <row r="2272" spans="1:37">
      <c r="A2272" t="s">
        <v>2338</v>
      </c>
      <c r="B2272">
        <v>18</v>
      </c>
      <c r="C2272" t="s">
        <v>50</v>
      </c>
      <c r="D2272" t="s">
        <v>45</v>
      </c>
      <c r="E2272">
        <v>1392</v>
      </c>
      <c r="F2272">
        <v>38</v>
      </c>
      <c r="G2272">
        <v>7</v>
      </c>
      <c r="H2272">
        <v>8074.69</v>
      </c>
      <c r="I2272">
        <v>60422.95</v>
      </c>
      <c r="J2272">
        <v>21</v>
      </c>
      <c r="K2272">
        <v>0</v>
      </c>
      <c r="L2272">
        <v>7.8</v>
      </c>
      <c r="M2272">
        <v>26.9</v>
      </c>
      <c r="N2272" t="s">
        <v>61</v>
      </c>
      <c r="O2272" t="s">
        <v>53</v>
      </c>
      <c r="P2272" t="s">
        <v>58</v>
      </c>
      <c r="R2272">
        <f>SUMIF(A2272:A7271,"C02271",I2272:I7271)</f>
        <v>60422.95</v>
      </c>
      <c r="S2272" s="1">
        <v>571.29</v>
      </c>
      <c r="T2272">
        <f t="shared" si="261"/>
        <v>2877.28333333333</v>
      </c>
      <c r="U2272">
        <f t="shared" si="255"/>
        <v>564.9</v>
      </c>
      <c r="V2272">
        <f t="shared" si="258"/>
        <v>47.075</v>
      </c>
      <c r="W2272">
        <f t="shared" si="259"/>
        <v>22832.88</v>
      </c>
      <c r="X2272">
        <f t="shared" si="256"/>
        <v>0.172390519016829</v>
      </c>
      <c r="AH2272" t="str">
        <f t="shared" si="260"/>
        <v>1st Quality</v>
      </c>
      <c r="AJ2272">
        <f>((T2272-X2272)*2)/7.8</f>
        <v>737.720754567773</v>
      </c>
      <c r="AK2272">
        <f t="shared" si="257"/>
        <v>4005178.4</v>
      </c>
    </row>
    <row r="2273" spans="1:37">
      <c r="A2273" t="s">
        <v>2339</v>
      </c>
      <c r="B2273">
        <v>35</v>
      </c>
      <c r="C2273" t="s">
        <v>44</v>
      </c>
      <c r="D2273" t="s">
        <v>60</v>
      </c>
      <c r="E2273">
        <v>1251</v>
      </c>
      <c r="F2273">
        <v>40</v>
      </c>
      <c r="G2273">
        <v>2</v>
      </c>
      <c r="H2273">
        <v>10522.75</v>
      </c>
      <c r="I2273">
        <v>19513.29</v>
      </c>
      <c r="J2273">
        <v>13</v>
      </c>
      <c r="K2273">
        <v>0</v>
      </c>
      <c r="L2273">
        <v>10.2</v>
      </c>
      <c r="M2273">
        <v>4.4</v>
      </c>
      <c r="N2273" t="s">
        <v>61</v>
      </c>
      <c r="O2273" t="s">
        <v>47</v>
      </c>
      <c r="P2273" t="s">
        <v>58</v>
      </c>
      <c r="R2273">
        <f>SUMIF(A2273:A7272,"C02272",I2273:I7272)</f>
        <v>19513.29</v>
      </c>
      <c r="S2273" s="1">
        <v>1557.08</v>
      </c>
      <c r="T2273">
        <f t="shared" si="261"/>
        <v>1501.02230769231</v>
      </c>
      <c r="U2273">
        <f t="shared" si="255"/>
        <v>57.2</v>
      </c>
      <c r="V2273">
        <f t="shared" si="258"/>
        <v>4.76666666666667</v>
      </c>
      <c r="W2273">
        <f t="shared" si="259"/>
        <v>10012.3466666667</v>
      </c>
      <c r="X2273">
        <f t="shared" si="256"/>
        <v>0.118885272386021</v>
      </c>
      <c r="AH2273" t="str">
        <f t="shared" si="260"/>
        <v>2nd Quality</v>
      </c>
      <c r="AJ2273">
        <f>((T2273-X2273)*2)/10.2</f>
        <v>294.294788709789</v>
      </c>
      <c r="AK2273">
        <f t="shared" si="257"/>
        <v>1877778.90692308</v>
      </c>
    </row>
    <row r="2274" spans="1:37">
      <c r="A2274" t="s">
        <v>2340</v>
      </c>
      <c r="B2274">
        <v>53</v>
      </c>
      <c r="C2274" t="s">
        <v>44</v>
      </c>
      <c r="D2274" t="s">
        <v>51</v>
      </c>
      <c r="E2274">
        <v>628</v>
      </c>
      <c r="F2274">
        <v>132</v>
      </c>
      <c r="G2274">
        <v>1</v>
      </c>
      <c r="H2274">
        <v>593.46</v>
      </c>
      <c r="I2274">
        <v>571.29</v>
      </c>
      <c r="J2274">
        <v>13</v>
      </c>
      <c r="K2274">
        <v>0</v>
      </c>
      <c r="L2274">
        <v>30.6</v>
      </c>
      <c r="M2274">
        <v>50.3</v>
      </c>
      <c r="N2274" t="s">
        <v>61</v>
      </c>
      <c r="O2274" t="s">
        <v>47</v>
      </c>
      <c r="P2274" t="s">
        <v>58</v>
      </c>
      <c r="R2274">
        <f>SUMIF(A2274:A7273,"C02273",I2274:I7273)</f>
        <v>571.29</v>
      </c>
      <c r="S2274" s="1">
        <v>1490.32</v>
      </c>
      <c r="T2274">
        <f t="shared" si="261"/>
        <v>43.9453846153846</v>
      </c>
      <c r="U2274">
        <f t="shared" ref="U2274:U2337" si="262">J2274*M2274</f>
        <v>653.9</v>
      </c>
      <c r="V2274">
        <f t="shared" si="258"/>
        <v>54.4916666666667</v>
      </c>
      <c r="W2274">
        <f t="shared" si="259"/>
        <v>388.583333333333</v>
      </c>
      <c r="X2274">
        <f t="shared" si="256"/>
        <v>1.05820105820106</v>
      </c>
      <c r="AH2274" t="str">
        <f t="shared" si="260"/>
        <v>3rd Quality</v>
      </c>
      <c r="AJ2274">
        <f>((T2274-X2274)*2)/30.6</f>
        <v>2.80308389262637</v>
      </c>
      <c r="AK2274">
        <f t="shared" si="257"/>
        <v>27597.7015384615</v>
      </c>
    </row>
    <row r="2275" spans="1:37">
      <c r="A2275" t="s">
        <v>2341</v>
      </c>
      <c r="B2275">
        <v>25</v>
      </c>
      <c r="C2275" t="s">
        <v>44</v>
      </c>
      <c r="D2275" t="s">
        <v>45</v>
      </c>
      <c r="E2275">
        <v>1168</v>
      </c>
      <c r="F2275">
        <v>86</v>
      </c>
      <c r="G2275">
        <v>2</v>
      </c>
      <c r="H2275">
        <v>737.2</v>
      </c>
      <c r="I2275">
        <v>1557.08</v>
      </c>
      <c r="J2275">
        <v>27</v>
      </c>
      <c r="K2275">
        <v>0</v>
      </c>
      <c r="L2275">
        <v>21</v>
      </c>
      <c r="M2275">
        <v>53.9</v>
      </c>
      <c r="N2275" t="s">
        <v>46</v>
      </c>
      <c r="O2275" t="s">
        <v>47</v>
      </c>
      <c r="P2275" t="s">
        <v>54</v>
      </c>
      <c r="R2275">
        <f>SUMIF(A2275:A7274,"C02274",I2275:I7274)</f>
        <v>1557.08</v>
      </c>
      <c r="S2275" s="1">
        <v>94526.62</v>
      </c>
      <c r="T2275">
        <f t="shared" si="261"/>
        <v>57.6696296296296</v>
      </c>
      <c r="U2275">
        <f t="shared" si="262"/>
        <v>1455.3</v>
      </c>
      <c r="V2275">
        <f t="shared" si="258"/>
        <v>121.275</v>
      </c>
      <c r="W2275">
        <f t="shared" si="259"/>
        <v>765.093333333333</v>
      </c>
      <c r="X2275">
        <f t="shared" si="256"/>
        <v>1.58437330439501</v>
      </c>
      <c r="AH2275" t="str">
        <f t="shared" si="260"/>
        <v>3rd Quality</v>
      </c>
      <c r="AJ2275">
        <f>((T2275-X2275)*2)/21</f>
        <v>5.34145298335568</v>
      </c>
      <c r="AK2275">
        <f t="shared" si="257"/>
        <v>67358.1274074074</v>
      </c>
    </row>
    <row r="2276" spans="1:37">
      <c r="A2276" t="s">
        <v>2342</v>
      </c>
      <c r="B2276">
        <v>41</v>
      </c>
      <c r="C2276" t="s">
        <v>50</v>
      </c>
      <c r="D2276" t="s">
        <v>51</v>
      </c>
      <c r="E2276">
        <v>791</v>
      </c>
      <c r="F2276">
        <v>208</v>
      </c>
      <c r="G2276">
        <v>1</v>
      </c>
      <c r="H2276">
        <v>1339.44</v>
      </c>
      <c r="I2276">
        <v>1490.32</v>
      </c>
      <c r="J2276">
        <v>13</v>
      </c>
      <c r="K2276">
        <v>0</v>
      </c>
      <c r="L2276">
        <v>14.4</v>
      </c>
      <c r="M2276">
        <v>17.9</v>
      </c>
      <c r="N2276" t="s">
        <v>61</v>
      </c>
      <c r="O2276" t="s">
        <v>75</v>
      </c>
      <c r="P2276" t="s">
        <v>48</v>
      </c>
      <c r="R2276">
        <f>SUMIF(A2276:A7275,"C02275",I2276:I7275)</f>
        <v>1490.32</v>
      </c>
      <c r="S2276" s="1">
        <v>67485.46</v>
      </c>
      <c r="T2276">
        <f t="shared" si="261"/>
        <v>114.64</v>
      </c>
      <c r="U2276">
        <f t="shared" si="262"/>
        <v>232.7</v>
      </c>
      <c r="V2276">
        <f t="shared" si="258"/>
        <v>19.3916666666667</v>
      </c>
      <c r="W2276">
        <f t="shared" si="259"/>
        <v>943.586666666667</v>
      </c>
      <c r="X2276">
        <f t="shared" si="256"/>
        <v>0.590545302514484</v>
      </c>
      <c r="AH2276" t="str">
        <f t="shared" si="260"/>
        <v>3rd Quality</v>
      </c>
      <c r="AJ2276">
        <f>((T2276-X2276)*2)/14.4</f>
        <v>15.8402020413174</v>
      </c>
      <c r="AK2276">
        <f t="shared" si="257"/>
        <v>90680.24</v>
      </c>
    </row>
    <row r="2277" spans="1:37">
      <c r="A2277" t="s">
        <v>2343</v>
      </c>
      <c r="B2277">
        <v>45</v>
      </c>
      <c r="C2277" t="s">
        <v>50</v>
      </c>
      <c r="D2277" t="s">
        <v>60</v>
      </c>
      <c r="E2277">
        <v>492</v>
      </c>
      <c r="F2277">
        <v>6</v>
      </c>
      <c r="G2277">
        <v>21</v>
      </c>
      <c r="H2277">
        <v>4115.67</v>
      </c>
      <c r="I2277">
        <v>94526.62</v>
      </c>
      <c r="J2277">
        <v>177</v>
      </c>
      <c r="K2277">
        <v>0</v>
      </c>
      <c r="L2277">
        <v>4.3</v>
      </c>
      <c r="M2277">
        <v>42.5</v>
      </c>
      <c r="N2277" t="s">
        <v>63</v>
      </c>
      <c r="O2277" t="s">
        <v>53</v>
      </c>
      <c r="P2277" t="s">
        <v>58</v>
      </c>
      <c r="R2277">
        <f>SUMIF(A2277:A7276,"C02276",I2277:I7276)</f>
        <v>94526.62</v>
      </c>
      <c r="S2277" s="1">
        <v>104646.53</v>
      </c>
      <c r="T2277">
        <f t="shared" si="261"/>
        <v>534.048700564972</v>
      </c>
      <c r="U2277">
        <f t="shared" si="262"/>
        <v>7522.5</v>
      </c>
      <c r="V2277">
        <f t="shared" si="258"/>
        <v>626.875</v>
      </c>
      <c r="W2277">
        <f t="shared" si="259"/>
        <v>32881.0966666667</v>
      </c>
      <c r="X2277">
        <f t="shared" si="256"/>
        <v>0.119543112057089</v>
      </c>
      <c r="AH2277" t="str">
        <f t="shared" si="260"/>
        <v>3rd Quality</v>
      </c>
      <c r="AJ2277">
        <f>((T2277-X2277)*2)/4.3</f>
        <v>248.339143001356</v>
      </c>
      <c r="AK2277">
        <f t="shared" si="257"/>
        <v>262751.960677966</v>
      </c>
    </row>
    <row r="2278" spans="1:37">
      <c r="A2278" t="s">
        <v>2344</v>
      </c>
      <c r="B2278">
        <v>29</v>
      </c>
      <c r="C2278" t="s">
        <v>44</v>
      </c>
      <c r="D2278" t="s">
        <v>60</v>
      </c>
      <c r="E2278">
        <v>554</v>
      </c>
      <c r="F2278">
        <v>33</v>
      </c>
      <c r="G2278">
        <v>6</v>
      </c>
      <c r="H2278">
        <v>10107.86</v>
      </c>
      <c r="I2278">
        <v>67485.46</v>
      </c>
      <c r="J2278">
        <v>43</v>
      </c>
      <c r="K2278">
        <v>0</v>
      </c>
      <c r="L2278">
        <v>11.3</v>
      </c>
      <c r="M2278">
        <v>10.2</v>
      </c>
      <c r="N2278" t="s">
        <v>81</v>
      </c>
      <c r="O2278" t="s">
        <v>47</v>
      </c>
      <c r="P2278" t="s">
        <v>66</v>
      </c>
      <c r="R2278">
        <f>SUMIF(A2278:A7277,"C02277",I2278:I7277)</f>
        <v>67485.46</v>
      </c>
      <c r="S2278" s="1">
        <v>1223.02</v>
      </c>
      <c r="T2278">
        <f t="shared" si="261"/>
        <v>1569.42930232558</v>
      </c>
      <c r="U2278">
        <f t="shared" si="262"/>
        <v>438.6</v>
      </c>
      <c r="V2278">
        <f t="shared" si="258"/>
        <v>36.55</v>
      </c>
      <c r="W2278">
        <f t="shared" si="259"/>
        <v>25864.7733333333</v>
      </c>
      <c r="X2278">
        <f t="shared" si="256"/>
        <v>0.0548088319387091</v>
      </c>
      <c r="AH2278" t="str">
        <f t="shared" si="260"/>
        <v>2nd Quality</v>
      </c>
      <c r="AJ2278">
        <f>((T2278-X2278)*2)/11.3</f>
        <v>277.765397078521</v>
      </c>
      <c r="AK2278">
        <f t="shared" si="257"/>
        <v>869463.833488372</v>
      </c>
    </row>
    <row r="2279" spans="1:37">
      <c r="A2279" t="s">
        <v>2345</v>
      </c>
      <c r="B2279">
        <v>26</v>
      </c>
      <c r="C2279" t="s">
        <v>50</v>
      </c>
      <c r="D2279" t="s">
        <v>45</v>
      </c>
      <c r="E2279">
        <v>857</v>
      </c>
      <c r="F2279">
        <v>9</v>
      </c>
      <c r="G2279">
        <v>24</v>
      </c>
      <c r="H2279">
        <v>4471.07</v>
      </c>
      <c r="I2279">
        <v>104646.53</v>
      </c>
      <c r="J2279">
        <v>154</v>
      </c>
      <c r="K2279">
        <v>2</v>
      </c>
      <c r="L2279">
        <v>15</v>
      </c>
      <c r="M2279">
        <v>46.9</v>
      </c>
      <c r="N2279" t="s">
        <v>61</v>
      </c>
      <c r="O2279" t="s">
        <v>47</v>
      </c>
      <c r="P2279" t="s">
        <v>58</v>
      </c>
      <c r="R2279">
        <f>SUMIF(A2279:A7278,"C02278",I2279:I7278)</f>
        <v>104646.53</v>
      </c>
      <c r="S2279" s="1">
        <v>32265.61</v>
      </c>
      <c r="T2279">
        <f t="shared" si="261"/>
        <v>679.522922077922</v>
      </c>
      <c r="U2279">
        <f t="shared" si="262"/>
        <v>7222.6</v>
      </c>
      <c r="V2279">
        <f>U2279</f>
        <v>7222.6</v>
      </c>
      <c r="W2279">
        <f t="shared" si="259"/>
        <v>36372.8666666667</v>
      </c>
      <c r="X2279">
        <f t="shared" si="256"/>
        <v>0.191676712733194</v>
      </c>
      <c r="AH2279" t="str">
        <f t="shared" si="260"/>
        <v>2nd Quality</v>
      </c>
      <c r="AJ2279">
        <f>((T2279-X2279)*2)/15</f>
        <v>90.5774993820252</v>
      </c>
      <c r="AK2279">
        <f t="shared" si="257"/>
        <v>582351.144220779</v>
      </c>
    </row>
    <row r="2280" spans="1:37">
      <c r="A2280" t="s">
        <v>2346</v>
      </c>
      <c r="B2280">
        <v>37</v>
      </c>
      <c r="C2280" t="s">
        <v>50</v>
      </c>
      <c r="D2280" t="s">
        <v>51</v>
      </c>
      <c r="E2280">
        <v>675</v>
      </c>
      <c r="F2280">
        <v>218</v>
      </c>
      <c r="G2280">
        <v>1</v>
      </c>
      <c r="H2280">
        <v>1242.14</v>
      </c>
      <c r="I2280">
        <v>1223.02</v>
      </c>
      <c r="J2280">
        <v>11</v>
      </c>
      <c r="K2280">
        <v>0</v>
      </c>
      <c r="L2280">
        <v>16.4</v>
      </c>
      <c r="M2280">
        <v>46</v>
      </c>
      <c r="N2280" t="s">
        <v>63</v>
      </c>
      <c r="O2280" t="s">
        <v>47</v>
      </c>
      <c r="P2280" t="s">
        <v>58</v>
      </c>
      <c r="R2280">
        <f>SUMIF(A2280:A7279,"C02279",I2280:I7279)</f>
        <v>1223.02</v>
      </c>
      <c r="S2280" s="1">
        <v>22108.72</v>
      </c>
      <c r="T2280">
        <f t="shared" si="261"/>
        <v>111.183636363636</v>
      </c>
      <c r="U2280">
        <f t="shared" si="262"/>
        <v>506</v>
      </c>
      <c r="V2280">
        <f t="shared" si="258"/>
        <v>42.1666666666667</v>
      </c>
      <c r="W2280">
        <f t="shared" si="259"/>
        <v>822.053333333333</v>
      </c>
      <c r="X2280">
        <f t="shared" si="256"/>
        <v>0.543417006134574</v>
      </c>
      <c r="AH2280" t="str">
        <f t="shared" si="260"/>
        <v>3rd Quality</v>
      </c>
      <c r="AJ2280">
        <f>((T2280-X2280)*2)/16.4</f>
        <v>13.4927096777441</v>
      </c>
      <c r="AK2280">
        <f t="shared" si="257"/>
        <v>75048.9545454545</v>
      </c>
    </row>
    <row r="2281" spans="1:37">
      <c r="A2281" t="s">
        <v>2347</v>
      </c>
      <c r="B2281">
        <v>42</v>
      </c>
      <c r="C2281" t="s">
        <v>50</v>
      </c>
      <c r="D2281" t="s">
        <v>60</v>
      </c>
      <c r="E2281">
        <v>566</v>
      </c>
      <c r="F2281">
        <v>8</v>
      </c>
      <c r="G2281">
        <v>4</v>
      </c>
      <c r="H2281">
        <v>8776.52</v>
      </c>
      <c r="I2281">
        <v>32265.61</v>
      </c>
      <c r="J2281">
        <v>25</v>
      </c>
      <c r="K2281">
        <v>0</v>
      </c>
      <c r="L2281">
        <v>7</v>
      </c>
      <c r="M2281">
        <v>43.6</v>
      </c>
      <c r="N2281" t="s">
        <v>63</v>
      </c>
      <c r="O2281" t="s">
        <v>47</v>
      </c>
      <c r="P2281" t="s">
        <v>58</v>
      </c>
      <c r="R2281">
        <f>SUMIF(A2281:A7280,"C02280",I2281:I7280)</f>
        <v>32265.61</v>
      </c>
      <c r="S2281" s="1">
        <v>156194.32</v>
      </c>
      <c r="T2281">
        <f t="shared" si="261"/>
        <v>1290.6244</v>
      </c>
      <c r="U2281">
        <f t="shared" si="262"/>
        <v>1090</v>
      </c>
      <c r="V2281">
        <f t="shared" si="258"/>
        <v>90.8333333333333</v>
      </c>
      <c r="W2281">
        <f t="shared" si="259"/>
        <v>13681.0433333333</v>
      </c>
      <c r="X2281">
        <f t="shared" si="256"/>
        <v>0.0644902535401275</v>
      </c>
      <c r="AH2281" t="str">
        <f t="shared" si="260"/>
        <v>2nd Quality</v>
      </c>
      <c r="AJ2281">
        <f>((T2281-X2281)*2)/7</f>
        <v>368.731402784703</v>
      </c>
      <c r="AK2281">
        <f t="shared" si="257"/>
        <v>730493.4104</v>
      </c>
    </row>
    <row r="2282" spans="1:37">
      <c r="A2282" t="s">
        <v>2348</v>
      </c>
      <c r="B2282">
        <v>42</v>
      </c>
      <c r="C2282" t="s">
        <v>50</v>
      </c>
      <c r="D2282" t="s">
        <v>51</v>
      </c>
      <c r="E2282">
        <v>1210</v>
      </c>
      <c r="F2282">
        <v>19</v>
      </c>
      <c r="G2282">
        <v>13</v>
      </c>
      <c r="H2282">
        <v>1711.92</v>
      </c>
      <c r="I2282">
        <v>22108.72</v>
      </c>
      <c r="J2282">
        <v>74</v>
      </c>
      <c r="K2282">
        <v>0</v>
      </c>
      <c r="L2282">
        <v>10.9</v>
      </c>
      <c r="M2282">
        <v>30.6</v>
      </c>
      <c r="N2282" t="s">
        <v>61</v>
      </c>
      <c r="O2282" t="s">
        <v>47</v>
      </c>
      <c r="P2282" t="s">
        <v>48</v>
      </c>
      <c r="R2282">
        <f>SUMIF(A2282:A7281,"C02281",I2282:I7281)</f>
        <v>22108.72</v>
      </c>
      <c r="S2282" s="1">
        <v>4891.04</v>
      </c>
      <c r="T2282">
        <f t="shared" si="261"/>
        <v>298.766486486486</v>
      </c>
      <c r="U2282">
        <f t="shared" si="262"/>
        <v>2264.4</v>
      </c>
      <c r="V2282">
        <f t="shared" si="258"/>
        <v>188.7</v>
      </c>
      <c r="W2282">
        <f t="shared" si="259"/>
        <v>7940.54666666667</v>
      </c>
      <c r="X2282">
        <f t="shared" si="256"/>
        <v>0.706808729379877</v>
      </c>
      <c r="AH2282" t="str">
        <f t="shared" si="260"/>
        <v>2nd Quality</v>
      </c>
      <c r="AJ2282">
        <f>((T2282-X2282)*2)/10.9</f>
        <v>54.6898491297442</v>
      </c>
      <c r="AK2282">
        <f t="shared" si="257"/>
        <v>361507.448648649</v>
      </c>
    </row>
    <row r="2283" spans="1:37">
      <c r="A2283" t="s">
        <v>2349</v>
      </c>
      <c r="B2283">
        <v>22</v>
      </c>
      <c r="C2283" t="s">
        <v>44</v>
      </c>
      <c r="D2283" t="s">
        <v>45</v>
      </c>
      <c r="E2283">
        <v>417</v>
      </c>
      <c r="F2283">
        <v>8</v>
      </c>
      <c r="G2283">
        <v>33</v>
      </c>
      <c r="H2283">
        <v>4434.69</v>
      </c>
      <c r="I2283">
        <v>156194.32</v>
      </c>
      <c r="J2283">
        <v>175</v>
      </c>
      <c r="K2283">
        <v>5</v>
      </c>
      <c r="L2283">
        <v>6.3</v>
      </c>
      <c r="M2283">
        <v>33.5</v>
      </c>
      <c r="N2283" t="s">
        <v>63</v>
      </c>
      <c r="O2283" t="s">
        <v>53</v>
      </c>
      <c r="P2283" t="s">
        <v>58</v>
      </c>
      <c r="R2283">
        <f>SUMIF(A2283:A7282,"C02282",I2283:I7282)</f>
        <v>156194.32</v>
      </c>
      <c r="S2283" s="1">
        <v>4587.2</v>
      </c>
      <c r="T2283">
        <f t="shared" si="261"/>
        <v>892.538971428571</v>
      </c>
      <c r="U2283">
        <f t="shared" si="262"/>
        <v>5862.5</v>
      </c>
      <c r="V2283">
        <f>U2283</f>
        <v>5862.5</v>
      </c>
      <c r="W2283">
        <f t="shared" si="259"/>
        <v>53543.3366666667</v>
      </c>
      <c r="X2283">
        <f t="shared" si="256"/>
        <v>0.0940313753610737</v>
      </c>
      <c r="AH2283" t="str">
        <f t="shared" si="260"/>
        <v>3rd Quality</v>
      </c>
      <c r="AJ2283">
        <f>((T2283-X2283)*2)/6.3</f>
        <v>283.315853985146</v>
      </c>
      <c r="AK2283">
        <f t="shared" si="257"/>
        <v>372188.751085714</v>
      </c>
    </row>
    <row r="2284" spans="1:37">
      <c r="A2284" t="s">
        <v>2350</v>
      </c>
      <c r="B2284">
        <v>55</v>
      </c>
      <c r="C2284" t="s">
        <v>44</v>
      </c>
      <c r="D2284" t="s">
        <v>60</v>
      </c>
      <c r="E2284">
        <v>1412</v>
      </c>
      <c r="F2284">
        <v>12</v>
      </c>
      <c r="G2284">
        <v>7</v>
      </c>
      <c r="H2284">
        <v>779.35</v>
      </c>
      <c r="I2284">
        <v>4891.04</v>
      </c>
      <c r="J2284">
        <v>56</v>
      </c>
      <c r="K2284">
        <v>0</v>
      </c>
      <c r="L2284">
        <v>4.5</v>
      </c>
      <c r="M2284">
        <v>25.9</v>
      </c>
      <c r="N2284" t="s">
        <v>81</v>
      </c>
      <c r="O2284" t="s">
        <v>47</v>
      </c>
      <c r="P2284" t="s">
        <v>58</v>
      </c>
      <c r="R2284">
        <f>SUMIF(A2284:A7283,"C02283",I2284:I7283)</f>
        <v>4891.04</v>
      </c>
      <c r="S2284" s="1">
        <v>82855.98</v>
      </c>
      <c r="T2284">
        <f t="shared" si="261"/>
        <v>87.34</v>
      </c>
      <c r="U2284">
        <f t="shared" si="262"/>
        <v>1450.4</v>
      </c>
      <c r="V2284">
        <f t="shared" si="258"/>
        <v>120.866666666667</v>
      </c>
      <c r="W2284">
        <f t="shared" si="259"/>
        <v>1890.46333333333</v>
      </c>
      <c r="X2284">
        <f t="shared" si="256"/>
        <v>1.81176621543594</v>
      </c>
      <c r="AH2284" t="str">
        <f t="shared" si="260"/>
        <v>3rd Quality</v>
      </c>
      <c r="AJ2284">
        <f>((T2284-X2284)*2)/4.5</f>
        <v>38.0125483486951</v>
      </c>
      <c r="AK2284">
        <f t="shared" si="257"/>
        <v>123324.08</v>
      </c>
    </row>
    <row r="2285" spans="1:37">
      <c r="A2285" t="s">
        <v>2351</v>
      </c>
      <c r="B2285">
        <v>32</v>
      </c>
      <c r="C2285" t="s">
        <v>44</v>
      </c>
      <c r="D2285" t="s">
        <v>45</v>
      </c>
      <c r="E2285">
        <v>809</v>
      </c>
      <c r="F2285">
        <v>14</v>
      </c>
      <c r="G2285">
        <v>5</v>
      </c>
      <c r="H2285">
        <v>959.1</v>
      </c>
      <c r="I2285">
        <v>4587.2</v>
      </c>
      <c r="J2285">
        <v>16</v>
      </c>
      <c r="K2285">
        <v>0</v>
      </c>
      <c r="L2285">
        <v>34.7</v>
      </c>
      <c r="M2285">
        <v>23.9</v>
      </c>
      <c r="N2285" t="s">
        <v>78</v>
      </c>
      <c r="O2285" t="s">
        <v>47</v>
      </c>
      <c r="P2285" t="s">
        <v>66</v>
      </c>
      <c r="R2285">
        <f>SUMIF(A2285:A7284,"C02284",I2285:I7284)</f>
        <v>4587.2</v>
      </c>
      <c r="S2285" s="1">
        <v>96056.28</v>
      </c>
      <c r="T2285">
        <f t="shared" si="261"/>
        <v>286.7</v>
      </c>
      <c r="U2285">
        <f t="shared" si="262"/>
        <v>382.4</v>
      </c>
      <c r="V2285">
        <f t="shared" si="258"/>
        <v>31.8666666666667</v>
      </c>
      <c r="W2285">
        <f t="shared" si="259"/>
        <v>1849.1</v>
      </c>
      <c r="X2285">
        <f t="shared" si="256"/>
        <v>0.843499113752476</v>
      </c>
      <c r="AH2285" t="str">
        <f t="shared" si="260"/>
        <v>3rd Quality</v>
      </c>
      <c r="AJ2285">
        <f>((T2285-X2285)*2)/34.7</f>
        <v>16.4758790136166</v>
      </c>
      <c r="AK2285">
        <f t="shared" si="257"/>
        <v>231940.3</v>
      </c>
    </row>
    <row r="2286" spans="1:37">
      <c r="A2286" t="s">
        <v>2352</v>
      </c>
      <c r="B2286">
        <v>32</v>
      </c>
      <c r="C2286" t="s">
        <v>44</v>
      </c>
      <c r="D2286" t="s">
        <v>51</v>
      </c>
      <c r="E2286">
        <v>727</v>
      </c>
      <c r="F2286">
        <v>11</v>
      </c>
      <c r="G2286">
        <v>32</v>
      </c>
      <c r="H2286">
        <v>2349.3</v>
      </c>
      <c r="I2286">
        <v>82855.98</v>
      </c>
      <c r="J2286">
        <v>199</v>
      </c>
      <c r="K2286">
        <v>3</v>
      </c>
      <c r="L2286">
        <v>24.6</v>
      </c>
      <c r="M2286">
        <v>46.2</v>
      </c>
      <c r="N2286" t="s">
        <v>46</v>
      </c>
      <c r="O2286" t="s">
        <v>53</v>
      </c>
      <c r="P2286" t="s">
        <v>58</v>
      </c>
      <c r="R2286">
        <f>SUMIF(A2286:A7285,"C02285",I2286:I7285)</f>
        <v>82855.98</v>
      </c>
      <c r="S2286" s="1">
        <v>6559.09</v>
      </c>
      <c r="T2286">
        <f t="shared" si="261"/>
        <v>416.361708542714</v>
      </c>
      <c r="U2286">
        <f t="shared" si="262"/>
        <v>9193.8</v>
      </c>
      <c r="V2286">
        <f>U2286</f>
        <v>9193.8</v>
      </c>
      <c r="W2286">
        <f t="shared" si="259"/>
        <v>28402.0933333333</v>
      </c>
      <c r="X2286">
        <f t="shared" si="256"/>
        <v>0.309453879879113</v>
      </c>
      <c r="AH2286" t="str">
        <f t="shared" si="260"/>
        <v>2nd Quality</v>
      </c>
      <c r="AJ2286">
        <f>((T2286-X2286)*2)/24.6</f>
        <v>33.8253865579541</v>
      </c>
      <c r="AK2286">
        <f t="shared" si="257"/>
        <v>302694.962110553</v>
      </c>
    </row>
    <row r="2287" spans="1:37">
      <c r="A2287" t="s">
        <v>2353</v>
      </c>
      <c r="B2287">
        <v>36</v>
      </c>
      <c r="C2287" t="s">
        <v>44</v>
      </c>
      <c r="D2287" t="s">
        <v>60</v>
      </c>
      <c r="E2287">
        <v>712</v>
      </c>
      <c r="F2287">
        <v>3</v>
      </c>
      <c r="G2287">
        <v>23</v>
      </c>
      <c r="H2287">
        <v>4520.78</v>
      </c>
      <c r="I2287">
        <v>96056.28</v>
      </c>
      <c r="J2287">
        <v>103</v>
      </c>
      <c r="K2287">
        <v>3</v>
      </c>
      <c r="L2287">
        <v>5.3</v>
      </c>
      <c r="M2287">
        <v>23.4</v>
      </c>
      <c r="N2287" t="s">
        <v>78</v>
      </c>
      <c r="O2287" t="s">
        <v>47</v>
      </c>
      <c r="P2287" t="s">
        <v>66</v>
      </c>
      <c r="R2287">
        <f>SUMIF(A2287:A7286,"C02286",I2287:I7286)</f>
        <v>96056.28</v>
      </c>
      <c r="S2287" s="1">
        <v>347.93</v>
      </c>
      <c r="T2287">
        <f t="shared" si="261"/>
        <v>932.585242718447</v>
      </c>
      <c r="U2287">
        <f t="shared" si="262"/>
        <v>2410.2</v>
      </c>
      <c r="V2287">
        <f>U2287</f>
        <v>2410.2</v>
      </c>
      <c r="W2287">
        <f t="shared" si="259"/>
        <v>33526.02</v>
      </c>
      <c r="X2287">
        <f t="shared" ref="X2287:X2315" si="263">E2287/H2287</f>
        <v>0.157494945562491</v>
      </c>
      <c r="AH2287" t="str">
        <f t="shared" si="260"/>
        <v>2nd Quality</v>
      </c>
      <c r="AJ2287">
        <f>((T2287-X2287)*2)/5.3</f>
        <v>351.859527461466</v>
      </c>
      <c r="AK2287">
        <f t="shared" si="257"/>
        <v>664000.692815534</v>
      </c>
    </row>
    <row r="2288" spans="1:37">
      <c r="A2288" t="s">
        <v>2354</v>
      </c>
      <c r="B2288">
        <v>46</v>
      </c>
      <c r="C2288" t="s">
        <v>44</v>
      </c>
      <c r="D2288" t="s">
        <v>51</v>
      </c>
      <c r="E2288">
        <v>1105</v>
      </c>
      <c r="F2288">
        <v>116</v>
      </c>
      <c r="G2288">
        <v>2</v>
      </c>
      <c r="H2288">
        <v>3447.4</v>
      </c>
      <c r="I2288">
        <v>6559.09</v>
      </c>
      <c r="J2288">
        <v>25</v>
      </c>
      <c r="K2288">
        <v>0</v>
      </c>
      <c r="L2288">
        <v>18.6</v>
      </c>
      <c r="M2288">
        <v>33.2</v>
      </c>
      <c r="N2288" t="s">
        <v>81</v>
      </c>
      <c r="O2288" t="s">
        <v>47</v>
      </c>
      <c r="P2288" t="s">
        <v>68</v>
      </c>
      <c r="R2288">
        <f>SUMIF(A2288:A7287,"C02287",I2288:I7287)</f>
        <v>6559.09</v>
      </c>
      <c r="S2288" s="1">
        <v>45621.11</v>
      </c>
      <c r="T2288">
        <f t="shared" si="261"/>
        <v>262.3636</v>
      </c>
      <c r="U2288">
        <f t="shared" si="262"/>
        <v>830</v>
      </c>
      <c r="V2288">
        <f t="shared" si="258"/>
        <v>69.1666666666667</v>
      </c>
      <c r="W2288">
        <f t="shared" si="259"/>
        <v>3335.83</v>
      </c>
      <c r="X2288">
        <f t="shared" si="263"/>
        <v>0.320531414979405</v>
      </c>
      <c r="AH2288" t="str">
        <f t="shared" si="260"/>
        <v>3rd Quality</v>
      </c>
      <c r="AJ2288">
        <f>((T2288-X2288)*2)/18.6</f>
        <v>28.1766740414001</v>
      </c>
      <c r="AK2288">
        <f t="shared" si="257"/>
        <v>289911.778</v>
      </c>
    </row>
    <row r="2289" spans="1:37">
      <c r="A2289" t="s">
        <v>2355</v>
      </c>
      <c r="B2289">
        <v>61</v>
      </c>
      <c r="C2289" t="s">
        <v>44</v>
      </c>
      <c r="D2289" t="s">
        <v>45</v>
      </c>
      <c r="E2289">
        <v>1371</v>
      </c>
      <c r="F2289">
        <v>119</v>
      </c>
      <c r="G2289">
        <v>1</v>
      </c>
      <c r="H2289">
        <v>315.04</v>
      </c>
      <c r="I2289">
        <v>347.93</v>
      </c>
      <c r="J2289">
        <v>17</v>
      </c>
      <c r="K2289">
        <v>0</v>
      </c>
      <c r="L2289">
        <v>31.9</v>
      </c>
      <c r="M2289">
        <v>22.1</v>
      </c>
      <c r="N2289" t="s">
        <v>57</v>
      </c>
      <c r="O2289" t="s">
        <v>47</v>
      </c>
      <c r="P2289" t="s">
        <v>68</v>
      </c>
      <c r="R2289">
        <f>SUMIF(A2289:A7288,"C02288",I2289:I7288)</f>
        <v>347.93</v>
      </c>
      <c r="S2289" s="1">
        <v>12886.8</v>
      </c>
      <c r="T2289">
        <f t="shared" si="261"/>
        <v>20.4664705882353</v>
      </c>
      <c r="U2289">
        <f t="shared" si="262"/>
        <v>375.7</v>
      </c>
      <c r="V2289">
        <f t="shared" si="258"/>
        <v>31.3083333333333</v>
      </c>
      <c r="W2289">
        <f t="shared" si="259"/>
        <v>221.323333333333</v>
      </c>
      <c r="X2289">
        <f t="shared" si="263"/>
        <v>4.35182833925851</v>
      </c>
      <c r="AH2289" t="str">
        <f t="shared" si="260"/>
        <v>3rd Quality</v>
      </c>
      <c r="AJ2289">
        <f>((T2289-X2289)*2)/37.9</f>
        <v>0.850376899682152</v>
      </c>
      <c r="AK2289">
        <f t="shared" si="257"/>
        <v>28059.5311764706</v>
      </c>
    </row>
    <row r="2290" spans="1:37">
      <c r="A2290" t="s">
        <v>2356</v>
      </c>
      <c r="B2290">
        <v>35</v>
      </c>
      <c r="C2290" t="s">
        <v>44</v>
      </c>
      <c r="D2290" t="s">
        <v>51</v>
      </c>
      <c r="E2290">
        <v>664</v>
      </c>
      <c r="F2290">
        <v>17</v>
      </c>
      <c r="G2290">
        <v>19</v>
      </c>
      <c r="H2290">
        <v>2494.01</v>
      </c>
      <c r="I2290">
        <v>45621.11</v>
      </c>
      <c r="J2290">
        <v>48</v>
      </c>
      <c r="K2290">
        <v>1</v>
      </c>
      <c r="L2290">
        <v>1</v>
      </c>
      <c r="M2290">
        <v>46.5</v>
      </c>
      <c r="N2290" t="s">
        <v>57</v>
      </c>
      <c r="O2290" t="s">
        <v>47</v>
      </c>
      <c r="P2290" t="s">
        <v>68</v>
      </c>
      <c r="R2290">
        <f>SUMIF(A2290:A7289,"C02289",I2290:I7289)</f>
        <v>45621.11</v>
      </c>
      <c r="S2290" s="1">
        <v>4832.35</v>
      </c>
      <c r="T2290">
        <f t="shared" si="261"/>
        <v>950.439791666667</v>
      </c>
      <c r="U2290">
        <f t="shared" si="262"/>
        <v>2232</v>
      </c>
      <c r="V2290">
        <f>U2290</f>
        <v>2232</v>
      </c>
      <c r="W2290">
        <f t="shared" si="259"/>
        <v>16038.7066666667</v>
      </c>
      <c r="X2290">
        <f t="shared" si="263"/>
        <v>0.266237906022831</v>
      </c>
      <c r="AH2290" t="str">
        <f t="shared" si="260"/>
        <v>2nd Quality</v>
      </c>
      <c r="AJ2290">
        <f>((T2290-X2290)*2)/1</f>
        <v>1900.34710752129</v>
      </c>
      <c r="AK2290">
        <f t="shared" si="257"/>
        <v>631092.021666667</v>
      </c>
    </row>
    <row r="2291" spans="1:37">
      <c r="A2291" t="s">
        <v>2357</v>
      </c>
      <c r="B2291">
        <v>23</v>
      </c>
      <c r="C2291" t="s">
        <v>44</v>
      </c>
      <c r="D2291" t="s">
        <v>45</v>
      </c>
      <c r="E2291">
        <v>1380</v>
      </c>
      <c r="F2291">
        <v>23</v>
      </c>
      <c r="G2291">
        <v>8</v>
      </c>
      <c r="H2291">
        <v>1492.33</v>
      </c>
      <c r="I2291">
        <v>12886.8</v>
      </c>
      <c r="J2291">
        <v>32</v>
      </c>
      <c r="K2291">
        <v>1</v>
      </c>
      <c r="L2291">
        <v>21.1</v>
      </c>
      <c r="M2291">
        <v>12.3</v>
      </c>
      <c r="N2291" t="s">
        <v>52</v>
      </c>
      <c r="O2291" t="s">
        <v>47</v>
      </c>
      <c r="P2291" t="s">
        <v>58</v>
      </c>
      <c r="R2291">
        <f>SUMIF(A2291:A7290,"C02290",I2291:I7290)</f>
        <v>12886.8</v>
      </c>
      <c r="S2291" s="1">
        <v>2287.84</v>
      </c>
      <c r="T2291">
        <f t="shared" si="261"/>
        <v>402.7125</v>
      </c>
      <c r="U2291">
        <f t="shared" si="262"/>
        <v>393.6</v>
      </c>
      <c r="V2291">
        <f>U2291</f>
        <v>393.6</v>
      </c>
      <c r="W2291">
        <f t="shared" si="259"/>
        <v>4793.37666666667</v>
      </c>
      <c r="X2291">
        <f t="shared" si="263"/>
        <v>0.92472844478098</v>
      </c>
      <c r="AH2291" t="str">
        <f t="shared" si="260"/>
        <v>3rd Quality</v>
      </c>
      <c r="AJ2291">
        <f>((T2291-X2291)*2)/21.1</f>
        <v>38.08414896258</v>
      </c>
      <c r="AK2291">
        <f t="shared" si="257"/>
        <v>555743.25</v>
      </c>
    </row>
    <row r="2292" spans="1:37">
      <c r="A2292" t="s">
        <v>2358</v>
      </c>
      <c r="B2292">
        <v>37</v>
      </c>
      <c r="C2292" t="s">
        <v>50</v>
      </c>
      <c r="D2292" t="s">
        <v>60</v>
      </c>
      <c r="E2292">
        <v>1361</v>
      </c>
      <c r="F2292">
        <v>365</v>
      </c>
      <c r="G2292">
        <v>3</v>
      </c>
      <c r="H2292">
        <v>1697.52</v>
      </c>
      <c r="I2292">
        <v>4832.35</v>
      </c>
      <c r="J2292">
        <v>32</v>
      </c>
      <c r="K2292">
        <v>1</v>
      </c>
      <c r="L2292">
        <v>20.3</v>
      </c>
      <c r="M2292">
        <v>20.2</v>
      </c>
      <c r="N2292" t="s">
        <v>81</v>
      </c>
      <c r="O2292" t="s">
        <v>47</v>
      </c>
      <c r="P2292" t="s">
        <v>68</v>
      </c>
      <c r="R2292">
        <f>SUMIF(A2292:A7291,"C02291",I2292:I7291)</f>
        <v>4832.35</v>
      </c>
      <c r="S2292" s="1">
        <v>18109.11</v>
      </c>
      <c r="T2292">
        <f t="shared" si="261"/>
        <v>151.0109375</v>
      </c>
      <c r="U2292">
        <f t="shared" si="262"/>
        <v>646.4</v>
      </c>
      <c r="V2292">
        <f>U2292</f>
        <v>646.4</v>
      </c>
      <c r="W2292">
        <f t="shared" si="259"/>
        <v>2176.95666666667</v>
      </c>
      <c r="X2292">
        <f t="shared" si="263"/>
        <v>0.801757858523022</v>
      </c>
      <c r="AH2292" t="str">
        <f t="shared" si="260"/>
        <v>3rd Quality</v>
      </c>
      <c r="AJ2292">
        <f>((T2292-X2292)*2)/20.3</f>
        <v>14.7989339548253</v>
      </c>
      <c r="AK2292">
        <f t="shared" si="257"/>
        <v>205525.8859375</v>
      </c>
    </row>
    <row r="2293" spans="1:37">
      <c r="A2293" t="s">
        <v>2359</v>
      </c>
      <c r="B2293">
        <v>40</v>
      </c>
      <c r="C2293" t="s">
        <v>44</v>
      </c>
      <c r="D2293" t="s">
        <v>51</v>
      </c>
      <c r="E2293">
        <v>1389</v>
      </c>
      <c r="F2293">
        <v>223</v>
      </c>
      <c r="G2293">
        <v>2</v>
      </c>
      <c r="H2293">
        <v>1214.76</v>
      </c>
      <c r="I2293">
        <v>2287.84</v>
      </c>
      <c r="J2293">
        <v>19</v>
      </c>
      <c r="K2293">
        <v>0</v>
      </c>
      <c r="L2293">
        <v>30.2</v>
      </c>
      <c r="M2293">
        <v>15.2</v>
      </c>
      <c r="N2293" t="s">
        <v>63</v>
      </c>
      <c r="O2293" t="s">
        <v>75</v>
      </c>
      <c r="P2293" t="s">
        <v>58</v>
      </c>
      <c r="R2293">
        <f>SUMIF(A2293:A7292,"C02292",I2293:I7292)</f>
        <v>2287.84</v>
      </c>
      <c r="S2293" s="1">
        <v>8891.91</v>
      </c>
      <c r="T2293">
        <f t="shared" si="261"/>
        <v>120.412631578947</v>
      </c>
      <c r="U2293">
        <f t="shared" si="262"/>
        <v>288.8</v>
      </c>
      <c r="V2293">
        <f t="shared" si="258"/>
        <v>24.0666666666667</v>
      </c>
      <c r="W2293">
        <f t="shared" si="259"/>
        <v>1167.86666666667</v>
      </c>
      <c r="X2293">
        <f t="shared" si="263"/>
        <v>1.14343574039316</v>
      </c>
      <c r="AH2293" t="str">
        <f t="shared" si="260"/>
        <v>3rd Quality</v>
      </c>
      <c r="AJ2293">
        <f>((T2293-X2293)*2)/30.2</f>
        <v>7.89862224096383</v>
      </c>
      <c r="AK2293">
        <f t="shared" si="257"/>
        <v>167253.145263158</v>
      </c>
    </row>
    <row r="2294" spans="1:37">
      <c r="A2294" t="s">
        <v>2360</v>
      </c>
      <c r="B2294">
        <v>28</v>
      </c>
      <c r="C2294" t="s">
        <v>44</v>
      </c>
      <c r="D2294" t="s">
        <v>51</v>
      </c>
      <c r="E2294">
        <v>1043</v>
      </c>
      <c r="F2294">
        <v>26</v>
      </c>
      <c r="G2294">
        <v>2</v>
      </c>
      <c r="H2294">
        <v>9789.75</v>
      </c>
      <c r="I2294">
        <v>18109.11</v>
      </c>
      <c r="J2294">
        <v>15</v>
      </c>
      <c r="K2294">
        <v>0</v>
      </c>
      <c r="L2294">
        <v>6.4</v>
      </c>
      <c r="M2294">
        <v>16.1</v>
      </c>
      <c r="N2294" t="s">
        <v>61</v>
      </c>
      <c r="O2294" t="s">
        <v>53</v>
      </c>
      <c r="P2294" t="s">
        <v>58</v>
      </c>
      <c r="R2294">
        <f>SUMIF(A2294:A7293,"C02293",I2294:I7293)</f>
        <v>18109.11</v>
      </c>
      <c r="S2294" s="1">
        <v>6282.5</v>
      </c>
      <c r="T2294">
        <f t="shared" si="261"/>
        <v>1207.274</v>
      </c>
      <c r="U2294">
        <f t="shared" si="262"/>
        <v>241.5</v>
      </c>
      <c r="V2294">
        <f t="shared" si="258"/>
        <v>20.125</v>
      </c>
      <c r="W2294">
        <f t="shared" si="259"/>
        <v>9299.95333333333</v>
      </c>
      <c r="X2294">
        <f t="shared" si="263"/>
        <v>0.106540003575168</v>
      </c>
      <c r="AH2294" t="str">
        <f t="shared" si="260"/>
        <v>2nd Quality</v>
      </c>
      <c r="AJ2294">
        <f>((T2294-X2294)*2)/6.4</f>
        <v>377.239831248883</v>
      </c>
      <c r="AK2294">
        <f t="shared" si="257"/>
        <v>1259186.782</v>
      </c>
    </row>
    <row r="2295" spans="1:37">
      <c r="A2295" t="s">
        <v>2361</v>
      </c>
      <c r="B2295">
        <v>20</v>
      </c>
      <c r="C2295" t="s">
        <v>50</v>
      </c>
      <c r="D2295" t="s">
        <v>60</v>
      </c>
      <c r="E2295">
        <v>385</v>
      </c>
      <c r="F2295">
        <v>31</v>
      </c>
      <c r="G2295">
        <v>9</v>
      </c>
      <c r="H2295">
        <v>1103.85</v>
      </c>
      <c r="I2295">
        <v>8891.91</v>
      </c>
      <c r="J2295">
        <v>34</v>
      </c>
      <c r="K2295">
        <v>0</v>
      </c>
      <c r="L2295">
        <v>19.9</v>
      </c>
      <c r="M2295">
        <v>18.9</v>
      </c>
      <c r="N2295" t="s">
        <v>81</v>
      </c>
      <c r="O2295" t="s">
        <v>47</v>
      </c>
      <c r="P2295" t="s">
        <v>58</v>
      </c>
      <c r="R2295">
        <f>SUMIF(A2295:A7294,"C02294",I2295:I7294)</f>
        <v>8891.91</v>
      </c>
      <c r="S2295" s="1">
        <v>68524.73</v>
      </c>
      <c r="T2295">
        <f t="shared" si="261"/>
        <v>261.526764705882</v>
      </c>
      <c r="U2295">
        <f t="shared" si="262"/>
        <v>642.6</v>
      </c>
      <c r="V2295">
        <f t="shared" si="258"/>
        <v>53.55</v>
      </c>
      <c r="W2295">
        <f t="shared" si="259"/>
        <v>3332.25333333333</v>
      </c>
      <c r="X2295">
        <f t="shared" si="263"/>
        <v>0.348779272546089</v>
      </c>
      <c r="AH2295" t="str">
        <f t="shared" si="260"/>
        <v>3rd Quality</v>
      </c>
      <c r="AJ2295">
        <f>((T2295-X2295)*2)/19.9</f>
        <v>26.2490437621443</v>
      </c>
      <c r="AK2295">
        <f t="shared" si="257"/>
        <v>100687.804411765</v>
      </c>
    </row>
    <row r="2296" spans="1:37">
      <c r="A2296" t="s">
        <v>2362</v>
      </c>
      <c r="B2296">
        <v>48</v>
      </c>
      <c r="C2296" t="s">
        <v>101</v>
      </c>
      <c r="D2296" t="s">
        <v>60</v>
      </c>
      <c r="E2296">
        <v>708</v>
      </c>
      <c r="F2296">
        <v>18</v>
      </c>
      <c r="G2296">
        <v>7</v>
      </c>
      <c r="H2296">
        <v>916.11</v>
      </c>
      <c r="I2296">
        <v>6282.5</v>
      </c>
      <c r="J2296">
        <v>30</v>
      </c>
      <c r="K2296">
        <v>3</v>
      </c>
      <c r="L2296">
        <v>16.3</v>
      </c>
      <c r="M2296">
        <v>22.9</v>
      </c>
      <c r="N2296" t="s">
        <v>52</v>
      </c>
      <c r="O2296" t="s">
        <v>47</v>
      </c>
      <c r="P2296" t="s">
        <v>66</v>
      </c>
      <c r="R2296">
        <f>SUMIF(A2296:A7295,"C02295",I2296:I7295)</f>
        <v>6282.5</v>
      </c>
      <c r="S2296" s="1">
        <v>1283.6</v>
      </c>
      <c r="T2296">
        <f t="shared" si="261"/>
        <v>209.416666666667</v>
      </c>
      <c r="U2296">
        <f t="shared" si="262"/>
        <v>687</v>
      </c>
      <c r="V2296">
        <f>U2296</f>
        <v>687</v>
      </c>
      <c r="W2296">
        <f t="shared" si="259"/>
        <v>2399.87</v>
      </c>
      <c r="X2296">
        <f t="shared" si="263"/>
        <v>0.772832956741003</v>
      </c>
      <c r="AH2296" t="str">
        <f t="shared" si="260"/>
        <v>3rd Quality</v>
      </c>
      <c r="AJ2296">
        <f>((T2296-X2296)*2)/16.3</f>
        <v>25.6004703938559</v>
      </c>
      <c r="AK2296">
        <f t="shared" si="257"/>
        <v>148267</v>
      </c>
    </row>
    <row r="2297" spans="1:37">
      <c r="A2297" t="s">
        <v>2363</v>
      </c>
      <c r="B2297">
        <v>47</v>
      </c>
      <c r="C2297" t="s">
        <v>50</v>
      </c>
      <c r="D2297" t="s">
        <v>51</v>
      </c>
      <c r="E2297">
        <v>936</v>
      </c>
      <c r="F2297">
        <v>10</v>
      </c>
      <c r="G2297">
        <v>32</v>
      </c>
      <c r="H2297">
        <v>2037.06</v>
      </c>
      <c r="I2297">
        <v>68524.73</v>
      </c>
      <c r="J2297">
        <v>235</v>
      </c>
      <c r="K2297">
        <v>2</v>
      </c>
      <c r="L2297">
        <v>13.7</v>
      </c>
      <c r="M2297">
        <v>38.9</v>
      </c>
      <c r="N2297" t="s">
        <v>81</v>
      </c>
      <c r="O2297" t="s">
        <v>47</v>
      </c>
      <c r="P2297" t="s">
        <v>58</v>
      </c>
      <c r="R2297">
        <f>SUMIF(A2297:A7296,"C02296",I2297:I7296)</f>
        <v>68524.73</v>
      </c>
      <c r="S2297" s="1">
        <v>58056.46</v>
      </c>
      <c r="T2297">
        <f t="shared" si="261"/>
        <v>291.594595744681</v>
      </c>
      <c r="U2297">
        <f t="shared" si="262"/>
        <v>9141.5</v>
      </c>
      <c r="V2297">
        <f>U2297</f>
        <v>9141.5</v>
      </c>
      <c r="W2297">
        <f t="shared" si="259"/>
        <v>23520.93</v>
      </c>
      <c r="X2297">
        <f t="shared" si="263"/>
        <v>0.459485729433596</v>
      </c>
      <c r="AH2297" t="str">
        <f t="shared" si="260"/>
        <v>3rd Quality</v>
      </c>
      <c r="AJ2297">
        <f>((T2297-X2297)*2)/13.7</f>
        <v>42.5014759146347</v>
      </c>
      <c r="AK2297">
        <f t="shared" si="257"/>
        <v>272932.541617021</v>
      </c>
    </row>
    <row r="2298" spans="1:37">
      <c r="A2298" t="s">
        <v>2364</v>
      </c>
      <c r="B2298">
        <v>36</v>
      </c>
      <c r="C2298" t="s">
        <v>44</v>
      </c>
      <c r="D2298" t="s">
        <v>60</v>
      </c>
      <c r="E2298">
        <v>1238</v>
      </c>
      <c r="F2298">
        <v>162</v>
      </c>
      <c r="G2298">
        <v>2</v>
      </c>
      <c r="H2298">
        <v>640.98</v>
      </c>
      <c r="I2298">
        <v>1283.6</v>
      </c>
      <c r="J2298">
        <v>15</v>
      </c>
      <c r="K2298">
        <v>1</v>
      </c>
      <c r="L2298">
        <v>41.3</v>
      </c>
      <c r="M2298">
        <v>18.5</v>
      </c>
      <c r="N2298" t="s">
        <v>52</v>
      </c>
      <c r="O2298" t="s">
        <v>53</v>
      </c>
      <c r="P2298" t="s">
        <v>48</v>
      </c>
      <c r="R2298">
        <f>SUMIF(A2298:A7297,"C02297",I2298:I7297)</f>
        <v>1283.6</v>
      </c>
      <c r="S2298" s="1">
        <v>55036.01</v>
      </c>
      <c r="T2298">
        <f t="shared" si="261"/>
        <v>85.5733333333333</v>
      </c>
      <c r="U2298">
        <f t="shared" si="262"/>
        <v>277.5</v>
      </c>
      <c r="V2298">
        <f>U2298</f>
        <v>277.5</v>
      </c>
      <c r="W2298">
        <f t="shared" si="259"/>
        <v>641.86</v>
      </c>
      <c r="X2298">
        <f t="shared" si="263"/>
        <v>1.93141751692721</v>
      </c>
      <c r="AH2298" t="str">
        <f t="shared" si="260"/>
        <v>3rd Quality</v>
      </c>
      <c r="AJ2298">
        <f>((T2298-X2298)*2)/41.3</f>
        <v>4.05045597173879</v>
      </c>
      <c r="AK2298">
        <f t="shared" si="257"/>
        <v>105939.786666667</v>
      </c>
    </row>
    <row r="2299" spans="1:37">
      <c r="A2299" t="s">
        <v>2365</v>
      </c>
      <c r="B2299">
        <v>48</v>
      </c>
      <c r="C2299" t="s">
        <v>44</v>
      </c>
      <c r="D2299" t="s">
        <v>60</v>
      </c>
      <c r="E2299">
        <v>389</v>
      </c>
      <c r="F2299">
        <v>23</v>
      </c>
      <c r="G2299">
        <v>23</v>
      </c>
      <c r="H2299">
        <v>2581.61</v>
      </c>
      <c r="I2299">
        <v>58056.46</v>
      </c>
      <c r="J2299">
        <v>118</v>
      </c>
      <c r="K2299">
        <v>1</v>
      </c>
      <c r="L2299">
        <v>0</v>
      </c>
      <c r="M2299">
        <v>61.9</v>
      </c>
      <c r="N2299" t="s">
        <v>52</v>
      </c>
      <c r="O2299" t="s">
        <v>75</v>
      </c>
      <c r="P2299" t="s">
        <v>54</v>
      </c>
      <c r="R2299">
        <f>SUMIF(A2299:A7298,"C02298",I2299:I7298)</f>
        <v>58056.46</v>
      </c>
      <c r="S2299" s="1">
        <v>3344.53</v>
      </c>
      <c r="T2299">
        <f t="shared" si="261"/>
        <v>492.003898305085</v>
      </c>
      <c r="U2299">
        <f t="shared" si="262"/>
        <v>7304.2</v>
      </c>
      <c r="V2299">
        <f>U2299</f>
        <v>7304.2</v>
      </c>
      <c r="W2299">
        <f t="shared" si="259"/>
        <v>20213.0233333333</v>
      </c>
      <c r="X2299">
        <f t="shared" si="263"/>
        <v>0.15068116407978</v>
      </c>
      <c r="AH2299" t="str">
        <f t="shared" si="260"/>
        <v>3rd Quality</v>
      </c>
      <c r="AJ2299">
        <f>((T2299-X2299)*2)</f>
        <v>983.70643428201</v>
      </c>
      <c r="AK2299">
        <f t="shared" si="257"/>
        <v>191389.516440678</v>
      </c>
    </row>
    <row r="2300" spans="1:37">
      <c r="A2300" t="s">
        <v>2366</v>
      </c>
      <c r="B2300">
        <v>32</v>
      </c>
      <c r="C2300" t="s">
        <v>50</v>
      </c>
      <c r="D2300" t="s">
        <v>60</v>
      </c>
      <c r="E2300">
        <v>1004</v>
      </c>
      <c r="F2300">
        <v>4</v>
      </c>
      <c r="G2300">
        <v>16</v>
      </c>
      <c r="H2300">
        <v>3702.38</v>
      </c>
      <c r="I2300">
        <v>55036.01</v>
      </c>
      <c r="J2300">
        <v>117</v>
      </c>
      <c r="K2300">
        <v>0</v>
      </c>
      <c r="L2300">
        <v>0</v>
      </c>
      <c r="M2300">
        <v>31.4</v>
      </c>
      <c r="N2300" t="s">
        <v>46</v>
      </c>
      <c r="O2300" t="s">
        <v>75</v>
      </c>
      <c r="P2300" t="s">
        <v>58</v>
      </c>
      <c r="R2300">
        <f>SUMIF(A2300:A7299,"C02299",I2300:I7299)</f>
        <v>55036.01</v>
      </c>
      <c r="S2300" s="1">
        <v>1248.75</v>
      </c>
      <c r="T2300">
        <f t="shared" si="261"/>
        <v>470.393247863248</v>
      </c>
      <c r="U2300">
        <f t="shared" si="262"/>
        <v>3673.8</v>
      </c>
      <c r="V2300">
        <f t="shared" si="258"/>
        <v>306.15</v>
      </c>
      <c r="W2300">
        <f t="shared" si="259"/>
        <v>19579.7966666667</v>
      </c>
      <c r="X2300">
        <f t="shared" si="263"/>
        <v>0.271176918630719</v>
      </c>
      <c r="AH2300" t="str">
        <f t="shared" si="260"/>
        <v>1st Quality</v>
      </c>
      <c r="AJ2300">
        <f>((T2300-X2300)*2)</f>
        <v>940.244141889235</v>
      </c>
      <c r="AK2300">
        <f t="shared" si="257"/>
        <v>472274.820854701</v>
      </c>
    </row>
    <row r="2301" spans="1:37">
      <c r="A2301" t="s">
        <v>2367</v>
      </c>
      <c r="B2301">
        <v>20</v>
      </c>
      <c r="C2301" t="s">
        <v>50</v>
      </c>
      <c r="D2301" t="s">
        <v>45</v>
      </c>
      <c r="E2301">
        <v>1029</v>
      </c>
      <c r="F2301">
        <v>87</v>
      </c>
      <c r="G2301">
        <v>4</v>
      </c>
      <c r="H2301">
        <v>800.86</v>
      </c>
      <c r="I2301">
        <v>3344.53</v>
      </c>
      <c r="J2301">
        <v>22</v>
      </c>
      <c r="K2301">
        <v>0</v>
      </c>
      <c r="L2301">
        <v>20.5</v>
      </c>
      <c r="M2301">
        <v>28.3</v>
      </c>
      <c r="N2301" t="s">
        <v>78</v>
      </c>
      <c r="O2301" t="s">
        <v>47</v>
      </c>
      <c r="P2301" t="s">
        <v>68</v>
      </c>
      <c r="R2301">
        <f>SUMIF(A2301:A7300,"C02300",I2301:I7300)</f>
        <v>3344.53</v>
      </c>
      <c r="S2301" s="1">
        <v>1542.55</v>
      </c>
      <c r="T2301">
        <f t="shared" si="261"/>
        <v>152.024090909091</v>
      </c>
      <c r="U2301">
        <f t="shared" si="262"/>
        <v>622.6</v>
      </c>
      <c r="V2301">
        <f t="shared" si="258"/>
        <v>51.8833333333333</v>
      </c>
      <c r="W2301">
        <f t="shared" si="259"/>
        <v>1382.13</v>
      </c>
      <c r="X2301">
        <f t="shared" si="263"/>
        <v>1.28486876607647</v>
      </c>
      <c r="AH2301" t="str">
        <f t="shared" si="260"/>
        <v>3rd Quality</v>
      </c>
      <c r="AJ2301">
        <f>((T2301-X2301)*2)/20.5</f>
        <v>14.7062655749282</v>
      </c>
      <c r="AK2301">
        <f t="shared" si="257"/>
        <v>156432.789545455</v>
      </c>
    </row>
    <row r="2302" spans="1:37">
      <c r="A2302" t="s">
        <v>2368</v>
      </c>
      <c r="B2302">
        <v>46</v>
      </c>
      <c r="C2302" t="s">
        <v>44</v>
      </c>
      <c r="D2302" t="s">
        <v>45</v>
      </c>
      <c r="E2302">
        <v>415</v>
      </c>
      <c r="F2302">
        <v>316</v>
      </c>
      <c r="G2302">
        <v>1</v>
      </c>
      <c r="H2302">
        <v>1327.49</v>
      </c>
      <c r="I2302">
        <v>1248.75</v>
      </c>
      <c r="J2302">
        <v>11</v>
      </c>
      <c r="K2302">
        <v>0</v>
      </c>
      <c r="L2302">
        <v>13.9</v>
      </c>
      <c r="M2302">
        <v>15.9</v>
      </c>
      <c r="N2302" t="s">
        <v>61</v>
      </c>
      <c r="O2302" t="s">
        <v>75</v>
      </c>
      <c r="P2302" t="s">
        <v>68</v>
      </c>
      <c r="R2302">
        <f>SUMIF(A2302:A7301,"C02301",I2302:I7301)</f>
        <v>1248.75</v>
      </c>
      <c r="S2302" s="1">
        <v>12637.93</v>
      </c>
      <c r="T2302">
        <f t="shared" si="261"/>
        <v>113.522727272727</v>
      </c>
      <c r="U2302">
        <f t="shared" si="262"/>
        <v>174.9</v>
      </c>
      <c r="V2302">
        <f t="shared" si="258"/>
        <v>14.575</v>
      </c>
      <c r="W2302">
        <f t="shared" si="259"/>
        <v>859.08</v>
      </c>
      <c r="X2302">
        <f t="shared" si="263"/>
        <v>0.312620057401562</v>
      </c>
      <c r="AH2302" t="str">
        <f t="shared" si="260"/>
        <v>3rd Quality</v>
      </c>
      <c r="AJ2302">
        <f>((T2302-X2302)*2)/13.9</f>
        <v>16.2892240597591</v>
      </c>
      <c r="AK2302">
        <f t="shared" si="257"/>
        <v>47111.9318181818</v>
      </c>
    </row>
    <row r="2303" spans="1:37">
      <c r="A2303" t="s">
        <v>2369</v>
      </c>
      <c r="B2303">
        <v>33</v>
      </c>
      <c r="C2303" t="s">
        <v>44</v>
      </c>
      <c r="D2303" t="s">
        <v>60</v>
      </c>
      <c r="E2303">
        <v>924</v>
      </c>
      <c r="F2303">
        <v>15</v>
      </c>
      <c r="G2303">
        <v>3</v>
      </c>
      <c r="H2303">
        <v>579.23</v>
      </c>
      <c r="I2303">
        <v>1542.55</v>
      </c>
      <c r="J2303">
        <v>23</v>
      </c>
      <c r="K2303">
        <v>0</v>
      </c>
      <c r="L2303">
        <v>27.2</v>
      </c>
      <c r="M2303">
        <v>11.9</v>
      </c>
      <c r="N2303" t="s">
        <v>52</v>
      </c>
      <c r="O2303" t="s">
        <v>75</v>
      </c>
      <c r="P2303" t="s">
        <v>68</v>
      </c>
      <c r="R2303">
        <f>SUMIF(A2303:A7302,"C02302",I2303:I7302)</f>
        <v>1542.55</v>
      </c>
      <c r="S2303" s="1">
        <v>2410.54</v>
      </c>
      <c r="T2303">
        <f t="shared" si="261"/>
        <v>67.0673913043478</v>
      </c>
      <c r="U2303">
        <f t="shared" si="262"/>
        <v>273.7</v>
      </c>
      <c r="V2303">
        <f t="shared" si="258"/>
        <v>22.8083333333333</v>
      </c>
      <c r="W2303">
        <f t="shared" si="259"/>
        <v>707.593333333333</v>
      </c>
      <c r="X2303">
        <f t="shared" si="263"/>
        <v>1.59522124199368</v>
      </c>
      <c r="AH2303" t="str">
        <f t="shared" si="260"/>
        <v>3rd Quality</v>
      </c>
      <c r="AJ2303">
        <f>((T2303-X2303)*2)/27.2</f>
        <v>4.81413015164368</v>
      </c>
      <c r="AK2303">
        <f t="shared" si="257"/>
        <v>61970.2695652174</v>
      </c>
    </row>
    <row r="2304" spans="1:37">
      <c r="A2304" t="s">
        <v>2370</v>
      </c>
      <c r="B2304">
        <v>58</v>
      </c>
      <c r="C2304" t="s">
        <v>44</v>
      </c>
      <c r="D2304" t="s">
        <v>45</v>
      </c>
      <c r="E2304">
        <v>825</v>
      </c>
      <c r="F2304">
        <v>1</v>
      </c>
      <c r="G2304">
        <v>11</v>
      </c>
      <c r="H2304">
        <v>1033.66</v>
      </c>
      <c r="I2304">
        <v>12637.93</v>
      </c>
      <c r="J2304">
        <v>66</v>
      </c>
      <c r="K2304">
        <v>0</v>
      </c>
      <c r="L2304">
        <v>22.9</v>
      </c>
      <c r="M2304">
        <v>12.8</v>
      </c>
      <c r="N2304" t="s">
        <v>63</v>
      </c>
      <c r="O2304" t="s">
        <v>47</v>
      </c>
      <c r="P2304" t="s">
        <v>58</v>
      </c>
      <c r="R2304">
        <f>SUMIF(A2304:A7303,"C02303",I2304:I7303)</f>
        <v>12637.93</v>
      </c>
      <c r="S2304" s="1">
        <v>10409.5</v>
      </c>
      <c r="T2304">
        <f t="shared" si="261"/>
        <v>191.483787878788</v>
      </c>
      <c r="U2304">
        <f t="shared" si="262"/>
        <v>844.8</v>
      </c>
      <c r="V2304">
        <f t="shared" si="258"/>
        <v>70.4</v>
      </c>
      <c r="W2304">
        <f t="shared" si="259"/>
        <v>4557.53</v>
      </c>
      <c r="X2304">
        <f t="shared" si="263"/>
        <v>0.79813478319757</v>
      </c>
      <c r="AH2304" t="str">
        <f t="shared" si="260"/>
        <v>3rd Quality</v>
      </c>
      <c r="AJ2304">
        <f>((T2304-X2304)*2)/22.9</f>
        <v>16.6537688293092</v>
      </c>
      <c r="AK2304">
        <f t="shared" si="257"/>
        <v>157974.125</v>
      </c>
    </row>
    <row r="2305" spans="1:37">
      <c r="A2305" t="s">
        <v>2371</v>
      </c>
      <c r="B2305">
        <v>18</v>
      </c>
      <c r="C2305" t="s">
        <v>50</v>
      </c>
      <c r="D2305" t="s">
        <v>60</v>
      </c>
      <c r="E2305">
        <v>839</v>
      </c>
      <c r="F2305">
        <v>32</v>
      </c>
      <c r="G2305">
        <v>2</v>
      </c>
      <c r="H2305">
        <v>1089.56</v>
      </c>
      <c r="I2305">
        <v>2410.54</v>
      </c>
      <c r="J2305">
        <v>26</v>
      </c>
      <c r="K2305">
        <v>0</v>
      </c>
      <c r="L2305">
        <v>22.5</v>
      </c>
      <c r="M2305">
        <v>12.4</v>
      </c>
      <c r="N2305" t="s">
        <v>63</v>
      </c>
      <c r="O2305" t="s">
        <v>47</v>
      </c>
      <c r="P2305" t="s">
        <v>58</v>
      </c>
      <c r="R2305">
        <f>SUMIF(A2305:A7304,"C02304",I2305:I7304)</f>
        <v>2410.54</v>
      </c>
      <c r="S2305" s="1">
        <v>24511.58</v>
      </c>
      <c r="T2305">
        <f t="shared" si="261"/>
        <v>92.7130769230769</v>
      </c>
      <c r="U2305">
        <f t="shared" si="262"/>
        <v>322.4</v>
      </c>
      <c r="V2305">
        <f t="shared" ref="V2305:V2368" si="264">U2305/12</f>
        <v>26.8666666666667</v>
      </c>
      <c r="W2305">
        <f t="shared" si="259"/>
        <v>1167.03333333333</v>
      </c>
      <c r="X2305">
        <f t="shared" si="263"/>
        <v>0.770035610705239</v>
      </c>
      <c r="AH2305" t="str">
        <f t="shared" si="260"/>
        <v>3rd Quality</v>
      </c>
      <c r="AJ2305">
        <f>((T2305-X2305)*2)/22.5</f>
        <v>8.17271478332193</v>
      </c>
      <c r="AK2305">
        <f t="shared" si="257"/>
        <v>77786.2715384615</v>
      </c>
    </row>
    <row r="2306" spans="1:37">
      <c r="A2306" t="s">
        <v>2372</v>
      </c>
      <c r="B2306">
        <v>39</v>
      </c>
      <c r="C2306" t="s">
        <v>44</v>
      </c>
      <c r="D2306" t="s">
        <v>60</v>
      </c>
      <c r="E2306">
        <v>1183</v>
      </c>
      <c r="F2306">
        <v>14</v>
      </c>
      <c r="G2306">
        <v>11</v>
      </c>
      <c r="H2306">
        <v>1015.94</v>
      </c>
      <c r="I2306">
        <v>10409.5</v>
      </c>
      <c r="J2306">
        <v>98</v>
      </c>
      <c r="K2306">
        <v>4</v>
      </c>
      <c r="L2306">
        <v>21</v>
      </c>
      <c r="M2306">
        <v>35.9</v>
      </c>
      <c r="N2306" t="s">
        <v>52</v>
      </c>
      <c r="O2306" t="s">
        <v>47</v>
      </c>
      <c r="P2306" t="s">
        <v>58</v>
      </c>
      <c r="R2306">
        <f>SUMIF(A2306:A7305,"C02305",I2306:I7305)</f>
        <v>10409.5</v>
      </c>
      <c r="S2306" s="1">
        <v>97704.8</v>
      </c>
      <c r="T2306">
        <f t="shared" si="261"/>
        <v>106.219387755102</v>
      </c>
      <c r="U2306">
        <f t="shared" si="262"/>
        <v>3518.2</v>
      </c>
      <c r="V2306">
        <f>U2306</f>
        <v>3518.2</v>
      </c>
      <c r="W2306">
        <f t="shared" si="259"/>
        <v>3808.81333333333</v>
      </c>
      <c r="X2306">
        <f t="shared" si="263"/>
        <v>1.16443884481367</v>
      </c>
      <c r="AH2306" t="str">
        <f t="shared" si="260"/>
        <v>3rd Quality</v>
      </c>
      <c r="AJ2306">
        <f>((T2306-X2306)*2)/21</f>
        <v>10.0052332295513</v>
      </c>
      <c r="AK2306">
        <f t="shared" si="257"/>
        <v>125657.535714286</v>
      </c>
    </row>
    <row r="2307" spans="1:37">
      <c r="A2307" t="s">
        <v>2373</v>
      </c>
      <c r="B2307">
        <v>21</v>
      </c>
      <c r="C2307" t="s">
        <v>50</v>
      </c>
      <c r="D2307" t="s">
        <v>60</v>
      </c>
      <c r="E2307">
        <v>427</v>
      </c>
      <c r="F2307">
        <v>12</v>
      </c>
      <c r="G2307">
        <v>15</v>
      </c>
      <c r="H2307">
        <v>1743.49</v>
      </c>
      <c r="I2307">
        <v>24511.58</v>
      </c>
      <c r="J2307">
        <v>110</v>
      </c>
      <c r="K2307">
        <v>1</v>
      </c>
      <c r="L2307">
        <v>30.9</v>
      </c>
      <c r="M2307">
        <v>15.9</v>
      </c>
      <c r="N2307" t="s">
        <v>52</v>
      </c>
      <c r="O2307" t="s">
        <v>47</v>
      </c>
      <c r="P2307" t="s">
        <v>68</v>
      </c>
      <c r="R2307">
        <f>SUMIF(A2307:A7306,"C02306",I2307:I7306)</f>
        <v>24511.58</v>
      </c>
      <c r="S2307" s="1">
        <v>9332.71</v>
      </c>
      <c r="T2307">
        <f t="shared" si="261"/>
        <v>222.832545454545</v>
      </c>
      <c r="U2307">
        <f t="shared" si="262"/>
        <v>1749</v>
      </c>
      <c r="V2307">
        <f>U2307</f>
        <v>1749</v>
      </c>
      <c r="W2307">
        <f t="shared" si="259"/>
        <v>8752.02333333333</v>
      </c>
      <c r="X2307">
        <f t="shared" si="263"/>
        <v>0.24491106917734</v>
      </c>
      <c r="AH2307" t="str">
        <f t="shared" si="260"/>
        <v>3rd Quality</v>
      </c>
      <c r="AJ2307">
        <f>((T2307-X2307)*2)/30.9</f>
        <v>14.4069666268846</v>
      </c>
      <c r="AK2307">
        <f t="shared" ref="AK2307:AK2370" si="265">I2307/J2307*E2307</f>
        <v>95149.4969090909</v>
      </c>
    </row>
    <row r="2308" spans="1:37">
      <c r="A2308" t="s">
        <v>2374</v>
      </c>
      <c r="B2308">
        <v>44</v>
      </c>
      <c r="C2308" t="s">
        <v>50</v>
      </c>
      <c r="D2308" t="s">
        <v>60</v>
      </c>
      <c r="E2308">
        <v>1189</v>
      </c>
      <c r="F2308">
        <v>13</v>
      </c>
      <c r="G2308">
        <v>6</v>
      </c>
      <c r="H2308">
        <v>15976.98</v>
      </c>
      <c r="I2308">
        <v>97704.8</v>
      </c>
      <c r="J2308">
        <v>34</v>
      </c>
      <c r="K2308">
        <v>0</v>
      </c>
      <c r="L2308">
        <v>0</v>
      </c>
      <c r="M2308">
        <v>29.8</v>
      </c>
      <c r="N2308" t="s">
        <v>46</v>
      </c>
      <c r="O2308" t="s">
        <v>75</v>
      </c>
      <c r="P2308" t="s">
        <v>66</v>
      </c>
      <c r="R2308">
        <f>SUMIF(A2308:A7307,"C02307",I2308:I7307)</f>
        <v>97704.8</v>
      </c>
      <c r="S2308" s="1">
        <v>15888.54</v>
      </c>
      <c r="T2308">
        <f t="shared" si="261"/>
        <v>2873.67058823529</v>
      </c>
      <c r="U2308">
        <f t="shared" si="262"/>
        <v>1013.2</v>
      </c>
      <c r="V2308">
        <f t="shared" si="264"/>
        <v>84.4333333333333</v>
      </c>
      <c r="W2308">
        <f t="shared" si="259"/>
        <v>37894.26</v>
      </c>
      <c r="X2308">
        <f t="shared" si="263"/>
        <v>0.0744195711580036</v>
      </c>
      <c r="AH2308" t="str">
        <f t="shared" si="260"/>
        <v>3rd Quality</v>
      </c>
      <c r="AJ2308">
        <f>((T2308-X2308)*2)</f>
        <v>5747.19233732826</v>
      </c>
      <c r="AK2308">
        <f t="shared" si="265"/>
        <v>3416794.32941177</v>
      </c>
    </row>
    <row r="2309" spans="1:37">
      <c r="A2309" t="s">
        <v>2375</v>
      </c>
      <c r="B2309">
        <v>46</v>
      </c>
      <c r="C2309" t="s">
        <v>44</v>
      </c>
      <c r="D2309" t="s">
        <v>60</v>
      </c>
      <c r="E2309">
        <v>484</v>
      </c>
      <c r="F2309">
        <v>15</v>
      </c>
      <c r="G2309">
        <v>11</v>
      </c>
      <c r="H2309">
        <v>863.47</v>
      </c>
      <c r="I2309">
        <v>9332.71</v>
      </c>
      <c r="J2309">
        <v>50</v>
      </c>
      <c r="K2309">
        <v>1</v>
      </c>
      <c r="L2309">
        <v>28.4</v>
      </c>
      <c r="M2309">
        <v>36.1</v>
      </c>
      <c r="N2309" t="s">
        <v>52</v>
      </c>
      <c r="O2309" t="s">
        <v>47</v>
      </c>
      <c r="P2309" t="s">
        <v>58</v>
      </c>
      <c r="R2309">
        <f>SUMIF(A2309:A7308,"C02308",I2309:I7308)</f>
        <v>9332.71</v>
      </c>
      <c r="S2309" s="1">
        <v>6520.65</v>
      </c>
      <c r="T2309">
        <f t="shared" si="261"/>
        <v>186.6542</v>
      </c>
      <c r="U2309">
        <f t="shared" si="262"/>
        <v>1805</v>
      </c>
      <c r="V2309">
        <f>U2309</f>
        <v>1805</v>
      </c>
      <c r="W2309">
        <f t="shared" si="259"/>
        <v>3399.06</v>
      </c>
      <c r="X2309">
        <f t="shared" si="263"/>
        <v>0.560529028223331</v>
      </c>
      <c r="AH2309" t="str">
        <f t="shared" si="260"/>
        <v>3rd Quality</v>
      </c>
      <c r="AJ2309">
        <f>((T2309-X2309)*2)/28.4</f>
        <v>13.105188096604</v>
      </c>
      <c r="AK2309">
        <f t="shared" si="265"/>
        <v>90340.6328</v>
      </c>
    </row>
    <row r="2310" spans="1:37">
      <c r="A2310" t="s">
        <v>2376</v>
      </c>
      <c r="B2310">
        <v>25</v>
      </c>
      <c r="C2310" t="s">
        <v>44</v>
      </c>
      <c r="D2310" t="s">
        <v>60</v>
      </c>
      <c r="E2310">
        <v>1144</v>
      </c>
      <c r="F2310">
        <v>37</v>
      </c>
      <c r="G2310">
        <v>1</v>
      </c>
      <c r="H2310">
        <v>14535.71</v>
      </c>
      <c r="I2310">
        <v>15888.54</v>
      </c>
      <c r="J2310">
        <v>15</v>
      </c>
      <c r="K2310">
        <v>0</v>
      </c>
      <c r="L2310">
        <v>19.9</v>
      </c>
      <c r="M2310">
        <v>51.5</v>
      </c>
      <c r="N2310" t="s">
        <v>63</v>
      </c>
      <c r="O2310" t="s">
        <v>47</v>
      </c>
      <c r="P2310" t="s">
        <v>48</v>
      </c>
      <c r="R2310">
        <f>SUMIF(A2310:A7309,"C02309",I2310:I7309)</f>
        <v>15888.54</v>
      </c>
      <c r="S2310" s="1">
        <v>1661.17</v>
      </c>
      <c r="T2310">
        <f t="shared" si="261"/>
        <v>1059.236</v>
      </c>
      <c r="U2310">
        <f t="shared" si="262"/>
        <v>772.5</v>
      </c>
      <c r="V2310">
        <f t="shared" si="264"/>
        <v>64.375</v>
      </c>
      <c r="W2310">
        <f t="shared" si="259"/>
        <v>10141.75</v>
      </c>
      <c r="X2310">
        <f t="shared" si="263"/>
        <v>0.0787027259074376</v>
      </c>
      <c r="AH2310" t="str">
        <f t="shared" si="260"/>
        <v>2nd Quality</v>
      </c>
      <c r="AJ2310">
        <f>((T2310-X2310)*2)/19.9</f>
        <v>106.447969575286</v>
      </c>
      <c r="AK2310">
        <f t="shared" si="265"/>
        <v>1211765.984</v>
      </c>
    </row>
    <row r="2311" spans="1:37">
      <c r="A2311" t="s">
        <v>2377</v>
      </c>
      <c r="B2311">
        <v>53</v>
      </c>
      <c r="C2311" t="s">
        <v>50</v>
      </c>
      <c r="D2311" t="s">
        <v>60</v>
      </c>
      <c r="E2311">
        <v>711</v>
      </c>
      <c r="F2311">
        <v>15</v>
      </c>
      <c r="G2311">
        <v>3</v>
      </c>
      <c r="H2311">
        <v>2212.36</v>
      </c>
      <c r="I2311">
        <v>6520.65</v>
      </c>
      <c r="J2311">
        <v>25</v>
      </c>
      <c r="K2311">
        <v>0</v>
      </c>
      <c r="L2311">
        <v>6.7</v>
      </c>
      <c r="M2311">
        <v>28</v>
      </c>
      <c r="N2311" t="s">
        <v>52</v>
      </c>
      <c r="O2311" t="s">
        <v>47</v>
      </c>
      <c r="P2311" t="s">
        <v>58</v>
      </c>
      <c r="R2311">
        <f>SUMIF(A2311:A7310,"C02310",I2311:I7310)</f>
        <v>6520.65</v>
      </c>
      <c r="S2311" s="1">
        <v>173402.54</v>
      </c>
      <c r="T2311">
        <f t="shared" si="261"/>
        <v>260.826</v>
      </c>
      <c r="U2311">
        <f t="shared" si="262"/>
        <v>700</v>
      </c>
      <c r="V2311">
        <f t="shared" si="264"/>
        <v>58.3333333333333</v>
      </c>
      <c r="W2311">
        <f t="shared" si="259"/>
        <v>2911.33666666667</v>
      </c>
      <c r="X2311">
        <f t="shared" si="263"/>
        <v>0.321376267876837</v>
      </c>
      <c r="AH2311" t="str">
        <f t="shared" si="260"/>
        <v>3rd Quality</v>
      </c>
      <c r="AJ2311">
        <f>((T2311-X2311)*2)/6.7</f>
        <v>77.762574248395</v>
      </c>
      <c r="AK2311">
        <f t="shared" si="265"/>
        <v>185447.286</v>
      </c>
    </row>
    <row r="2312" spans="1:37">
      <c r="A2312" t="s">
        <v>2378</v>
      </c>
      <c r="B2312">
        <v>18</v>
      </c>
      <c r="C2312" t="s">
        <v>50</v>
      </c>
      <c r="D2312" t="s">
        <v>60</v>
      </c>
      <c r="E2312">
        <v>938</v>
      </c>
      <c r="F2312">
        <v>247</v>
      </c>
      <c r="G2312">
        <v>1</v>
      </c>
      <c r="H2312">
        <v>1820.26</v>
      </c>
      <c r="I2312">
        <v>1661.17</v>
      </c>
      <c r="J2312">
        <v>12</v>
      </c>
      <c r="K2312">
        <v>1</v>
      </c>
      <c r="L2312">
        <v>3.4</v>
      </c>
      <c r="M2312">
        <v>17.6</v>
      </c>
      <c r="N2312" t="s">
        <v>81</v>
      </c>
      <c r="O2312" t="s">
        <v>47</v>
      </c>
      <c r="P2312" t="s">
        <v>58</v>
      </c>
      <c r="R2312">
        <f>SUMIF(A2312:A7311,"C02311",I2312:I7311)</f>
        <v>1661.17</v>
      </c>
      <c r="S2312" s="1">
        <v>6887.78</v>
      </c>
      <c r="T2312">
        <f t="shared" si="261"/>
        <v>138.430833333333</v>
      </c>
      <c r="U2312">
        <f t="shared" si="262"/>
        <v>211.2</v>
      </c>
      <c r="V2312">
        <f>U2312</f>
        <v>211.2</v>
      </c>
      <c r="W2312">
        <f t="shared" si="259"/>
        <v>1160.81</v>
      </c>
      <c r="X2312">
        <f t="shared" si="263"/>
        <v>0.51531099952754</v>
      </c>
      <c r="AH2312" t="str">
        <f t="shared" si="260"/>
        <v>3rd Quality</v>
      </c>
      <c r="AJ2312">
        <f>((T2312-X2312)*2)/3.4</f>
        <v>81.126777843415</v>
      </c>
      <c r="AK2312">
        <f t="shared" si="265"/>
        <v>129848.121666667</v>
      </c>
    </row>
    <row r="2313" spans="1:37">
      <c r="A2313" t="s">
        <v>2379</v>
      </c>
      <c r="B2313">
        <v>39</v>
      </c>
      <c r="C2313" t="s">
        <v>50</v>
      </c>
      <c r="D2313" t="s">
        <v>45</v>
      </c>
      <c r="E2313">
        <v>634</v>
      </c>
      <c r="F2313">
        <v>7</v>
      </c>
      <c r="G2313">
        <v>30</v>
      </c>
      <c r="H2313">
        <v>5716.08</v>
      </c>
      <c r="I2313">
        <v>173402.54</v>
      </c>
      <c r="J2313">
        <v>122</v>
      </c>
      <c r="K2313">
        <v>3</v>
      </c>
      <c r="L2313">
        <v>10.3</v>
      </c>
      <c r="M2313">
        <v>37.7</v>
      </c>
      <c r="N2313" t="s">
        <v>63</v>
      </c>
      <c r="O2313" t="s">
        <v>75</v>
      </c>
      <c r="P2313" t="s">
        <v>58</v>
      </c>
      <c r="R2313">
        <f>SUMIF(A2313:A7312,"C02312",I2313:I7312)</f>
        <v>173402.54</v>
      </c>
      <c r="S2313" s="1">
        <v>103061.5</v>
      </c>
      <c r="T2313">
        <f t="shared" si="261"/>
        <v>1421.33229508197</v>
      </c>
      <c r="U2313">
        <f t="shared" si="262"/>
        <v>4599.4</v>
      </c>
      <c r="V2313">
        <f>U2313</f>
        <v>4599.4</v>
      </c>
      <c r="W2313">
        <f t="shared" ref="W2313:W2376" si="266">(H2313+I2313+1)/3</f>
        <v>59706.54</v>
      </c>
      <c r="X2313">
        <f t="shared" si="263"/>
        <v>0.110915172635792</v>
      </c>
      <c r="AH2313" t="str">
        <f t="shared" si="260"/>
        <v>2nd Quality</v>
      </c>
      <c r="AJ2313">
        <f>((T2313-X2313)*2)/10.3</f>
        <v>275.965316487249</v>
      </c>
      <c r="AK2313">
        <f t="shared" si="265"/>
        <v>901124.675081967</v>
      </c>
    </row>
    <row r="2314" spans="1:37">
      <c r="A2314" t="s">
        <v>2380</v>
      </c>
      <c r="B2314">
        <v>39</v>
      </c>
      <c r="C2314" t="s">
        <v>50</v>
      </c>
      <c r="D2314" t="s">
        <v>45</v>
      </c>
      <c r="E2314">
        <v>1442</v>
      </c>
      <c r="F2314">
        <v>8</v>
      </c>
      <c r="G2314">
        <v>6</v>
      </c>
      <c r="H2314">
        <v>1265.42</v>
      </c>
      <c r="I2314">
        <v>6887.78</v>
      </c>
      <c r="J2314">
        <v>53</v>
      </c>
      <c r="K2314">
        <v>0</v>
      </c>
      <c r="L2314">
        <v>26.5</v>
      </c>
      <c r="M2314">
        <v>10.7</v>
      </c>
      <c r="N2314" t="s">
        <v>57</v>
      </c>
      <c r="O2314" t="s">
        <v>47</v>
      </c>
      <c r="P2314" t="s">
        <v>48</v>
      </c>
      <c r="R2314">
        <f>SUMIF(A2314:A7313,"C02313",I2314:I7313)</f>
        <v>6887.78</v>
      </c>
      <c r="S2314" s="1">
        <v>10088.64</v>
      </c>
      <c r="T2314">
        <f t="shared" si="261"/>
        <v>129.958113207547</v>
      </c>
      <c r="U2314">
        <f t="shared" si="262"/>
        <v>567.1</v>
      </c>
      <c r="V2314">
        <f>U2314/12</f>
        <v>47.2583333333333</v>
      </c>
      <c r="W2314">
        <f t="shared" si="266"/>
        <v>2718.06666666667</v>
      </c>
      <c r="X2314">
        <f t="shared" si="263"/>
        <v>1.1395426024561</v>
      </c>
      <c r="AH2314" t="str">
        <f t="shared" si="260"/>
        <v>3rd Quality</v>
      </c>
      <c r="AJ2314">
        <f>((T2314-X2314)*2)/26.5</f>
        <v>9.72215627208233</v>
      </c>
      <c r="AK2314">
        <f t="shared" si="265"/>
        <v>187399.599245283</v>
      </c>
    </row>
    <row r="2315" spans="1:37">
      <c r="A2315" t="s">
        <v>2381</v>
      </c>
      <c r="B2315">
        <v>39</v>
      </c>
      <c r="C2315" t="s">
        <v>50</v>
      </c>
      <c r="D2315" t="s">
        <v>45</v>
      </c>
      <c r="E2315">
        <v>565</v>
      </c>
      <c r="F2315">
        <v>14</v>
      </c>
      <c r="G2315">
        <v>28</v>
      </c>
      <c r="H2315">
        <v>3728</v>
      </c>
      <c r="I2315">
        <v>103061.5</v>
      </c>
      <c r="J2315">
        <v>151</v>
      </c>
      <c r="K2315">
        <v>7</v>
      </c>
      <c r="L2315">
        <v>9.3</v>
      </c>
      <c r="M2315">
        <v>22</v>
      </c>
      <c r="N2315" t="s">
        <v>46</v>
      </c>
      <c r="O2315" t="s">
        <v>47</v>
      </c>
      <c r="P2315" t="s">
        <v>58</v>
      </c>
      <c r="R2315">
        <f>SUMIF(A2315:A7314,"C02314",I2315:I7314)</f>
        <v>103061.5</v>
      </c>
      <c r="S2315" s="1">
        <v>15225.82</v>
      </c>
      <c r="T2315">
        <f t="shared" si="261"/>
        <v>682.526490066225</v>
      </c>
      <c r="U2315">
        <f t="shared" si="262"/>
        <v>3322</v>
      </c>
      <c r="V2315">
        <f>U2315</f>
        <v>3322</v>
      </c>
      <c r="W2315">
        <f t="shared" si="266"/>
        <v>35596.8333333333</v>
      </c>
      <c r="X2315">
        <f t="shared" si="263"/>
        <v>0.151555793991416</v>
      </c>
      <c r="AH2315" t="str">
        <f t="shared" si="260"/>
        <v>2nd Quality</v>
      </c>
      <c r="AJ2315">
        <f>((T2315-X2315)*2)/9.3</f>
        <v>146.747297692953</v>
      </c>
      <c r="AK2315">
        <f t="shared" si="265"/>
        <v>385627.466887417</v>
      </c>
    </row>
    <row r="2316" spans="1:37">
      <c r="A2316" t="s">
        <v>2382</v>
      </c>
      <c r="B2316">
        <v>45</v>
      </c>
      <c r="C2316" t="s">
        <v>50</v>
      </c>
      <c r="D2316" t="s">
        <v>51</v>
      </c>
      <c r="E2316">
        <v>818</v>
      </c>
      <c r="F2316">
        <v>44</v>
      </c>
      <c r="G2316">
        <v>7</v>
      </c>
      <c r="H2316">
        <v>1414.99</v>
      </c>
      <c r="I2316">
        <v>10088.64</v>
      </c>
      <c r="J2316">
        <v>30</v>
      </c>
      <c r="K2316">
        <v>0</v>
      </c>
      <c r="L2316">
        <v>7.1</v>
      </c>
      <c r="M2316">
        <v>24</v>
      </c>
      <c r="N2316" t="s">
        <v>52</v>
      </c>
      <c r="O2316" t="s">
        <v>47</v>
      </c>
      <c r="P2316" t="s">
        <v>58</v>
      </c>
      <c r="R2316">
        <f>SUMIF(A2316:A7315,"C02315",I2316:I7315)</f>
        <v>10088.64</v>
      </c>
      <c r="S2316" s="1">
        <v>54312.54</v>
      </c>
      <c r="T2316">
        <f t="shared" si="261"/>
        <v>336.288</v>
      </c>
      <c r="U2316">
        <f t="shared" si="262"/>
        <v>720</v>
      </c>
      <c r="V2316">
        <f>U2316/12</f>
        <v>60</v>
      </c>
      <c r="W2316">
        <f t="shared" si="266"/>
        <v>3834.87666666667</v>
      </c>
      <c r="X2316">
        <f t="shared" ref="X2316:X2379" si="267">E2316/H2316</f>
        <v>0.578095958275323</v>
      </c>
      <c r="AH2316" t="str">
        <f t="shared" si="260"/>
        <v>3rd Quality</v>
      </c>
      <c r="AJ2316">
        <f>((T2316-X2316)*2)/7.1</f>
        <v>94.5661701525985</v>
      </c>
      <c r="AK2316">
        <f t="shared" si="265"/>
        <v>275083.584</v>
      </c>
    </row>
    <row r="2317" spans="1:37">
      <c r="A2317" t="s">
        <v>2383</v>
      </c>
      <c r="B2317">
        <v>37</v>
      </c>
      <c r="C2317" t="s">
        <v>44</v>
      </c>
      <c r="D2317" t="s">
        <v>60</v>
      </c>
      <c r="E2317">
        <v>1298</v>
      </c>
      <c r="F2317">
        <v>17</v>
      </c>
      <c r="G2317">
        <v>10</v>
      </c>
      <c r="H2317">
        <v>1375.56</v>
      </c>
      <c r="I2317">
        <v>15225.82</v>
      </c>
      <c r="J2317">
        <v>71</v>
      </c>
      <c r="K2317">
        <v>0</v>
      </c>
      <c r="L2317">
        <v>10.2</v>
      </c>
      <c r="M2317">
        <v>42.2</v>
      </c>
      <c r="N2317" t="s">
        <v>81</v>
      </c>
      <c r="O2317" t="s">
        <v>53</v>
      </c>
      <c r="P2317" t="s">
        <v>58</v>
      </c>
      <c r="R2317">
        <f>SUMIF(A2317:A7316,"C02316",I2317:I7316)</f>
        <v>15225.82</v>
      </c>
      <c r="S2317" s="1">
        <v>2688.47</v>
      </c>
      <c r="T2317">
        <f t="shared" si="261"/>
        <v>214.448169014084</v>
      </c>
      <c r="U2317">
        <f t="shared" si="262"/>
        <v>2996.2</v>
      </c>
      <c r="V2317">
        <f t="shared" si="264"/>
        <v>249.683333333333</v>
      </c>
      <c r="W2317">
        <f t="shared" si="266"/>
        <v>5534.12666666667</v>
      </c>
      <c r="X2317">
        <f t="shared" si="267"/>
        <v>0.943615691064003</v>
      </c>
      <c r="AH2317" t="str">
        <f t="shared" si="260"/>
        <v>3rd Quality</v>
      </c>
      <c r="AJ2317">
        <f>((T2317-X2317)*2)/10.2</f>
        <v>41.8636379064745</v>
      </c>
      <c r="AK2317">
        <f t="shared" si="265"/>
        <v>278353.723380282</v>
      </c>
    </row>
    <row r="2318" spans="1:37">
      <c r="A2318" t="s">
        <v>2384</v>
      </c>
      <c r="B2318">
        <v>38</v>
      </c>
      <c r="C2318" t="s">
        <v>44</v>
      </c>
      <c r="D2318" t="s">
        <v>45</v>
      </c>
      <c r="E2318">
        <v>783</v>
      </c>
      <c r="F2318">
        <v>13</v>
      </c>
      <c r="G2318">
        <v>15</v>
      </c>
      <c r="H2318">
        <v>3809.78</v>
      </c>
      <c r="I2318">
        <v>54312.54</v>
      </c>
      <c r="J2318">
        <v>50</v>
      </c>
      <c r="K2318">
        <v>0</v>
      </c>
      <c r="L2318">
        <v>5.4</v>
      </c>
      <c r="M2318">
        <v>31.3</v>
      </c>
      <c r="N2318" t="s">
        <v>63</v>
      </c>
      <c r="O2318" t="s">
        <v>47</v>
      </c>
      <c r="P2318" t="s">
        <v>58</v>
      </c>
      <c r="R2318">
        <f>SUMIF(A2318:A7317,"C02317",I2318:I7317)</f>
        <v>54312.54</v>
      </c>
      <c r="S2318" s="1">
        <v>49902.44</v>
      </c>
      <c r="T2318">
        <f t="shared" si="261"/>
        <v>1086.2508</v>
      </c>
      <c r="U2318">
        <f t="shared" si="262"/>
        <v>1565</v>
      </c>
      <c r="V2318">
        <f t="shared" si="264"/>
        <v>130.416666666667</v>
      </c>
      <c r="W2318">
        <f t="shared" si="266"/>
        <v>19374.44</v>
      </c>
      <c r="X2318">
        <f t="shared" si="267"/>
        <v>0.205523678532619</v>
      </c>
      <c r="AH2318" t="str">
        <f t="shared" ref="AH2318:AH2381" si="268">IF(AND(W2318&gt;=12550,B2318&lt;=33,E2318&gt;=915),"1st Quality",IF(AND(W2318&gt;=6275,B2318&lt;=43,E2318&gt;=457),"2nd Quality","3rd Quality"))</f>
        <v>2nd Quality</v>
      </c>
      <c r="AJ2318">
        <f>((T2318-X2318)*2)/5.4</f>
        <v>402.238991230173</v>
      </c>
      <c r="AK2318">
        <f t="shared" si="265"/>
        <v>850534.3764</v>
      </c>
    </row>
    <row r="2319" spans="1:37">
      <c r="A2319" t="s">
        <v>2385</v>
      </c>
      <c r="B2319">
        <v>21</v>
      </c>
      <c r="C2319" t="s">
        <v>50</v>
      </c>
      <c r="D2319" t="s">
        <v>60</v>
      </c>
      <c r="E2319">
        <v>401</v>
      </c>
      <c r="F2319">
        <v>201</v>
      </c>
      <c r="G2319">
        <v>3</v>
      </c>
      <c r="H2319">
        <v>865.13</v>
      </c>
      <c r="I2319">
        <v>2688.47</v>
      </c>
      <c r="J2319">
        <v>15</v>
      </c>
      <c r="K2319">
        <v>0</v>
      </c>
      <c r="L2319">
        <v>31.9</v>
      </c>
      <c r="M2319">
        <v>74</v>
      </c>
      <c r="N2319" t="s">
        <v>78</v>
      </c>
      <c r="O2319" t="s">
        <v>47</v>
      </c>
      <c r="P2319" t="s">
        <v>58</v>
      </c>
      <c r="R2319">
        <f>SUMIF(A2319:A7318,"C02318",I2319:I7318)</f>
        <v>2688.47</v>
      </c>
      <c r="S2319" s="1">
        <v>1435.47</v>
      </c>
      <c r="T2319">
        <f t="shared" si="261"/>
        <v>179.231333333333</v>
      </c>
      <c r="U2319">
        <f t="shared" si="262"/>
        <v>1110</v>
      </c>
      <c r="V2319">
        <f t="shared" si="264"/>
        <v>92.5</v>
      </c>
      <c r="W2319">
        <f t="shared" si="266"/>
        <v>1184.86666666667</v>
      </c>
      <c r="X2319">
        <f t="shared" si="267"/>
        <v>0.463514153942182</v>
      </c>
      <c r="AH2319" t="str">
        <f t="shared" si="268"/>
        <v>3rd Quality</v>
      </c>
      <c r="AJ2319">
        <f>((T2319-X2319)*2)/31.9</f>
        <v>11.2080137416546</v>
      </c>
      <c r="AK2319">
        <f t="shared" si="265"/>
        <v>71871.7646666667</v>
      </c>
    </row>
    <row r="2320" spans="1:37">
      <c r="A2320" t="s">
        <v>2386</v>
      </c>
      <c r="B2320">
        <v>25</v>
      </c>
      <c r="C2320" t="s">
        <v>44</v>
      </c>
      <c r="D2320" t="s">
        <v>51</v>
      </c>
      <c r="E2320">
        <v>589</v>
      </c>
      <c r="F2320">
        <v>2</v>
      </c>
      <c r="G2320">
        <v>5</v>
      </c>
      <c r="H2320">
        <v>11340.91</v>
      </c>
      <c r="I2320">
        <v>49902.44</v>
      </c>
      <c r="J2320">
        <v>34</v>
      </c>
      <c r="K2320">
        <v>0</v>
      </c>
      <c r="L2320">
        <v>3.5</v>
      </c>
      <c r="M2320">
        <v>47</v>
      </c>
      <c r="N2320" t="s">
        <v>57</v>
      </c>
      <c r="O2320" t="s">
        <v>47</v>
      </c>
      <c r="P2320" t="s">
        <v>58</v>
      </c>
      <c r="R2320">
        <f>SUMIF(A2320:A7319,"C02319",I2320:I7319)</f>
        <v>49902.44</v>
      </c>
      <c r="S2320" s="1">
        <v>72009.48</v>
      </c>
      <c r="T2320">
        <f t="shared" si="261"/>
        <v>1467.71882352941</v>
      </c>
      <c r="U2320">
        <f t="shared" si="262"/>
        <v>1598</v>
      </c>
      <c r="V2320">
        <f t="shared" si="264"/>
        <v>133.166666666667</v>
      </c>
      <c r="W2320">
        <f t="shared" si="266"/>
        <v>20414.7833333333</v>
      </c>
      <c r="X2320">
        <f t="shared" si="267"/>
        <v>0.0519358675802912</v>
      </c>
      <c r="AH2320" t="str">
        <f t="shared" si="268"/>
        <v>2nd Quality</v>
      </c>
      <c r="AJ2320">
        <f>((T2320-X2320)*2)/3.5</f>
        <v>838.666792949617</v>
      </c>
      <c r="AK2320">
        <f t="shared" si="265"/>
        <v>864486.387058824</v>
      </c>
    </row>
    <row r="2321" spans="1:37">
      <c r="A2321" t="s">
        <v>2387</v>
      </c>
      <c r="B2321">
        <v>30</v>
      </c>
      <c r="C2321" t="s">
        <v>44</v>
      </c>
      <c r="D2321" t="s">
        <v>45</v>
      </c>
      <c r="E2321">
        <v>607</v>
      </c>
      <c r="F2321">
        <v>76</v>
      </c>
      <c r="G2321">
        <v>1</v>
      </c>
      <c r="H2321">
        <v>1317.98</v>
      </c>
      <c r="I2321">
        <v>1435.47</v>
      </c>
      <c r="J2321">
        <v>12</v>
      </c>
      <c r="K2321">
        <v>0</v>
      </c>
      <c r="L2321">
        <v>18.5</v>
      </c>
      <c r="M2321">
        <v>22.2</v>
      </c>
      <c r="N2321" t="s">
        <v>78</v>
      </c>
      <c r="O2321" t="s">
        <v>47</v>
      </c>
      <c r="P2321" t="s">
        <v>48</v>
      </c>
      <c r="R2321">
        <f>SUMIF(A2321:A7320,"C02320",I2321:I7320)</f>
        <v>1435.47</v>
      </c>
      <c r="S2321" s="1">
        <v>48773.92</v>
      </c>
      <c r="T2321">
        <f t="shared" si="261"/>
        <v>119.6225</v>
      </c>
      <c r="U2321">
        <f t="shared" si="262"/>
        <v>266.4</v>
      </c>
      <c r="V2321">
        <f t="shared" si="264"/>
        <v>22.2</v>
      </c>
      <c r="W2321">
        <f t="shared" si="266"/>
        <v>918.15</v>
      </c>
      <c r="X2321">
        <f t="shared" si="267"/>
        <v>0.460553270914581</v>
      </c>
      <c r="AH2321" t="str">
        <f t="shared" si="268"/>
        <v>3rd Quality</v>
      </c>
      <c r="AJ2321">
        <f>((T2321-X2321)*2)/18.5</f>
        <v>12.8823726193606</v>
      </c>
      <c r="AK2321">
        <f t="shared" si="265"/>
        <v>72610.8575</v>
      </c>
    </row>
    <row r="2322" spans="1:37">
      <c r="A2322" t="s">
        <v>2388</v>
      </c>
      <c r="B2322">
        <v>46</v>
      </c>
      <c r="C2322" t="s">
        <v>44</v>
      </c>
      <c r="D2322" t="s">
        <v>60</v>
      </c>
      <c r="E2322">
        <v>457</v>
      </c>
      <c r="F2322">
        <v>16</v>
      </c>
      <c r="G2322">
        <v>30</v>
      </c>
      <c r="H2322">
        <v>2510.52</v>
      </c>
      <c r="I2322">
        <v>72009.48</v>
      </c>
      <c r="J2322">
        <v>68</v>
      </c>
      <c r="K2322">
        <v>1</v>
      </c>
      <c r="L2322">
        <v>10.3</v>
      </c>
      <c r="M2322">
        <v>38.6</v>
      </c>
      <c r="N2322" t="s">
        <v>46</v>
      </c>
      <c r="O2322" t="s">
        <v>53</v>
      </c>
      <c r="P2322" t="s">
        <v>58</v>
      </c>
      <c r="R2322">
        <f>SUMIF(A2322:A7321,"C02321",I2322:I7321)</f>
        <v>72009.48</v>
      </c>
      <c r="S2322" s="1">
        <v>9568.18</v>
      </c>
      <c r="T2322">
        <f t="shared" si="261"/>
        <v>1058.96294117647</v>
      </c>
      <c r="U2322">
        <f t="shared" si="262"/>
        <v>2624.8</v>
      </c>
      <c r="V2322">
        <f>U2322</f>
        <v>2624.8</v>
      </c>
      <c r="W2322">
        <f t="shared" si="266"/>
        <v>24840.3333333333</v>
      </c>
      <c r="X2322">
        <f t="shared" si="267"/>
        <v>0.182034000924111</v>
      </c>
      <c r="AH2322" t="str">
        <f t="shared" si="268"/>
        <v>3rd Quality</v>
      </c>
      <c r="AJ2322">
        <f>((T2322-X2322)*2)/10.3</f>
        <v>205.588525665154</v>
      </c>
      <c r="AK2322">
        <f t="shared" si="265"/>
        <v>483946.064117647</v>
      </c>
    </row>
    <row r="2323" spans="1:37">
      <c r="A2323" t="s">
        <v>2389</v>
      </c>
      <c r="B2323">
        <v>40</v>
      </c>
      <c r="C2323" t="s">
        <v>50</v>
      </c>
      <c r="D2323" t="s">
        <v>60</v>
      </c>
      <c r="E2323">
        <v>1370</v>
      </c>
      <c r="F2323">
        <v>8</v>
      </c>
      <c r="G2323">
        <v>21</v>
      </c>
      <c r="H2323">
        <v>2476.62</v>
      </c>
      <c r="I2323">
        <v>48773.92</v>
      </c>
      <c r="J2323">
        <v>66</v>
      </c>
      <c r="K2323">
        <v>1</v>
      </c>
      <c r="L2323">
        <v>15.5</v>
      </c>
      <c r="M2323">
        <v>18.2</v>
      </c>
      <c r="N2323" t="s">
        <v>81</v>
      </c>
      <c r="O2323" t="s">
        <v>47</v>
      </c>
      <c r="P2323" t="s">
        <v>58</v>
      </c>
      <c r="R2323">
        <f>SUMIF(A2323:A7322,"C02322",I2323:I7322)</f>
        <v>48773.92</v>
      </c>
      <c r="S2323" s="1">
        <v>145723.71</v>
      </c>
      <c r="T2323">
        <f t="shared" si="261"/>
        <v>738.998787878788</v>
      </c>
      <c r="U2323">
        <f t="shared" si="262"/>
        <v>1201.2</v>
      </c>
      <c r="V2323">
        <f>U2323</f>
        <v>1201.2</v>
      </c>
      <c r="W2323">
        <f t="shared" si="266"/>
        <v>17083.8466666667</v>
      </c>
      <c r="X2323">
        <f t="shared" si="267"/>
        <v>0.553173276481656</v>
      </c>
      <c r="AH2323" t="str">
        <f t="shared" si="268"/>
        <v>2nd Quality</v>
      </c>
      <c r="AJ2323">
        <f>((T2323-X2323)*2)/15.5</f>
        <v>95.283305109975</v>
      </c>
      <c r="AK2323">
        <f t="shared" si="265"/>
        <v>1012428.33939394</v>
      </c>
    </row>
    <row r="2324" spans="1:37">
      <c r="A2324" t="s">
        <v>2390</v>
      </c>
      <c r="B2324">
        <v>36</v>
      </c>
      <c r="C2324" t="s">
        <v>44</v>
      </c>
      <c r="D2324" t="s">
        <v>60</v>
      </c>
      <c r="E2324">
        <v>1273</v>
      </c>
      <c r="F2324">
        <v>23</v>
      </c>
      <c r="G2324">
        <v>9</v>
      </c>
      <c r="H2324">
        <v>1175.25</v>
      </c>
      <c r="I2324">
        <v>9568.18</v>
      </c>
      <c r="J2324">
        <v>73</v>
      </c>
      <c r="K2324">
        <v>0</v>
      </c>
      <c r="L2324">
        <v>13.9</v>
      </c>
      <c r="M2324">
        <v>22.5</v>
      </c>
      <c r="N2324" t="s">
        <v>61</v>
      </c>
      <c r="O2324" t="s">
        <v>47</v>
      </c>
      <c r="P2324" t="s">
        <v>48</v>
      </c>
      <c r="R2324">
        <f>SUMIF(A2324:A7323,"C02323",I2324:I7323)</f>
        <v>9568.18</v>
      </c>
      <c r="S2324" s="1">
        <v>7084.08</v>
      </c>
      <c r="T2324">
        <f t="shared" si="261"/>
        <v>131.07095890411</v>
      </c>
      <c r="U2324">
        <f t="shared" si="262"/>
        <v>1642.5</v>
      </c>
      <c r="V2324">
        <f t="shared" si="264"/>
        <v>136.875</v>
      </c>
      <c r="W2324">
        <f t="shared" si="266"/>
        <v>3581.47666666667</v>
      </c>
      <c r="X2324">
        <f t="shared" si="267"/>
        <v>1.08317379281004</v>
      </c>
      <c r="AH2324" t="str">
        <f t="shared" si="268"/>
        <v>3rd Quality</v>
      </c>
      <c r="AJ2324">
        <f>((T2324-X2324)*2)/13.9</f>
        <v>18.7032784332806</v>
      </c>
      <c r="AK2324">
        <f t="shared" si="265"/>
        <v>166853.330684932</v>
      </c>
    </row>
    <row r="2325" spans="1:37">
      <c r="A2325" t="s">
        <v>2391</v>
      </c>
      <c r="B2325">
        <v>18</v>
      </c>
      <c r="C2325" t="s">
        <v>44</v>
      </c>
      <c r="D2325" t="s">
        <v>60</v>
      </c>
      <c r="E2325">
        <v>1321</v>
      </c>
      <c r="F2325">
        <v>15</v>
      </c>
      <c r="G2325">
        <v>29</v>
      </c>
      <c r="H2325">
        <v>4702.99</v>
      </c>
      <c r="I2325">
        <v>145723.71</v>
      </c>
      <c r="J2325">
        <v>180</v>
      </c>
      <c r="K2325">
        <v>2</v>
      </c>
      <c r="L2325">
        <v>9.6</v>
      </c>
      <c r="M2325">
        <v>9.2</v>
      </c>
      <c r="N2325" t="s">
        <v>81</v>
      </c>
      <c r="O2325" t="s">
        <v>47</v>
      </c>
      <c r="P2325" t="s">
        <v>68</v>
      </c>
      <c r="R2325">
        <f>SUMIF(A2325:A7324,"C02324",I2325:I7324)</f>
        <v>145723.71</v>
      </c>
      <c r="S2325" s="1">
        <v>2239.96</v>
      </c>
      <c r="T2325">
        <f t="shared" si="261"/>
        <v>809.576166666667</v>
      </c>
      <c r="U2325">
        <f t="shared" si="262"/>
        <v>1656</v>
      </c>
      <c r="V2325">
        <f>U2325</f>
        <v>1656</v>
      </c>
      <c r="W2325">
        <f t="shared" si="266"/>
        <v>50142.5666666667</v>
      </c>
      <c r="X2325">
        <f t="shared" si="267"/>
        <v>0.280885139028575</v>
      </c>
      <c r="AH2325" t="str">
        <f t="shared" si="268"/>
        <v>1st Quality</v>
      </c>
      <c r="AJ2325">
        <f>((T2325-X2325)*2)/9.6</f>
        <v>168.603183651591</v>
      </c>
      <c r="AK2325">
        <f t="shared" si="265"/>
        <v>1069450.11616667</v>
      </c>
    </row>
    <row r="2326" spans="1:37">
      <c r="A2326" t="s">
        <v>2392</v>
      </c>
      <c r="B2326">
        <v>18</v>
      </c>
      <c r="C2326" t="s">
        <v>44</v>
      </c>
      <c r="D2326" t="s">
        <v>45</v>
      </c>
      <c r="E2326">
        <v>970</v>
      </c>
      <c r="F2326">
        <v>20</v>
      </c>
      <c r="G2326">
        <v>7</v>
      </c>
      <c r="H2326">
        <v>1132.54</v>
      </c>
      <c r="I2326">
        <v>7084.08</v>
      </c>
      <c r="J2326">
        <v>27</v>
      </c>
      <c r="K2326">
        <v>0</v>
      </c>
      <c r="L2326">
        <v>32.1</v>
      </c>
      <c r="M2326">
        <v>21.5</v>
      </c>
      <c r="N2326" t="s">
        <v>78</v>
      </c>
      <c r="O2326" t="s">
        <v>53</v>
      </c>
      <c r="P2326" t="s">
        <v>66</v>
      </c>
      <c r="R2326">
        <f>SUMIF(A2326:A7325,"C02325",I2326:I7325)</f>
        <v>7084.08</v>
      </c>
      <c r="S2326" s="1">
        <v>84572.82</v>
      </c>
      <c r="T2326">
        <f t="shared" ref="T2326:T2389" si="269">I2326/J2326</f>
        <v>262.373333333333</v>
      </c>
      <c r="U2326">
        <f t="shared" si="262"/>
        <v>580.5</v>
      </c>
      <c r="V2326">
        <f t="shared" si="264"/>
        <v>48.375</v>
      </c>
      <c r="W2326">
        <f t="shared" si="266"/>
        <v>2739.20666666667</v>
      </c>
      <c r="X2326">
        <f t="shared" si="267"/>
        <v>0.856481890264362</v>
      </c>
      <c r="AH2326" t="str">
        <f t="shared" si="268"/>
        <v>3rd Quality</v>
      </c>
      <c r="AJ2326">
        <f>((T2326-X2326)*2)/32.1</f>
        <v>16.2938848251133</v>
      </c>
      <c r="AK2326">
        <f t="shared" si="265"/>
        <v>254502.133333333</v>
      </c>
    </row>
    <row r="2327" spans="1:37">
      <c r="A2327" t="s">
        <v>2393</v>
      </c>
      <c r="B2327">
        <v>37</v>
      </c>
      <c r="C2327" t="s">
        <v>44</v>
      </c>
      <c r="D2327" t="s">
        <v>60</v>
      </c>
      <c r="E2327">
        <v>757</v>
      </c>
      <c r="F2327">
        <v>324</v>
      </c>
      <c r="G2327">
        <v>1</v>
      </c>
      <c r="H2327">
        <v>2178.34</v>
      </c>
      <c r="I2327">
        <v>2239.96</v>
      </c>
      <c r="J2327">
        <v>10</v>
      </c>
      <c r="K2327">
        <v>0</v>
      </c>
      <c r="L2327">
        <v>11.5</v>
      </c>
      <c r="M2327">
        <v>32.1</v>
      </c>
      <c r="N2327" t="s">
        <v>78</v>
      </c>
      <c r="O2327" t="s">
        <v>47</v>
      </c>
      <c r="P2327" t="s">
        <v>58</v>
      </c>
      <c r="R2327">
        <f>SUMIF(A2327:A7326,"C02326",I2327:I7326)</f>
        <v>2239.96</v>
      </c>
      <c r="S2327" s="1">
        <v>79602.74</v>
      </c>
      <c r="T2327">
        <f t="shared" si="269"/>
        <v>223.996</v>
      </c>
      <c r="U2327">
        <f t="shared" si="262"/>
        <v>321</v>
      </c>
      <c r="V2327">
        <f t="shared" si="264"/>
        <v>26.75</v>
      </c>
      <c r="W2327">
        <f t="shared" si="266"/>
        <v>1473.1</v>
      </c>
      <c r="X2327">
        <f t="shared" si="267"/>
        <v>0.347512325899538</v>
      </c>
      <c r="AH2327" t="str">
        <f t="shared" si="268"/>
        <v>3rd Quality</v>
      </c>
      <c r="AJ2327">
        <f>((T2327-X2327)*2)/11.5</f>
        <v>38.8953891607131</v>
      </c>
      <c r="AK2327">
        <f t="shared" si="265"/>
        <v>169564.972</v>
      </c>
    </row>
    <row r="2328" spans="1:37">
      <c r="A2328" t="s">
        <v>2394</v>
      </c>
      <c r="B2328">
        <v>28</v>
      </c>
      <c r="C2328" t="s">
        <v>44</v>
      </c>
      <c r="D2328" t="s">
        <v>45</v>
      </c>
      <c r="E2328">
        <v>1303</v>
      </c>
      <c r="F2328">
        <v>3</v>
      </c>
      <c r="G2328">
        <v>25</v>
      </c>
      <c r="H2328">
        <v>3539.62</v>
      </c>
      <c r="I2328">
        <v>84572.82</v>
      </c>
      <c r="J2328">
        <v>57</v>
      </c>
      <c r="K2328">
        <v>3</v>
      </c>
      <c r="L2328">
        <v>4.6</v>
      </c>
      <c r="M2328">
        <v>28.7</v>
      </c>
      <c r="N2328" t="s">
        <v>57</v>
      </c>
      <c r="O2328" t="s">
        <v>47</v>
      </c>
      <c r="P2328" t="s">
        <v>58</v>
      </c>
      <c r="R2328">
        <f>SUMIF(A2328:A7327,"C02327",I2328:I7327)</f>
        <v>84572.82</v>
      </c>
      <c r="S2328" s="1">
        <v>86850.94</v>
      </c>
      <c r="T2328">
        <f t="shared" si="269"/>
        <v>1483.73368421053</v>
      </c>
      <c r="U2328">
        <f t="shared" si="262"/>
        <v>1635.9</v>
      </c>
      <c r="V2328">
        <f>U2328</f>
        <v>1635.9</v>
      </c>
      <c r="W2328">
        <f t="shared" si="266"/>
        <v>29371.1466666667</v>
      </c>
      <c r="X2328">
        <f t="shared" si="267"/>
        <v>0.368118611602375</v>
      </c>
      <c r="AH2328" t="str">
        <f t="shared" si="268"/>
        <v>1st Quality</v>
      </c>
      <c r="AJ2328">
        <f>((T2328-X2328)*2)/4.6</f>
        <v>644.941550260403</v>
      </c>
      <c r="AK2328">
        <f t="shared" si="265"/>
        <v>1933304.99052632</v>
      </c>
    </row>
    <row r="2329" spans="1:37">
      <c r="A2329" t="s">
        <v>2395</v>
      </c>
      <c r="B2329">
        <v>31</v>
      </c>
      <c r="C2329" t="s">
        <v>44</v>
      </c>
      <c r="D2329" t="s">
        <v>45</v>
      </c>
      <c r="E2329">
        <v>1247</v>
      </c>
      <c r="F2329">
        <v>9</v>
      </c>
      <c r="G2329">
        <v>28</v>
      </c>
      <c r="H2329">
        <v>2705.84</v>
      </c>
      <c r="I2329">
        <v>79602.74</v>
      </c>
      <c r="J2329">
        <v>229</v>
      </c>
      <c r="K2329">
        <v>1</v>
      </c>
      <c r="L2329">
        <v>9.6</v>
      </c>
      <c r="M2329">
        <v>47.8</v>
      </c>
      <c r="N2329" t="s">
        <v>46</v>
      </c>
      <c r="O2329" t="s">
        <v>53</v>
      </c>
      <c r="P2329" t="s">
        <v>58</v>
      </c>
      <c r="R2329">
        <f>SUMIF(A2329:A7328,"C02328",I2329:I7328)</f>
        <v>79602.74</v>
      </c>
      <c r="S2329" s="1">
        <v>59436.3</v>
      </c>
      <c r="T2329">
        <f t="shared" si="269"/>
        <v>347.610218340611</v>
      </c>
      <c r="U2329">
        <f t="shared" si="262"/>
        <v>10946.2</v>
      </c>
      <c r="V2329">
        <f>U2329</f>
        <v>10946.2</v>
      </c>
      <c r="W2329">
        <f t="shared" si="266"/>
        <v>27436.5266666667</v>
      </c>
      <c r="X2329">
        <f t="shared" si="267"/>
        <v>0.460855039470183</v>
      </c>
      <c r="AH2329" t="str">
        <f t="shared" si="268"/>
        <v>1st Quality</v>
      </c>
      <c r="AJ2329">
        <f>((T2329-X2329)*2)/9.6</f>
        <v>72.322784021071</v>
      </c>
      <c r="AK2329">
        <f t="shared" si="265"/>
        <v>433469.942270742</v>
      </c>
    </row>
    <row r="2330" spans="1:37">
      <c r="A2330" t="s">
        <v>2396</v>
      </c>
      <c r="B2330">
        <v>43</v>
      </c>
      <c r="C2330" t="s">
        <v>50</v>
      </c>
      <c r="D2330" t="s">
        <v>60</v>
      </c>
      <c r="E2330">
        <v>1162</v>
      </c>
      <c r="F2330">
        <v>52</v>
      </c>
      <c r="G2330">
        <v>5</v>
      </c>
      <c r="H2330">
        <v>15623.58</v>
      </c>
      <c r="I2330">
        <v>86850.94</v>
      </c>
      <c r="J2330">
        <v>42</v>
      </c>
      <c r="K2330">
        <v>1</v>
      </c>
      <c r="L2330">
        <v>0</v>
      </c>
      <c r="M2330">
        <v>51.3</v>
      </c>
      <c r="N2330" t="s">
        <v>57</v>
      </c>
      <c r="O2330" t="s">
        <v>47</v>
      </c>
      <c r="P2330" t="s">
        <v>58</v>
      </c>
      <c r="R2330">
        <f>SUMIF(A2330:A7329,"C02329",I2330:I7329)</f>
        <v>86850.94</v>
      </c>
      <c r="S2330" s="1">
        <v>19559.15</v>
      </c>
      <c r="T2330">
        <f t="shared" si="269"/>
        <v>2067.87952380952</v>
      </c>
      <c r="U2330">
        <f t="shared" si="262"/>
        <v>2154.6</v>
      </c>
      <c r="V2330">
        <f>U2330</f>
        <v>2154.6</v>
      </c>
      <c r="W2330">
        <f t="shared" si="266"/>
        <v>34158.5066666667</v>
      </c>
      <c r="X2330">
        <f t="shared" si="267"/>
        <v>0.0743747591781141</v>
      </c>
      <c r="AH2330" t="str">
        <f t="shared" si="268"/>
        <v>2nd Quality</v>
      </c>
      <c r="AJ2330">
        <f>((T2330-X2330)*2)</f>
        <v>4135.61029810068</v>
      </c>
      <c r="AK2330">
        <f t="shared" si="265"/>
        <v>2402876.00666667</v>
      </c>
    </row>
    <row r="2331" spans="1:37">
      <c r="A2331" t="s">
        <v>2397</v>
      </c>
      <c r="B2331">
        <v>35</v>
      </c>
      <c r="C2331" t="s">
        <v>50</v>
      </c>
      <c r="D2331" t="s">
        <v>51</v>
      </c>
      <c r="E2331">
        <v>536</v>
      </c>
      <c r="F2331">
        <v>5</v>
      </c>
      <c r="G2331">
        <v>5</v>
      </c>
      <c r="H2331">
        <v>12566.24</v>
      </c>
      <c r="I2331">
        <v>59436.3</v>
      </c>
      <c r="J2331">
        <v>45</v>
      </c>
      <c r="K2331">
        <v>0</v>
      </c>
      <c r="L2331">
        <v>0</v>
      </c>
      <c r="M2331">
        <v>5.6</v>
      </c>
      <c r="N2331" t="s">
        <v>78</v>
      </c>
      <c r="O2331" t="s">
        <v>47</v>
      </c>
      <c r="P2331" t="s">
        <v>48</v>
      </c>
      <c r="R2331">
        <f>SUMIF(A2331:A7330,"C02330",I2331:I7330)</f>
        <v>59436.3</v>
      </c>
      <c r="S2331" s="1">
        <v>6341.69</v>
      </c>
      <c r="T2331">
        <f t="shared" si="269"/>
        <v>1320.80666666667</v>
      </c>
      <c r="U2331">
        <f t="shared" si="262"/>
        <v>252</v>
      </c>
      <c r="V2331">
        <f t="shared" si="264"/>
        <v>21</v>
      </c>
      <c r="W2331">
        <f t="shared" si="266"/>
        <v>24001.18</v>
      </c>
      <c r="X2331">
        <f t="shared" si="267"/>
        <v>0.0426539680922854</v>
      </c>
      <c r="AH2331" t="str">
        <f t="shared" si="268"/>
        <v>2nd Quality</v>
      </c>
      <c r="AJ2331">
        <f>((T2331-X2331)*2)</f>
        <v>2641.52802539716</v>
      </c>
      <c r="AK2331">
        <f t="shared" si="265"/>
        <v>707952.373333333</v>
      </c>
    </row>
    <row r="2332" spans="1:37">
      <c r="A2332" t="s">
        <v>2398</v>
      </c>
      <c r="B2332">
        <v>18</v>
      </c>
      <c r="C2332" t="s">
        <v>50</v>
      </c>
      <c r="D2332" t="s">
        <v>60</v>
      </c>
      <c r="E2332">
        <v>1289</v>
      </c>
      <c r="F2332">
        <v>13</v>
      </c>
      <c r="G2332">
        <v>2</v>
      </c>
      <c r="H2332">
        <v>9506.44</v>
      </c>
      <c r="I2332">
        <v>19559.15</v>
      </c>
      <c r="J2332">
        <v>19</v>
      </c>
      <c r="K2332">
        <v>0</v>
      </c>
      <c r="L2332">
        <v>3.6</v>
      </c>
      <c r="M2332">
        <v>59.9</v>
      </c>
      <c r="N2332" t="s">
        <v>57</v>
      </c>
      <c r="O2332" t="s">
        <v>75</v>
      </c>
      <c r="P2332" t="s">
        <v>58</v>
      </c>
      <c r="R2332">
        <f>SUMIF(A2332:A7331,"C02331",I2332:I7331)</f>
        <v>19559.15</v>
      </c>
      <c r="S2332" s="1">
        <v>882.81</v>
      </c>
      <c r="T2332">
        <f t="shared" si="269"/>
        <v>1029.42894736842</v>
      </c>
      <c r="U2332">
        <f t="shared" si="262"/>
        <v>1138.1</v>
      </c>
      <c r="V2332">
        <f t="shared" si="264"/>
        <v>94.8416666666667</v>
      </c>
      <c r="W2332">
        <f t="shared" si="266"/>
        <v>9688.86333333333</v>
      </c>
      <c r="X2332">
        <f t="shared" si="267"/>
        <v>0.135592293224383</v>
      </c>
      <c r="AH2332" t="str">
        <f t="shared" si="268"/>
        <v>2nd Quality</v>
      </c>
      <c r="AJ2332">
        <f>((T2332-X2332)*2)/3.6</f>
        <v>571.829641708442</v>
      </c>
      <c r="AK2332">
        <f t="shared" si="265"/>
        <v>1326933.91315789</v>
      </c>
    </row>
    <row r="2333" spans="1:37">
      <c r="A2333" t="s">
        <v>2399</v>
      </c>
      <c r="B2333">
        <v>28</v>
      </c>
      <c r="C2333" t="s">
        <v>44</v>
      </c>
      <c r="D2333" t="s">
        <v>45</v>
      </c>
      <c r="E2333">
        <v>1068</v>
      </c>
      <c r="F2333">
        <v>23</v>
      </c>
      <c r="G2333">
        <v>5</v>
      </c>
      <c r="H2333">
        <v>1309.01</v>
      </c>
      <c r="I2333">
        <v>6341.69</v>
      </c>
      <c r="J2333">
        <v>42</v>
      </c>
      <c r="K2333">
        <v>2</v>
      </c>
      <c r="L2333">
        <v>20.3</v>
      </c>
      <c r="M2333">
        <v>61.4</v>
      </c>
      <c r="N2333" t="s">
        <v>46</v>
      </c>
      <c r="O2333" t="s">
        <v>47</v>
      </c>
      <c r="P2333" t="s">
        <v>58</v>
      </c>
      <c r="R2333">
        <f>SUMIF(A2333:A7332,"C02332",I2333:I7332)</f>
        <v>6341.69</v>
      </c>
      <c r="S2333" s="1">
        <v>32210.29</v>
      </c>
      <c r="T2333">
        <f t="shared" si="269"/>
        <v>150.992619047619</v>
      </c>
      <c r="U2333">
        <f t="shared" si="262"/>
        <v>2578.8</v>
      </c>
      <c r="V2333">
        <f>U2333</f>
        <v>2578.8</v>
      </c>
      <c r="W2333">
        <f t="shared" si="266"/>
        <v>2550.56666666667</v>
      </c>
      <c r="X2333">
        <f t="shared" si="267"/>
        <v>0.815883759482357</v>
      </c>
      <c r="AH2333" t="str">
        <f t="shared" si="268"/>
        <v>3rd Quality</v>
      </c>
      <c r="AJ2333">
        <f>((T2333-X2333)*2)/20.3</f>
        <v>14.7957374668115</v>
      </c>
      <c r="AK2333">
        <f t="shared" si="265"/>
        <v>161260.117142857</v>
      </c>
    </row>
    <row r="2334" spans="1:37">
      <c r="A2334" t="s">
        <v>2400</v>
      </c>
      <c r="B2334">
        <v>37</v>
      </c>
      <c r="C2334" t="s">
        <v>50</v>
      </c>
      <c r="D2334" t="s">
        <v>51</v>
      </c>
      <c r="E2334">
        <v>1133</v>
      </c>
      <c r="F2334">
        <v>273</v>
      </c>
      <c r="G2334">
        <v>1</v>
      </c>
      <c r="H2334">
        <v>880.82</v>
      </c>
      <c r="I2334">
        <v>882.81</v>
      </c>
      <c r="J2334">
        <v>12</v>
      </c>
      <c r="K2334">
        <v>0</v>
      </c>
      <c r="L2334">
        <v>34.3</v>
      </c>
      <c r="M2334">
        <v>29.3</v>
      </c>
      <c r="N2334" t="s">
        <v>46</v>
      </c>
      <c r="O2334" t="s">
        <v>47</v>
      </c>
      <c r="P2334" t="s">
        <v>48</v>
      </c>
      <c r="R2334">
        <f>SUMIF(A2334:A7333,"C02333",I2334:I7333)</f>
        <v>882.81</v>
      </c>
      <c r="S2334" s="1">
        <v>11000.4</v>
      </c>
      <c r="T2334">
        <f t="shared" si="269"/>
        <v>73.5675</v>
      </c>
      <c r="U2334">
        <f t="shared" si="262"/>
        <v>351.6</v>
      </c>
      <c r="V2334">
        <f t="shared" si="264"/>
        <v>29.3</v>
      </c>
      <c r="W2334">
        <f t="shared" si="266"/>
        <v>588.21</v>
      </c>
      <c r="X2334">
        <f t="shared" si="267"/>
        <v>1.28630140096728</v>
      </c>
      <c r="AH2334" t="str">
        <f t="shared" si="268"/>
        <v>3rd Quality</v>
      </c>
      <c r="AJ2334">
        <f>((T2334-X2334)*2)/34.3</f>
        <v>4.21464714863165</v>
      </c>
      <c r="AK2334">
        <f t="shared" si="265"/>
        <v>83351.9775</v>
      </c>
    </row>
    <row r="2335" spans="1:37">
      <c r="A2335" t="s">
        <v>2401</v>
      </c>
      <c r="B2335">
        <v>42</v>
      </c>
      <c r="C2335" t="s">
        <v>44</v>
      </c>
      <c r="D2335" t="s">
        <v>60</v>
      </c>
      <c r="E2335">
        <v>1333</v>
      </c>
      <c r="F2335">
        <v>11</v>
      </c>
      <c r="G2335">
        <v>20</v>
      </c>
      <c r="H2335">
        <v>1789.48</v>
      </c>
      <c r="I2335">
        <v>32210.29</v>
      </c>
      <c r="J2335">
        <v>111</v>
      </c>
      <c r="K2335">
        <v>0</v>
      </c>
      <c r="L2335">
        <v>2.7</v>
      </c>
      <c r="M2335">
        <v>31.1</v>
      </c>
      <c r="N2335" t="s">
        <v>57</v>
      </c>
      <c r="O2335" t="s">
        <v>47</v>
      </c>
      <c r="P2335" t="s">
        <v>58</v>
      </c>
      <c r="R2335">
        <f>SUMIF(A2335:A7334,"C02334",I2335:I7334)</f>
        <v>32210.29</v>
      </c>
      <c r="S2335" s="1">
        <v>6509.26</v>
      </c>
      <c r="T2335">
        <f t="shared" si="269"/>
        <v>290.182792792793</v>
      </c>
      <c r="U2335">
        <f t="shared" si="262"/>
        <v>3452.1</v>
      </c>
      <c r="V2335">
        <f t="shared" si="264"/>
        <v>287.675</v>
      </c>
      <c r="W2335">
        <f t="shared" si="266"/>
        <v>11333.59</v>
      </c>
      <c r="X2335">
        <f t="shared" si="267"/>
        <v>0.744909135614815</v>
      </c>
      <c r="AH2335" t="str">
        <f t="shared" si="268"/>
        <v>2nd Quality</v>
      </c>
      <c r="AJ2335">
        <f>((T2335-X2335)*2)/2.7</f>
        <v>214.398432338651</v>
      </c>
      <c r="AK2335">
        <f t="shared" si="265"/>
        <v>386813.662792793</v>
      </c>
    </row>
    <row r="2336" spans="1:37">
      <c r="A2336" t="s">
        <v>2402</v>
      </c>
      <c r="B2336">
        <v>26</v>
      </c>
      <c r="C2336" t="s">
        <v>44</v>
      </c>
      <c r="D2336" t="s">
        <v>60</v>
      </c>
      <c r="E2336">
        <v>661</v>
      </c>
      <c r="F2336">
        <v>8</v>
      </c>
      <c r="G2336">
        <v>12</v>
      </c>
      <c r="H2336">
        <v>986.71</v>
      </c>
      <c r="I2336">
        <v>11000.4</v>
      </c>
      <c r="J2336">
        <v>106</v>
      </c>
      <c r="K2336">
        <v>1</v>
      </c>
      <c r="L2336">
        <v>22.2</v>
      </c>
      <c r="M2336">
        <v>22.2</v>
      </c>
      <c r="N2336" t="s">
        <v>52</v>
      </c>
      <c r="O2336" t="s">
        <v>47</v>
      </c>
      <c r="P2336" t="s">
        <v>58</v>
      </c>
      <c r="R2336">
        <f>SUMIF(A2336:A7335,"C02335",I2336:I7335)</f>
        <v>11000.4</v>
      </c>
      <c r="S2336" s="1">
        <v>2690.7</v>
      </c>
      <c r="T2336">
        <f t="shared" si="269"/>
        <v>103.777358490566</v>
      </c>
      <c r="U2336">
        <f t="shared" si="262"/>
        <v>2353.2</v>
      </c>
      <c r="V2336">
        <f>U2336</f>
        <v>2353.2</v>
      </c>
      <c r="W2336">
        <f t="shared" si="266"/>
        <v>3996.03666666667</v>
      </c>
      <c r="X2336">
        <f t="shared" si="267"/>
        <v>0.669903011016408</v>
      </c>
      <c r="AH2336" t="str">
        <f t="shared" si="268"/>
        <v>3rd Quality</v>
      </c>
      <c r="AJ2336">
        <f>((T2336-X2336)*2)/22.2</f>
        <v>9.28895995311258</v>
      </c>
      <c r="AK2336">
        <f t="shared" si="265"/>
        <v>68596.8339622642</v>
      </c>
    </row>
    <row r="2337" spans="1:37">
      <c r="A2337" t="s">
        <v>2403</v>
      </c>
      <c r="B2337">
        <v>44</v>
      </c>
      <c r="C2337" t="s">
        <v>44</v>
      </c>
      <c r="D2337" t="s">
        <v>51</v>
      </c>
      <c r="E2337">
        <v>884</v>
      </c>
      <c r="F2337">
        <v>303</v>
      </c>
      <c r="G2337">
        <v>6</v>
      </c>
      <c r="H2337">
        <v>1013.32</v>
      </c>
      <c r="I2337">
        <v>6509.26</v>
      </c>
      <c r="J2337">
        <v>51</v>
      </c>
      <c r="K2337">
        <v>1</v>
      </c>
      <c r="L2337">
        <v>37.6</v>
      </c>
      <c r="M2337">
        <v>13.7</v>
      </c>
      <c r="N2337" t="s">
        <v>78</v>
      </c>
      <c r="O2337" t="s">
        <v>75</v>
      </c>
      <c r="P2337" t="s">
        <v>68</v>
      </c>
      <c r="R2337">
        <f>SUMIF(A2337:A7336,"C02336",I2337:I7336)</f>
        <v>6509.26</v>
      </c>
      <c r="S2337" s="1">
        <v>6261.15</v>
      </c>
      <c r="T2337">
        <f t="shared" si="269"/>
        <v>127.632549019608</v>
      </c>
      <c r="U2337">
        <f t="shared" si="262"/>
        <v>698.7</v>
      </c>
      <c r="V2337">
        <f>U2337</f>
        <v>698.7</v>
      </c>
      <c r="W2337">
        <f t="shared" si="266"/>
        <v>2507.86</v>
      </c>
      <c r="X2337">
        <f t="shared" si="267"/>
        <v>0.872379899735523</v>
      </c>
      <c r="AH2337" t="str">
        <f t="shared" si="268"/>
        <v>3rd Quality</v>
      </c>
      <c r="AJ2337">
        <f>((T2337-X2337)*2)/37.6</f>
        <v>6.74256218722726</v>
      </c>
      <c r="AK2337">
        <f t="shared" si="265"/>
        <v>112827.173333333</v>
      </c>
    </row>
    <row r="2338" spans="1:37">
      <c r="A2338" t="s">
        <v>2404</v>
      </c>
      <c r="B2338">
        <v>18</v>
      </c>
      <c r="C2338" t="s">
        <v>50</v>
      </c>
      <c r="D2338" t="s">
        <v>51</v>
      </c>
      <c r="E2338">
        <v>740</v>
      </c>
      <c r="F2338">
        <v>365</v>
      </c>
      <c r="G2338">
        <v>3</v>
      </c>
      <c r="H2338">
        <v>931.57</v>
      </c>
      <c r="I2338">
        <v>2690.7</v>
      </c>
      <c r="J2338">
        <v>26</v>
      </c>
      <c r="K2338">
        <v>1</v>
      </c>
      <c r="L2338">
        <v>25.2</v>
      </c>
      <c r="M2338">
        <v>11.1</v>
      </c>
      <c r="N2338" t="s">
        <v>63</v>
      </c>
      <c r="O2338" t="s">
        <v>47</v>
      </c>
      <c r="P2338" t="s">
        <v>58</v>
      </c>
      <c r="R2338">
        <f>SUMIF(A2338:A7337,"C02337",I2338:I7337)</f>
        <v>2690.7</v>
      </c>
      <c r="S2338" s="1">
        <v>31326.73</v>
      </c>
      <c r="T2338">
        <f t="shared" si="269"/>
        <v>103.488461538462</v>
      </c>
      <c r="U2338">
        <f t="shared" ref="U2338:U2401" si="270">J2338*M2338</f>
        <v>288.6</v>
      </c>
      <c r="V2338">
        <f>U2338</f>
        <v>288.6</v>
      </c>
      <c r="W2338">
        <f t="shared" si="266"/>
        <v>1207.75666666667</v>
      </c>
      <c r="X2338">
        <f t="shared" si="267"/>
        <v>0.794357911912148</v>
      </c>
      <c r="AH2338" t="str">
        <f t="shared" si="268"/>
        <v>3rd Quality</v>
      </c>
      <c r="AJ2338">
        <f>((T2338-X2338)*2)/25.2</f>
        <v>8.15032568464681</v>
      </c>
      <c r="AK2338">
        <f t="shared" si="265"/>
        <v>76581.4615384615</v>
      </c>
    </row>
    <row r="2339" spans="1:37">
      <c r="A2339" t="s">
        <v>2405</v>
      </c>
      <c r="B2339">
        <v>32</v>
      </c>
      <c r="C2339" t="s">
        <v>50</v>
      </c>
      <c r="D2339" t="s">
        <v>45</v>
      </c>
      <c r="E2339">
        <v>552</v>
      </c>
      <c r="F2339">
        <v>38</v>
      </c>
      <c r="G2339">
        <v>7</v>
      </c>
      <c r="H2339">
        <v>1016.14</v>
      </c>
      <c r="I2339">
        <v>6261.15</v>
      </c>
      <c r="J2339">
        <v>31</v>
      </c>
      <c r="K2339">
        <v>0</v>
      </c>
      <c r="L2339">
        <v>21.2</v>
      </c>
      <c r="M2339">
        <v>38</v>
      </c>
      <c r="N2339" t="s">
        <v>46</v>
      </c>
      <c r="O2339" t="s">
        <v>47</v>
      </c>
      <c r="P2339" t="s">
        <v>68</v>
      </c>
      <c r="R2339">
        <f>SUMIF(A2339:A7338,"C02338",I2339:I7338)</f>
        <v>6261.15</v>
      </c>
      <c r="S2339" s="1">
        <v>230891.91</v>
      </c>
      <c r="T2339">
        <f t="shared" si="269"/>
        <v>201.972580645161</v>
      </c>
      <c r="U2339">
        <f t="shared" si="270"/>
        <v>1178</v>
      </c>
      <c r="V2339">
        <f t="shared" si="264"/>
        <v>98.1666666666667</v>
      </c>
      <c r="W2339">
        <f t="shared" si="266"/>
        <v>2426.09666666667</v>
      </c>
      <c r="X2339">
        <f t="shared" si="267"/>
        <v>0.543232231779086</v>
      </c>
      <c r="AH2339" t="str">
        <f t="shared" si="268"/>
        <v>3rd Quality</v>
      </c>
      <c r="AJ2339">
        <f>((T2339-X2339)*2)/21.2</f>
        <v>19.0027687182436</v>
      </c>
      <c r="AK2339">
        <f t="shared" si="265"/>
        <v>111488.864516129</v>
      </c>
    </row>
    <row r="2340" spans="1:37">
      <c r="A2340" t="s">
        <v>2406</v>
      </c>
      <c r="B2340">
        <v>18</v>
      </c>
      <c r="C2340" t="s">
        <v>44</v>
      </c>
      <c r="D2340" t="s">
        <v>45</v>
      </c>
      <c r="E2340">
        <v>925</v>
      </c>
      <c r="F2340">
        <v>115</v>
      </c>
      <c r="G2340">
        <v>4</v>
      </c>
      <c r="H2340">
        <v>8183.54</v>
      </c>
      <c r="I2340">
        <v>31326.73</v>
      </c>
      <c r="J2340">
        <v>31</v>
      </c>
      <c r="K2340">
        <v>1</v>
      </c>
      <c r="L2340">
        <v>7.3</v>
      </c>
      <c r="M2340">
        <v>5.2</v>
      </c>
      <c r="N2340" t="s">
        <v>81</v>
      </c>
      <c r="O2340" t="s">
        <v>47</v>
      </c>
      <c r="P2340" t="s">
        <v>66</v>
      </c>
      <c r="R2340">
        <f>SUMIF(A2340:A7339,"C02339",I2340:I7339)</f>
        <v>31326.73</v>
      </c>
      <c r="S2340" s="1">
        <v>101234.01</v>
      </c>
      <c r="T2340">
        <f t="shared" si="269"/>
        <v>1010.53967741935</v>
      </c>
      <c r="U2340">
        <f t="shared" si="270"/>
        <v>161.2</v>
      </c>
      <c r="V2340">
        <f>U2340</f>
        <v>161.2</v>
      </c>
      <c r="W2340">
        <f t="shared" si="266"/>
        <v>13170.4233333333</v>
      </c>
      <c r="X2340">
        <f t="shared" si="267"/>
        <v>0.113031768647798</v>
      </c>
      <c r="AH2340" t="str">
        <f t="shared" si="268"/>
        <v>1st Quality</v>
      </c>
      <c r="AJ2340">
        <f>((T2340-X2340)*2)/7.3</f>
        <v>276.829217986494</v>
      </c>
      <c r="AK2340">
        <f t="shared" si="265"/>
        <v>934749.201612903</v>
      </c>
    </row>
    <row r="2341" spans="1:37">
      <c r="A2341" t="s">
        <v>2407</v>
      </c>
      <c r="B2341">
        <v>24</v>
      </c>
      <c r="C2341" t="s">
        <v>44</v>
      </c>
      <c r="D2341" t="s">
        <v>45</v>
      </c>
      <c r="E2341">
        <v>1001</v>
      </c>
      <c r="F2341">
        <v>5</v>
      </c>
      <c r="G2341">
        <v>23</v>
      </c>
      <c r="H2341">
        <v>9645.96</v>
      </c>
      <c r="I2341">
        <v>230891.91</v>
      </c>
      <c r="J2341">
        <v>118</v>
      </c>
      <c r="K2341">
        <v>2</v>
      </c>
      <c r="L2341">
        <v>2.7</v>
      </c>
      <c r="M2341">
        <v>15.6</v>
      </c>
      <c r="N2341" t="s">
        <v>57</v>
      </c>
      <c r="O2341" t="s">
        <v>47</v>
      </c>
      <c r="P2341" t="s">
        <v>66</v>
      </c>
      <c r="R2341">
        <f>SUMIF(A2341:A7340,"C02340",I2341:I7340)</f>
        <v>230891.91</v>
      </c>
      <c r="S2341" s="1">
        <v>115902.88</v>
      </c>
      <c r="T2341">
        <f t="shared" si="269"/>
        <v>1956.71110169492</v>
      </c>
      <c r="U2341">
        <f t="shared" si="270"/>
        <v>1840.8</v>
      </c>
      <c r="V2341">
        <f>U2341</f>
        <v>1840.8</v>
      </c>
      <c r="W2341">
        <f t="shared" si="266"/>
        <v>80179.6233333333</v>
      </c>
      <c r="X2341">
        <f t="shared" si="267"/>
        <v>0.103774015235394</v>
      </c>
      <c r="AH2341" t="str">
        <f t="shared" si="268"/>
        <v>1st Quality</v>
      </c>
      <c r="AJ2341">
        <f>((T2341-X2341)*2)/2.7</f>
        <v>1449.33876124421</v>
      </c>
      <c r="AK2341">
        <f t="shared" si="265"/>
        <v>1958667.81279661</v>
      </c>
    </row>
    <row r="2342" spans="1:37">
      <c r="A2342" t="s">
        <v>2408</v>
      </c>
      <c r="B2342">
        <v>42</v>
      </c>
      <c r="C2342" t="s">
        <v>50</v>
      </c>
      <c r="D2342" t="s">
        <v>60</v>
      </c>
      <c r="E2342">
        <v>663</v>
      </c>
      <c r="F2342">
        <v>7</v>
      </c>
      <c r="G2342">
        <v>22</v>
      </c>
      <c r="H2342">
        <v>4133.69</v>
      </c>
      <c r="I2342">
        <v>101234.01</v>
      </c>
      <c r="J2342">
        <v>141</v>
      </c>
      <c r="K2342">
        <v>2</v>
      </c>
      <c r="L2342">
        <v>11</v>
      </c>
      <c r="M2342">
        <v>11.4</v>
      </c>
      <c r="N2342" t="s">
        <v>81</v>
      </c>
      <c r="O2342" t="s">
        <v>47</v>
      </c>
      <c r="P2342" t="s">
        <v>58</v>
      </c>
      <c r="R2342">
        <f>SUMIF(A2342:A7341,"C02341",I2342:I7341)</f>
        <v>101234.01</v>
      </c>
      <c r="S2342" s="1">
        <v>664.55</v>
      </c>
      <c r="T2342">
        <f t="shared" si="269"/>
        <v>717.97170212766</v>
      </c>
      <c r="U2342">
        <f t="shared" si="270"/>
        <v>1607.4</v>
      </c>
      <c r="V2342">
        <f>U2342</f>
        <v>1607.4</v>
      </c>
      <c r="W2342">
        <f t="shared" si="266"/>
        <v>35122.9</v>
      </c>
      <c r="X2342">
        <f t="shared" si="267"/>
        <v>0.160389385754616</v>
      </c>
      <c r="AH2342" t="str">
        <f t="shared" si="268"/>
        <v>2nd Quality</v>
      </c>
      <c r="AJ2342">
        <f>((T2342-X2342)*2)/11</f>
        <v>130.511147771256</v>
      </c>
      <c r="AK2342">
        <f t="shared" si="265"/>
        <v>476015.238510638</v>
      </c>
    </row>
    <row r="2343" spans="1:37">
      <c r="A2343" t="s">
        <v>2409</v>
      </c>
      <c r="B2343">
        <v>29</v>
      </c>
      <c r="C2343" t="s">
        <v>44</v>
      </c>
      <c r="D2343" t="s">
        <v>60</v>
      </c>
      <c r="E2343">
        <v>1186</v>
      </c>
      <c r="F2343">
        <v>3</v>
      </c>
      <c r="G2343">
        <v>22</v>
      </c>
      <c r="H2343">
        <v>4855.64</v>
      </c>
      <c r="I2343">
        <v>115902.88</v>
      </c>
      <c r="J2343">
        <v>183</v>
      </c>
      <c r="K2343">
        <v>0</v>
      </c>
      <c r="L2343">
        <v>19.7</v>
      </c>
      <c r="M2343">
        <v>51</v>
      </c>
      <c r="N2343" t="s">
        <v>81</v>
      </c>
      <c r="O2343" t="s">
        <v>47</v>
      </c>
      <c r="P2343" t="s">
        <v>58</v>
      </c>
      <c r="R2343">
        <f>SUMIF(A2343:A7342,"C02342",I2343:I7342)</f>
        <v>115902.88</v>
      </c>
      <c r="S2343" s="1">
        <v>15378.61</v>
      </c>
      <c r="T2343">
        <f t="shared" si="269"/>
        <v>633.349071038251</v>
      </c>
      <c r="U2343">
        <f t="shared" si="270"/>
        <v>9333</v>
      </c>
      <c r="V2343">
        <f t="shared" si="264"/>
        <v>777.75</v>
      </c>
      <c r="W2343">
        <f t="shared" si="266"/>
        <v>40253.1733333333</v>
      </c>
      <c r="X2343">
        <f t="shared" si="267"/>
        <v>0.244252045044526</v>
      </c>
      <c r="AH2343" t="str">
        <f t="shared" si="268"/>
        <v>1st Quality</v>
      </c>
      <c r="AJ2343">
        <f>((T2343-X2343)*2)/19.7</f>
        <v>64.2746009130159</v>
      </c>
      <c r="AK2343">
        <f t="shared" si="265"/>
        <v>751151.998251366</v>
      </c>
    </row>
    <row r="2344" spans="1:37">
      <c r="A2344" t="s">
        <v>2410</v>
      </c>
      <c r="B2344">
        <v>24</v>
      </c>
      <c r="C2344" t="s">
        <v>44</v>
      </c>
      <c r="D2344" t="s">
        <v>51</v>
      </c>
      <c r="E2344">
        <v>699</v>
      </c>
      <c r="F2344">
        <v>144</v>
      </c>
      <c r="G2344">
        <v>1</v>
      </c>
      <c r="H2344">
        <v>625.96</v>
      </c>
      <c r="I2344">
        <v>664.55</v>
      </c>
      <c r="J2344">
        <v>8</v>
      </c>
      <c r="K2344">
        <v>0</v>
      </c>
      <c r="L2344">
        <v>38.1</v>
      </c>
      <c r="M2344">
        <v>21.9</v>
      </c>
      <c r="N2344" t="s">
        <v>57</v>
      </c>
      <c r="O2344" t="s">
        <v>53</v>
      </c>
      <c r="P2344" t="s">
        <v>66</v>
      </c>
      <c r="R2344">
        <f>SUMIF(A2344:A7343,"C02343",I2344:I7343)</f>
        <v>664.55</v>
      </c>
      <c r="S2344" s="1">
        <v>452.11</v>
      </c>
      <c r="T2344">
        <f t="shared" si="269"/>
        <v>83.06875</v>
      </c>
      <c r="U2344">
        <f t="shared" si="270"/>
        <v>175.2</v>
      </c>
      <c r="V2344">
        <f t="shared" si="264"/>
        <v>14.6</v>
      </c>
      <c r="W2344">
        <f t="shared" si="266"/>
        <v>430.503333333333</v>
      </c>
      <c r="X2344">
        <f t="shared" si="267"/>
        <v>1.11668477218992</v>
      </c>
      <c r="AH2344" t="str">
        <f t="shared" si="268"/>
        <v>3rd Quality</v>
      </c>
      <c r="AJ2344">
        <f>((T2344-X2344)*2)/38.1</f>
        <v>4.30194568124987</v>
      </c>
      <c r="AK2344">
        <f t="shared" si="265"/>
        <v>58065.05625</v>
      </c>
    </row>
    <row r="2345" spans="1:37">
      <c r="A2345" t="s">
        <v>2411</v>
      </c>
      <c r="B2345">
        <v>25</v>
      </c>
      <c r="C2345" t="s">
        <v>44</v>
      </c>
      <c r="D2345" t="s">
        <v>45</v>
      </c>
      <c r="E2345">
        <v>1314</v>
      </c>
      <c r="F2345">
        <v>123</v>
      </c>
      <c r="G2345">
        <v>9</v>
      </c>
      <c r="H2345">
        <v>1549.12</v>
      </c>
      <c r="I2345">
        <v>15378.61</v>
      </c>
      <c r="J2345">
        <v>64</v>
      </c>
      <c r="K2345">
        <v>2</v>
      </c>
      <c r="L2345">
        <v>21.8</v>
      </c>
      <c r="M2345">
        <v>42.8</v>
      </c>
      <c r="N2345" t="s">
        <v>78</v>
      </c>
      <c r="O2345" t="s">
        <v>53</v>
      </c>
      <c r="P2345" t="s">
        <v>66</v>
      </c>
      <c r="R2345">
        <f>SUMIF(A2345:A7344,"C02344",I2345:I7344)</f>
        <v>15378.61</v>
      </c>
      <c r="S2345" s="1">
        <v>70879.72</v>
      </c>
      <c r="T2345">
        <f t="shared" si="269"/>
        <v>240.29078125</v>
      </c>
      <c r="U2345">
        <f t="shared" si="270"/>
        <v>2739.2</v>
      </c>
      <c r="V2345">
        <f>U2345</f>
        <v>2739.2</v>
      </c>
      <c r="W2345">
        <f t="shared" si="266"/>
        <v>5642.91</v>
      </c>
      <c r="X2345">
        <f t="shared" si="267"/>
        <v>0.848223507539765</v>
      </c>
      <c r="AH2345" t="str">
        <f t="shared" si="268"/>
        <v>3rd Quality</v>
      </c>
      <c r="AJ2345">
        <f>((T2345-X2345)*2)/21.8</f>
        <v>21.9672071323358</v>
      </c>
      <c r="AK2345">
        <f t="shared" si="265"/>
        <v>315742.0865625</v>
      </c>
    </row>
    <row r="2346" spans="1:37">
      <c r="A2346" t="s">
        <v>2412</v>
      </c>
      <c r="B2346">
        <v>48</v>
      </c>
      <c r="C2346" t="s">
        <v>50</v>
      </c>
      <c r="D2346" t="s">
        <v>60</v>
      </c>
      <c r="E2346">
        <v>1173</v>
      </c>
      <c r="F2346">
        <v>181</v>
      </c>
      <c r="G2346">
        <v>1</v>
      </c>
      <c r="H2346">
        <v>435.45</v>
      </c>
      <c r="I2346">
        <v>452.11</v>
      </c>
      <c r="J2346">
        <v>6</v>
      </c>
      <c r="K2346">
        <v>1</v>
      </c>
      <c r="L2346">
        <v>31.4</v>
      </c>
      <c r="M2346">
        <v>26.4</v>
      </c>
      <c r="N2346" t="s">
        <v>46</v>
      </c>
      <c r="O2346" t="s">
        <v>47</v>
      </c>
      <c r="P2346" t="s">
        <v>54</v>
      </c>
      <c r="R2346">
        <f>SUMIF(A2346:A7345,"C02345",I2346:I7345)</f>
        <v>452.11</v>
      </c>
      <c r="S2346" s="1">
        <v>6238.48</v>
      </c>
      <c r="T2346">
        <f t="shared" si="269"/>
        <v>75.3516666666667</v>
      </c>
      <c r="U2346">
        <f t="shared" si="270"/>
        <v>158.4</v>
      </c>
      <c r="V2346">
        <f>U2346</f>
        <v>158.4</v>
      </c>
      <c r="W2346">
        <f t="shared" si="266"/>
        <v>296.186666666667</v>
      </c>
      <c r="X2346">
        <f t="shared" si="267"/>
        <v>2.6937650706166</v>
      </c>
      <c r="AH2346" t="str">
        <f t="shared" si="268"/>
        <v>3rd Quality</v>
      </c>
      <c r="AJ2346">
        <f>((T2346-X2346)*2)/31.4</f>
        <v>4.62789182140447</v>
      </c>
      <c r="AK2346">
        <f t="shared" si="265"/>
        <v>88387.505</v>
      </c>
    </row>
    <row r="2347" spans="1:37">
      <c r="A2347" t="s">
        <v>2413</v>
      </c>
      <c r="B2347">
        <v>43</v>
      </c>
      <c r="C2347" t="s">
        <v>50</v>
      </c>
      <c r="D2347" t="s">
        <v>60</v>
      </c>
      <c r="E2347">
        <v>783</v>
      </c>
      <c r="F2347">
        <v>4</v>
      </c>
      <c r="G2347">
        <v>25</v>
      </c>
      <c r="H2347">
        <v>2822.2</v>
      </c>
      <c r="I2347">
        <v>70879.72</v>
      </c>
      <c r="J2347">
        <v>157</v>
      </c>
      <c r="K2347">
        <v>2</v>
      </c>
      <c r="L2347">
        <v>3.9</v>
      </c>
      <c r="M2347">
        <v>50.4</v>
      </c>
      <c r="N2347" t="s">
        <v>57</v>
      </c>
      <c r="O2347" t="s">
        <v>47</v>
      </c>
      <c r="P2347" t="s">
        <v>58</v>
      </c>
      <c r="R2347">
        <f>SUMIF(A2347:A7346,"C02346",I2347:I7346)</f>
        <v>70879.72</v>
      </c>
      <c r="S2347" s="1">
        <v>548.87</v>
      </c>
      <c r="T2347">
        <f t="shared" si="269"/>
        <v>451.463184713376</v>
      </c>
      <c r="U2347">
        <f t="shared" si="270"/>
        <v>7912.8</v>
      </c>
      <c r="V2347">
        <f>U2347</f>
        <v>7912.8</v>
      </c>
      <c r="W2347">
        <f t="shared" si="266"/>
        <v>24567.64</v>
      </c>
      <c r="X2347">
        <f t="shared" si="267"/>
        <v>0.27744312947346</v>
      </c>
      <c r="AH2347" t="str">
        <f t="shared" si="268"/>
        <v>2nd Quality</v>
      </c>
      <c r="AJ2347">
        <f>((T2347-X2347)*2)/3.9</f>
        <v>231.37730337636</v>
      </c>
      <c r="AK2347">
        <f t="shared" si="265"/>
        <v>353495.673630573</v>
      </c>
    </row>
    <row r="2348" spans="1:37">
      <c r="A2348" t="s">
        <v>2414</v>
      </c>
      <c r="B2348">
        <v>33</v>
      </c>
      <c r="C2348" t="s">
        <v>50</v>
      </c>
      <c r="D2348" t="s">
        <v>45</v>
      </c>
      <c r="E2348">
        <v>1172</v>
      </c>
      <c r="F2348">
        <v>117</v>
      </c>
      <c r="G2348">
        <v>3</v>
      </c>
      <c r="H2348">
        <v>2059.92</v>
      </c>
      <c r="I2348">
        <v>6238.48</v>
      </c>
      <c r="J2348">
        <v>17</v>
      </c>
      <c r="K2348">
        <v>0</v>
      </c>
      <c r="L2348">
        <v>10.5</v>
      </c>
      <c r="M2348">
        <v>16.9</v>
      </c>
      <c r="N2348" t="s">
        <v>57</v>
      </c>
      <c r="O2348" t="s">
        <v>75</v>
      </c>
      <c r="P2348" t="s">
        <v>48</v>
      </c>
      <c r="R2348">
        <f>SUMIF(A2348:A7347,"C02347",I2348:I7347)</f>
        <v>6238.48</v>
      </c>
      <c r="S2348" s="1">
        <v>104692.54</v>
      </c>
      <c r="T2348">
        <f t="shared" si="269"/>
        <v>366.969411764706</v>
      </c>
      <c r="U2348">
        <f t="shared" si="270"/>
        <v>287.3</v>
      </c>
      <c r="V2348">
        <f t="shared" si="264"/>
        <v>23.9416666666667</v>
      </c>
      <c r="W2348">
        <f t="shared" si="266"/>
        <v>2766.46666666667</v>
      </c>
      <c r="X2348">
        <f t="shared" si="267"/>
        <v>0.568954134141132</v>
      </c>
      <c r="AH2348" t="str">
        <f t="shared" si="268"/>
        <v>3rd Quality</v>
      </c>
      <c r="AJ2348">
        <f>((T2348-X2348)*2)/10.5</f>
        <v>69.7905633582028</v>
      </c>
      <c r="AK2348">
        <f t="shared" si="265"/>
        <v>430088.150588235</v>
      </c>
    </row>
    <row r="2349" spans="1:37">
      <c r="A2349" t="s">
        <v>2415</v>
      </c>
      <c r="B2349">
        <v>18</v>
      </c>
      <c r="C2349" t="s">
        <v>101</v>
      </c>
      <c r="D2349" t="s">
        <v>45</v>
      </c>
      <c r="E2349">
        <v>679</v>
      </c>
      <c r="F2349">
        <v>165</v>
      </c>
      <c r="G2349">
        <v>1</v>
      </c>
      <c r="H2349">
        <v>495.99</v>
      </c>
      <c r="I2349">
        <v>548.87</v>
      </c>
      <c r="J2349">
        <v>18</v>
      </c>
      <c r="K2349">
        <v>0</v>
      </c>
      <c r="L2349">
        <v>26.5</v>
      </c>
      <c r="M2349">
        <v>26.8</v>
      </c>
      <c r="N2349" t="s">
        <v>61</v>
      </c>
      <c r="O2349" t="s">
        <v>53</v>
      </c>
      <c r="P2349" t="s">
        <v>58</v>
      </c>
      <c r="R2349">
        <f>SUMIF(A2349:A7348,"C02348",I2349:I7348)</f>
        <v>548.87</v>
      </c>
      <c r="S2349" s="1">
        <v>103922.57</v>
      </c>
      <c r="T2349">
        <f t="shared" si="269"/>
        <v>30.4927777777778</v>
      </c>
      <c r="U2349">
        <f t="shared" si="270"/>
        <v>482.4</v>
      </c>
      <c r="V2349">
        <f t="shared" si="264"/>
        <v>40.2</v>
      </c>
      <c r="W2349">
        <f t="shared" si="266"/>
        <v>348.62</v>
      </c>
      <c r="X2349">
        <f t="shared" si="267"/>
        <v>1.36897921329059</v>
      </c>
      <c r="AH2349" t="str">
        <f t="shared" si="268"/>
        <v>3rd Quality</v>
      </c>
      <c r="AJ2349">
        <f>((T2349-X2349)*2)/26.5</f>
        <v>2.19802253316885</v>
      </c>
      <c r="AK2349">
        <f t="shared" si="265"/>
        <v>20704.5961111111</v>
      </c>
    </row>
    <row r="2350" spans="1:37">
      <c r="A2350" t="s">
        <v>2416</v>
      </c>
      <c r="B2350">
        <v>18</v>
      </c>
      <c r="C2350" t="s">
        <v>44</v>
      </c>
      <c r="D2350" t="s">
        <v>45</v>
      </c>
      <c r="E2350">
        <v>1021</v>
      </c>
      <c r="F2350">
        <v>4</v>
      </c>
      <c r="G2350">
        <v>32</v>
      </c>
      <c r="H2350">
        <v>3715.61</v>
      </c>
      <c r="I2350">
        <v>104692.54</v>
      </c>
      <c r="J2350">
        <v>72</v>
      </c>
      <c r="K2350">
        <v>0</v>
      </c>
      <c r="L2350">
        <v>10.9</v>
      </c>
      <c r="M2350">
        <v>13.7</v>
      </c>
      <c r="N2350" t="s">
        <v>57</v>
      </c>
      <c r="O2350" t="s">
        <v>47</v>
      </c>
      <c r="P2350" t="s">
        <v>66</v>
      </c>
      <c r="R2350">
        <f>SUMIF(A2350:A7349,"C02349",I2350:I7349)</f>
        <v>104692.54</v>
      </c>
      <c r="S2350" s="1">
        <v>70448.16</v>
      </c>
      <c r="T2350">
        <f t="shared" si="269"/>
        <v>1454.06305555556</v>
      </c>
      <c r="U2350">
        <f t="shared" si="270"/>
        <v>986.4</v>
      </c>
      <c r="V2350">
        <f t="shared" si="264"/>
        <v>82.2</v>
      </c>
      <c r="W2350">
        <f t="shared" si="266"/>
        <v>36136.3833333333</v>
      </c>
      <c r="X2350">
        <f t="shared" si="267"/>
        <v>0.274786643377534</v>
      </c>
      <c r="AH2350" t="str">
        <f t="shared" si="268"/>
        <v>1st Quality</v>
      </c>
      <c r="AJ2350">
        <f>((T2350-X2350)*2)/10.9</f>
        <v>266.750141084804</v>
      </c>
      <c r="AK2350">
        <f t="shared" si="265"/>
        <v>1484598.37972222</v>
      </c>
    </row>
    <row r="2351" spans="1:37">
      <c r="A2351" t="s">
        <v>2417</v>
      </c>
      <c r="B2351">
        <v>26</v>
      </c>
      <c r="C2351" t="s">
        <v>50</v>
      </c>
      <c r="D2351" t="s">
        <v>60</v>
      </c>
      <c r="E2351">
        <v>1117</v>
      </c>
      <c r="F2351">
        <v>9</v>
      </c>
      <c r="G2351">
        <v>27</v>
      </c>
      <c r="H2351">
        <v>3834.57</v>
      </c>
      <c r="I2351">
        <v>103922.57</v>
      </c>
      <c r="J2351">
        <v>198</v>
      </c>
      <c r="K2351">
        <v>1</v>
      </c>
      <c r="L2351">
        <v>14.1</v>
      </c>
      <c r="M2351">
        <v>27.9</v>
      </c>
      <c r="N2351" t="s">
        <v>46</v>
      </c>
      <c r="O2351" t="s">
        <v>47</v>
      </c>
      <c r="P2351" t="s">
        <v>58</v>
      </c>
      <c r="R2351">
        <f>SUMIF(A2351:A7350,"C02350",I2351:I7350)</f>
        <v>103922.57</v>
      </c>
      <c r="S2351" s="1">
        <v>2751.64</v>
      </c>
      <c r="T2351">
        <f t="shared" si="269"/>
        <v>524.861464646465</v>
      </c>
      <c r="U2351">
        <f t="shared" si="270"/>
        <v>5524.2</v>
      </c>
      <c r="V2351">
        <f>U2351</f>
        <v>5524.2</v>
      </c>
      <c r="W2351">
        <f t="shared" si="266"/>
        <v>35919.38</v>
      </c>
      <c r="X2351">
        <f t="shared" si="267"/>
        <v>0.291297329296375</v>
      </c>
      <c r="AH2351" t="str">
        <f t="shared" si="268"/>
        <v>1st Quality</v>
      </c>
      <c r="AJ2351">
        <f>((T2351-X2351)*2)/14.1</f>
        <v>74.4071159315133</v>
      </c>
      <c r="AK2351">
        <f t="shared" si="265"/>
        <v>586270.256010101</v>
      </c>
    </row>
    <row r="2352" spans="1:37">
      <c r="A2352" t="s">
        <v>2418</v>
      </c>
      <c r="B2352">
        <v>30</v>
      </c>
      <c r="C2352" t="s">
        <v>44</v>
      </c>
      <c r="D2352" t="s">
        <v>60</v>
      </c>
      <c r="E2352">
        <v>589</v>
      </c>
      <c r="F2352">
        <v>1</v>
      </c>
      <c r="G2352">
        <v>26</v>
      </c>
      <c r="H2352">
        <v>2545.18</v>
      </c>
      <c r="I2352">
        <v>70448.16</v>
      </c>
      <c r="J2352">
        <v>112</v>
      </c>
      <c r="K2352">
        <v>0</v>
      </c>
      <c r="L2352">
        <v>8.4</v>
      </c>
      <c r="M2352">
        <v>20</v>
      </c>
      <c r="N2352" t="s">
        <v>61</v>
      </c>
      <c r="O2352" t="s">
        <v>47</v>
      </c>
      <c r="P2352" t="s">
        <v>48</v>
      </c>
      <c r="R2352">
        <f>SUMIF(A2352:A7351,"C02351",I2352:I7351)</f>
        <v>70448.16</v>
      </c>
      <c r="S2352" s="1">
        <v>9976.6</v>
      </c>
      <c r="T2352">
        <f t="shared" si="269"/>
        <v>629.001428571429</v>
      </c>
      <c r="U2352">
        <f t="shared" si="270"/>
        <v>2240</v>
      </c>
      <c r="V2352">
        <f t="shared" si="264"/>
        <v>186.666666666667</v>
      </c>
      <c r="W2352">
        <f t="shared" si="266"/>
        <v>24331.4466666667</v>
      </c>
      <c r="X2352">
        <f t="shared" si="267"/>
        <v>0.231417817207427</v>
      </c>
      <c r="AH2352" t="str">
        <f t="shared" si="268"/>
        <v>2nd Quality</v>
      </c>
      <c r="AJ2352">
        <f>((T2352-X2352)*2)/8.4</f>
        <v>149.707145417672</v>
      </c>
      <c r="AK2352">
        <f t="shared" si="265"/>
        <v>370481.841428571</v>
      </c>
    </row>
    <row r="2353" spans="1:37">
      <c r="A2353" t="s">
        <v>2419</v>
      </c>
      <c r="B2353">
        <v>63</v>
      </c>
      <c r="C2353" t="s">
        <v>44</v>
      </c>
      <c r="D2353" t="s">
        <v>45</v>
      </c>
      <c r="E2353">
        <v>642</v>
      </c>
      <c r="F2353">
        <v>66</v>
      </c>
      <c r="G2353">
        <v>5</v>
      </c>
      <c r="H2353">
        <v>618.94</v>
      </c>
      <c r="I2353">
        <v>2751.64</v>
      </c>
      <c r="J2353">
        <v>17</v>
      </c>
      <c r="K2353">
        <v>1</v>
      </c>
      <c r="L2353">
        <v>32.1</v>
      </c>
      <c r="M2353">
        <v>28.8</v>
      </c>
      <c r="N2353" t="s">
        <v>57</v>
      </c>
      <c r="O2353" t="s">
        <v>53</v>
      </c>
      <c r="P2353" t="s">
        <v>68</v>
      </c>
      <c r="R2353">
        <f>SUMIF(A2353:A7352,"C02352",I2353:I7352)</f>
        <v>2751.64</v>
      </c>
      <c r="S2353" s="1">
        <v>45069.8</v>
      </c>
      <c r="T2353">
        <f t="shared" si="269"/>
        <v>161.861176470588</v>
      </c>
      <c r="U2353">
        <f t="shared" si="270"/>
        <v>489.6</v>
      </c>
      <c r="V2353">
        <f>U2353</f>
        <v>489.6</v>
      </c>
      <c r="W2353">
        <f t="shared" si="266"/>
        <v>1123.86</v>
      </c>
      <c r="X2353">
        <f t="shared" si="267"/>
        <v>1.03725724625973</v>
      </c>
      <c r="AH2353" t="str">
        <f t="shared" si="268"/>
        <v>3rd Quality</v>
      </c>
      <c r="AJ2353">
        <f>((T2353-X2353)*2)/32.1</f>
        <v>10.0201818831357</v>
      </c>
      <c r="AK2353">
        <f t="shared" si="265"/>
        <v>103914.875294118</v>
      </c>
    </row>
    <row r="2354" spans="1:37">
      <c r="A2354" t="s">
        <v>2420</v>
      </c>
      <c r="B2354">
        <v>25</v>
      </c>
      <c r="C2354" t="s">
        <v>50</v>
      </c>
      <c r="D2354" t="s">
        <v>60</v>
      </c>
      <c r="E2354">
        <v>506</v>
      </c>
      <c r="F2354">
        <v>38</v>
      </c>
      <c r="G2354">
        <v>9</v>
      </c>
      <c r="H2354">
        <v>1028.72</v>
      </c>
      <c r="I2354">
        <v>9976.6</v>
      </c>
      <c r="J2354">
        <v>63</v>
      </c>
      <c r="K2354">
        <v>1</v>
      </c>
      <c r="L2354">
        <v>4.1</v>
      </c>
      <c r="M2354">
        <v>56.8</v>
      </c>
      <c r="N2354" t="s">
        <v>52</v>
      </c>
      <c r="O2354" t="s">
        <v>47</v>
      </c>
      <c r="P2354" t="s">
        <v>48</v>
      </c>
      <c r="R2354">
        <f>SUMIF(A2354:A7353,"C02353",I2354:I7353)</f>
        <v>9976.6</v>
      </c>
      <c r="S2354" s="1">
        <v>10833</v>
      </c>
      <c r="T2354">
        <f t="shared" si="269"/>
        <v>158.35873015873</v>
      </c>
      <c r="U2354">
        <f t="shared" si="270"/>
        <v>3578.4</v>
      </c>
      <c r="V2354">
        <f>U2354</f>
        <v>3578.4</v>
      </c>
      <c r="W2354">
        <f t="shared" si="266"/>
        <v>3668.77333333333</v>
      </c>
      <c r="X2354">
        <f t="shared" si="267"/>
        <v>0.491873396065013</v>
      </c>
      <c r="AH2354" t="str">
        <f t="shared" si="268"/>
        <v>3rd Quality</v>
      </c>
      <c r="AJ2354">
        <f>((T2354-X2354)*2)/4.1</f>
        <v>77.0082228110561</v>
      </c>
      <c r="AK2354">
        <f t="shared" si="265"/>
        <v>80129.5174603175</v>
      </c>
    </row>
    <row r="2355" spans="1:37">
      <c r="A2355" t="s">
        <v>2421</v>
      </c>
      <c r="B2355">
        <v>30</v>
      </c>
      <c r="C2355" t="s">
        <v>50</v>
      </c>
      <c r="D2355" t="s">
        <v>60</v>
      </c>
      <c r="E2355">
        <v>634</v>
      </c>
      <c r="F2355">
        <v>33</v>
      </c>
      <c r="G2355">
        <v>5</v>
      </c>
      <c r="H2355">
        <v>8326.57</v>
      </c>
      <c r="I2355">
        <v>45069.8</v>
      </c>
      <c r="J2355">
        <v>30</v>
      </c>
      <c r="K2355">
        <v>0</v>
      </c>
      <c r="L2355">
        <v>7.2</v>
      </c>
      <c r="M2355">
        <v>56</v>
      </c>
      <c r="N2355" t="s">
        <v>52</v>
      </c>
      <c r="O2355" t="s">
        <v>47</v>
      </c>
      <c r="P2355" t="s">
        <v>54</v>
      </c>
      <c r="R2355">
        <f>SUMIF(A2355:A7354,"C02354",I2355:I7354)</f>
        <v>45069.8</v>
      </c>
      <c r="S2355" s="1">
        <v>3339.07</v>
      </c>
      <c r="T2355">
        <f t="shared" si="269"/>
        <v>1502.32666666667</v>
      </c>
      <c r="U2355">
        <f t="shared" si="270"/>
        <v>1680</v>
      </c>
      <c r="V2355">
        <f t="shared" si="264"/>
        <v>140</v>
      </c>
      <c r="W2355">
        <f t="shared" si="266"/>
        <v>17799.1233333333</v>
      </c>
      <c r="X2355">
        <f t="shared" si="267"/>
        <v>0.0761417966821873</v>
      </c>
      <c r="AH2355" t="str">
        <f t="shared" si="268"/>
        <v>2nd Quality</v>
      </c>
      <c r="AJ2355">
        <f>((T2355-X2355)*2)/7.2</f>
        <v>417.291812463885</v>
      </c>
      <c r="AK2355">
        <f t="shared" si="265"/>
        <v>952475.106666667</v>
      </c>
    </row>
    <row r="2356" spans="1:37">
      <c r="A2356" t="s">
        <v>2422</v>
      </c>
      <c r="B2356">
        <v>31</v>
      </c>
      <c r="C2356" t="s">
        <v>56</v>
      </c>
      <c r="D2356" t="s">
        <v>60</v>
      </c>
      <c r="E2356">
        <v>1132</v>
      </c>
      <c r="F2356">
        <v>50</v>
      </c>
      <c r="G2356">
        <v>9</v>
      </c>
      <c r="H2356">
        <v>1196.89</v>
      </c>
      <c r="I2356">
        <v>10833</v>
      </c>
      <c r="J2356">
        <v>79</v>
      </c>
      <c r="K2356">
        <v>1</v>
      </c>
      <c r="L2356">
        <v>17.7</v>
      </c>
      <c r="M2356">
        <v>6.2</v>
      </c>
      <c r="N2356" t="s">
        <v>78</v>
      </c>
      <c r="O2356" t="s">
        <v>75</v>
      </c>
      <c r="P2356" t="s">
        <v>48</v>
      </c>
      <c r="R2356">
        <f>SUMIF(A2356:A7355,"C02355",I2356:I7355)</f>
        <v>10833</v>
      </c>
      <c r="S2356" s="1">
        <v>9066.53</v>
      </c>
      <c r="T2356">
        <f t="shared" si="269"/>
        <v>137.126582278481</v>
      </c>
      <c r="U2356">
        <f t="shared" si="270"/>
        <v>489.8</v>
      </c>
      <c r="V2356">
        <f>U2356</f>
        <v>489.8</v>
      </c>
      <c r="W2356">
        <f t="shared" si="266"/>
        <v>4010.29666666667</v>
      </c>
      <c r="X2356">
        <f t="shared" si="267"/>
        <v>0.945784491473736</v>
      </c>
      <c r="AH2356" t="str">
        <f t="shared" si="268"/>
        <v>3rd Quality</v>
      </c>
      <c r="AJ2356">
        <f>((T2356-X2356)*2)/17.7</f>
        <v>15.3876607668935</v>
      </c>
      <c r="AK2356">
        <f t="shared" si="265"/>
        <v>155227.29113924</v>
      </c>
    </row>
    <row r="2357" spans="1:37">
      <c r="A2357" t="s">
        <v>2423</v>
      </c>
      <c r="B2357">
        <v>24</v>
      </c>
      <c r="C2357" t="s">
        <v>44</v>
      </c>
      <c r="D2357" t="s">
        <v>45</v>
      </c>
      <c r="E2357">
        <v>568</v>
      </c>
      <c r="F2357">
        <v>244</v>
      </c>
      <c r="G2357">
        <v>3</v>
      </c>
      <c r="H2357">
        <v>1031.62</v>
      </c>
      <c r="I2357">
        <v>3339.07</v>
      </c>
      <c r="J2357">
        <v>28</v>
      </c>
      <c r="K2357">
        <v>0</v>
      </c>
      <c r="L2357">
        <v>20.2</v>
      </c>
      <c r="M2357">
        <v>6</v>
      </c>
      <c r="N2357" t="s">
        <v>57</v>
      </c>
      <c r="O2357" t="s">
        <v>47</v>
      </c>
      <c r="P2357" t="s">
        <v>58</v>
      </c>
      <c r="R2357">
        <f>SUMIF(A2357:A7356,"C02356",I2357:I7356)</f>
        <v>3339.07</v>
      </c>
      <c r="S2357" s="1">
        <v>57960.7</v>
      </c>
      <c r="T2357">
        <f t="shared" si="269"/>
        <v>119.2525</v>
      </c>
      <c r="U2357">
        <f t="shared" si="270"/>
        <v>168</v>
      </c>
      <c r="V2357">
        <f t="shared" si="264"/>
        <v>14</v>
      </c>
      <c r="W2357">
        <f t="shared" si="266"/>
        <v>1457.23</v>
      </c>
      <c r="X2357">
        <f t="shared" si="267"/>
        <v>0.550590333649987</v>
      </c>
      <c r="AH2357" t="str">
        <f t="shared" si="268"/>
        <v>3rd Quality</v>
      </c>
      <c r="AJ2357">
        <f>((T2357-X2357)*2)/20.2</f>
        <v>11.752664323401</v>
      </c>
      <c r="AK2357">
        <f t="shared" si="265"/>
        <v>67735.42</v>
      </c>
    </row>
    <row r="2358" spans="1:37">
      <c r="A2358" t="s">
        <v>2424</v>
      </c>
      <c r="B2358">
        <v>54</v>
      </c>
      <c r="C2358" t="s">
        <v>50</v>
      </c>
      <c r="D2358" t="s">
        <v>45</v>
      </c>
      <c r="E2358">
        <v>1336</v>
      </c>
      <c r="F2358">
        <v>72</v>
      </c>
      <c r="G2358">
        <v>9</v>
      </c>
      <c r="H2358">
        <v>1101.9</v>
      </c>
      <c r="I2358">
        <v>9066.53</v>
      </c>
      <c r="J2358">
        <v>63</v>
      </c>
      <c r="K2358">
        <v>0</v>
      </c>
      <c r="L2358">
        <v>25.2</v>
      </c>
      <c r="M2358">
        <v>11.8</v>
      </c>
      <c r="N2358" t="s">
        <v>78</v>
      </c>
      <c r="O2358" t="s">
        <v>75</v>
      </c>
      <c r="P2358" t="s">
        <v>58</v>
      </c>
      <c r="R2358">
        <f>SUMIF(A2358:A7357,"C02357",I2358:I7357)</f>
        <v>9066.53</v>
      </c>
      <c r="S2358" s="1">
        <v>11115.89</v>
      </c>
      <c r="T2358">
        <f t="shared" si="269"/>
        <v>143.913174603175</v>
      </c>
      <c r="U2358">
        <f t="shared" si="270"/>
        <v>743.4</v>
      </c>
      <c r="V2358">
        <f t="shared" si="264"/>
        <v>61.95</v>
      </c>
      <c r="W2358">
        <f t="shared" si="266"/>
        <v>3389.81</v>
      </c>
      <c r="X2358">
        <f t="shared" si="267"/>
        <v>1.21245122061893</v>
      </c>
      <c r="AH2358" t="str">
        <f t="shared" si="268"/>
        <v>3rd Quality</v>
      </c>
      <c r="AJ2358">
        <f>((T2358-X2358)*2)/25.2</f>
        <v>11.3254542367108</v>
      </c>
      <c r="AK2358">
        <f t="shared" si="265"/>
        <v>192268.001269841</v>
      </c>
    </row>
    <row r="2359" spans="1:37">
      <c r="A2359" t="s">
        <v>2425</v>
      </c>
      <c r="B2359">
        <v>30</v>
      </c>
      <c r="C2359" t="s">
        <v>50</v>
      </c>
      <c r="D2359" t="s">
        <v>45</v>
      </c>
      <c r="E2359">
        <v>770</v>
      </c>
      <c r="F2359">
        <v>56</v>
      </c>
      <c r="G2359">
        <v>3</v>
      </c>
      <c r="H2359">
        <v>17463.27</v>
      </c>
      <c r="I2359">
        <v>57960.7</v>
      </c>
      <c r="J2359">
        <v>30</v>
      </c>
      <c r="K2359">
        <v>0</v>
      </c>
      <c r="L2359">
        <v>16.1</v>
      </c>
      <c r="M2359">
        <v>7.6</v>
      </c>
      <c r="N2359" t="s">
        <v>57</v>
      </c>
      <c r="O2359" t="s">
        <v>53</v>
      </c>
      <c r="P2359" t="s">
        <v>58</v>
      </c>
      <c r="R2359">
        <f>SUMIF(A2359:A7358,"C02358",I2359:I7358)</f>
        <v>57960.7</v>
      </c>
      <c r="S2359" s="1">
        <v>112022.8</v>
      </c>
      <c r="T2359">
        <f t="shared" si="269"/>
        <v>1932.02333333333</v>
      </c>
      <c r="U2359">
        <f t="shared" si="270"/>
        <v>228</v>
      </c>
      <c r="V2359">
        <f t="shared" si="264"/>
        <v>19</v>
      </c>
      <c r="W2359">
        <f t="shared" si="266"/>
        <v>25141.6566666667</v>
      </c>
      <c r="X2359">
        <f t="shared" si="267"/>
        <v>0.0440925439508179</v>
      </c>
      <c r="AH2359" t="str">
        <f t="shared" si="268"/>
        <v>2nd Quality</v>
      </c>
      <c r="AJ2359">
        <f>((T2359-X2359)*2)/16.1</f>
        <v>239.997421216072</v>
      </c>
      <c r="AK2359">
        <f t="shared" si="265"/>
        <v>1487657.96666667</v>
      </c>
    </row>
    <row r="2360" spans="1:37">
      <c r="A2360" t="s">
        <v>2426</v>
      </c>
      <c r="B2360">
        <v>18</v>
      </c>
      <c r="C2360" t="s">
        <v>44</v>
      </c>
      <c r="D2360" t="s">
        <v>45</v>
      </c>
      <c r="E2360">
        <v>698</v>
      </c>
      <c r="F2360">
        <v>356</v>
      </c>
      <c r="G2360">
        <v>4</v>
      </c>
      <c r="H2360">
        <v>3116.41</v>
      </c>
      <c r="I2360">
        <v>11115.89</v>
      </c>
      <c r="J2360">
        <v>19</v>
      </c>
      <c r="K2360">
        <v>0</v>
      </c>
      <c r="L2360">
        <v>16.9</v>
      </c>
      <c r="M2360">
        <v>22.8</v>
      </c>
      <c r="N2360" t="s">
        <v>63</v>
      </c>
      <c r="O2360" t="s">
        <v>75</v>
      </c>
      <c r="P2360" t="s">
        <v>66</v>
      </c>
      <c r="R2360">
        <f>SUMIF(A2360:A7359,"C02359",I2360:I7359)</f>
        <v>11115.89</v>
      </c>
      <c r="S2360" s="1">
        <v>2249.88</v>
      </c>
      <c r="T2360">
        <f t="shared" si="269"/>
        <v>585.046842105263</v>
      </c>
      <c r="U2360">
        <f t="shared" si="270"/>
        <v>433.2</v>
      </c>
      <c r="V2360">
        <f t="shared" si="264"/>
        <v>36.1</v>
      </c>
      <c r="W2360">
        <f t="shared" si="266"/>
        <v>4744.43333333333</v>
      </c>
      <c r="X2360">
        <f t="shared" si="267"/>
        <v>0.223975664306044</v>
      </c>
      <c r="AH2360" t="str">
        <f t="shared" si="268"/>
        <v>3rd Quality</v>
      </c>
      <c r="AJ2360">
        <f>((T2360-X2360)*2)/16.9</f>
        <v>69.2098066794032</v>
      </c>
      <c r="AK2360">
        <f t="shared" si="265"/>
        <v>408362.695789474</v>
      </c>
    </row>
    <row r="2361" spans="1:37">
      <c r="A2361" t="s">
        <v>2427</v>
      </c>
      <c r="B2361">
        <v>40</v>
      </c>
      <c r="C2361" t="s">
        <v>44</v>
      </c>
      <c r="D2361" t="s">
        <v>60</v>
      </c>
      <c r="E2361">
        <v>849</v>
      </c>
      <c r="F2361">
        <v>11</v>
      </c>
      <c r="G2361">
        <v>36</v>
      </c>
      <c r="H2361">
        <v>3500.51</v>
      </c>
      <c r="I2361">
        <v>112022.8</v>
      </c>
      <c r="J2361">
        <v>188</v>
      </c>
      <c r="K2361">
        <v>2</v>
      </c>
      <c r="L2361">
        <v>15.2</v>
      </c>
      <c r="M2361">
        <v>67.2</v>
      </c>
      <c r="N2361" t="s">
        <v>78</v>
      </c>
      <c r="O2361" t="s">
        <v>47</v>
      </c>
      <c r="P2361" t="s">
        <v>58</v>
      </c>
      <c r="R2361">
        <f>SUMIF(A2361:A7360,"C02360",I2361:I7360)</f>
        <v>112022.8</v>
      </c>
      <c r="S2361" s="1">
        <v>66252.87</v>
      </c>
      <c r="T2361">
        <f t="shared" si="269"/>
        <v>595.865957446809</v>
      </c>
      <c r="U2361">
        <f t="shared" si="270"/>
        <v>12633.6</v>
      </c>
      <c r="V2361">
        <f>U2361</f>
        <v>12633.6</v>
      </c>
      <c r="W2361">
        <f t="shared" si="266"/>
        <v>38508.1033333333</v>
      </c>
      <c r="X2361">
        <f t="shared" si="267"/>
        <v>0.242536087598664</v>
      </c>
      <c r="AH2361" t="str">
        <f t="shared" si="268"/>
        <v>2nd Quality</v>
      </c>
      <c r="AJ2361">
        <f>((T2361-X2361)*2)/15.2</f>
        <v>78.3715028104224</v>
      </c>
      <c r="AK2361">
        <f t="shared" si="265"/>
        <v>505890.197872341</v>
      </c>
    </row>
    <row r="2362" spans="1:37">
      <c r="A2362" t="s">
        <v>2428</v>
      </c>
      <c r="B2362">
        <v>39</v>
      </c>
      <c r="C2362" t="s">
        <v>50</v>
      </c>
      <c r="D2362" t="s">
        <v>51</v>
      </c>
      <c r="E2362">
        <v>1062</v>
      </c>
      <c r="F2362">
        <v>84</v>
      </c>
      <c r="G2362">
        <v>3</v>
      </c>
      <c r="H2362">
        <v>745.66</v>
      </c>
      <c r="I2362">
        <v>2249.88</v>
      </c>
      <c r="J2362">
        <v>32</v>
      </c>
      <c r="K2362">
        <v>0</v>
      </c>
      <c r="L2362">
        <v>26.1</v>
      </c>
      <c r="M2362">
        <v>43.6</v>
      </c>
      <c r="N2362" t="s">
        <v>61</v>
      </c>
      <c r="O2362" t="s">
        <v>47</v>
      </c>
      <c r="P2362" t="s">
        <v>58</v>
      </c>
      <c r="R2362">
        <f>SUMIF(A2362:A7361,"C02361",I2362:I7361)</f>
        <v>2249.88</v>
      </c>
      <c r="S2362" s="1">
        <v>14362.1</v>
      </c>
      <c r="T2362">
        <f t="shared" si="269"/>
        <v>70.30875</v>
      </c>
      <c r="U2362">
        <f t="shared" si="270"/>
        <v>1395.2</v>
      </c>
      <c r="V2362">
        <f t="shared" si="264"/>
        <v>116.266666666667</v>
      </c>
      <c r="W2362">
        <f t="shared" si="266"/>
        <v>998.846666666667</v>
      </c>
      <c r="X2362">
        <f t="shared" si="267"/>
        <v>1.42424161145831</v>
      </c>
      <c r="AH2362" t="str">
        <f t="shared" si="268"/>
        <v>3rd Quality</v>
      </c>
      <c r="AJ2362">
        <f>((T2362-X2362)*2)/26.1</f>
        <v>5.27850638992657</v>
      </c>
      <c r="AK2362">
        <f t="shared" si="265"/>
        <v>74667.8925</v>
      </c>
    </row>
    <row r="2363" spans="1:37">
      <c r="A2363" t="s">
        <v>2429</v>
      </c>
      <c r="B2363">
        <v>44</v>
      </c>
      <c r="C2363" t="s">
        <v>50</v>
      </c>
      <c r="D2363" t="s">
        <v>60</v>
      </c>
      <c r="E2363">
        <v>1160</v>
      </c>
      <c r="F2363">
        <v>21</v>
      </c>
      <c r="G2363">
        <v>24</v>
      </c>
      <c r="H2363">
        <v>2613.01</v>
      </c>
      <c r="I2363">
        <v>66252.87</v>
      </c>
      <c r="J2363">
        <v>108</v>
      </c>
      <c r="K2363">
        <v>4</v>
      </c>
      <c r="L2363">
        <v>23.4</v>
      </c>
      <c r="M2363">
        <v>45.3</v>
      </c>
      <c r="N2363" t="s">
        <v>57</v>
      </c>
      <c r="O2363" t="s">
        <v>47</v>
      </c>
      <c r="P2363" t="s">
        <v>58</v>
      </c>
      <c r="R2363">
        <f>SUMIF(A2363:A7362,"C02362",I2363:I7362)</f>
        <v>66252.87</v>
      </c>
      <c r="S2363" s="1">
        <v>6221.87</v>
      </c>
      <c r="T2363">
        <f t="shared" si="269"/>
        <v>613.4525</v>
      </c>
      <c r="U2363">
        <f t="shared" si="270"/>
        <v>4892.4</v>
      </c>
      <c r="V2363">
        <f>U2363</f>
        <v>4892.4</v>
      </c>
      <c r="W2363">
        <f t="shared" si="266"/>
        <v>22955.6266666667</v>
      </c>
      <c r="X2363">
        <f t="shared" si="267"/>
        <v>0.443932476339547</v>
      </c>
      <c r="AH2363" t="str">
        <f t="shared" si="268"/>
        <v>3rd Quality</v>
      </c>
      <c r="AJ2363">
        <f>((T2363-X2363)*2)/23.4</f>
        <v>52.3938946601419</v>
      </c>
      <c r="AK2363">
        <f t="shared" si="265"/>
        <v>711604.9</v>
      </c>
    </row>
    <row r="2364" spans="1:37">
      <c r="A2364" t="s">
        <v>2430</v>
      </c>
      <c r="B2364">
        <v>29</v>
      </c>
      <c r="C2364" t="s">
        <v>44</v>
      </c>
      <c r="D2364" t="s">
        <v>60</v>
      </c>
      <c r="E2364">
        <v>1106</v>
      </c>
      <c r="F2364">
        <v>62</v>
      </c>
      <c r="G2364">
        <v>9</v>
      </c>
      <c r="H2364">
        <v>1522.68</v>
      </c>
      <c r="I2364">
        <v>14362.1</v>
      </c>
      <c r="J2364">
        <v>52</v>
      </c>
      <c r="K2364">
        <v>0</v>
      </c>
      <c r="L2364">
        <v>11</v>
      </c>
      <c r="M2364">
        <v>16.8</v>
      </c>
      <c r="N2364" t="s">
        <v>52</v>
      </c>
      <c r="O2364" t="s">
        <v>47</v>
      </c>
      <c r="P2364" t="s">
        <v>68</v>
      </c>
      <c r="R2364">
        <f>SUMIF(A2364:A7363,"C02363",I2364:I7363)</f>
        <v>14362.1</v>
      </c>
      <c r="S2364" s="1">
        <v>841.09</v>
      </c>
      <c r="T2364">
        <f t="shared" si="269"/>
        <v>276.194230769231</v>
      </c>
      <c r="U2364">
        <f t="shared" si="270"/>
        <v>873.6</v>
      </c>
      <c r="V2364">
        <f t="shared" si="264"/>
        <v>72.8</v>
      </c>
      <c r="W2364">
        <f t="shared" si="266"/>
        <v>5295.26</v>
      </c>
      <c r="X2364">
        <f t="shared" si="267"/>
        <v>0.726350907610266</v>
      </c>
      <c r="AH2364" t="str">
        <f t="shared" si="268"/>
        <v>3rd Quality</v>
      </c>
      <c r="AJ2364">
        <f>((T2364-X2364)*2)/11</f>
        <v>50.0850690657492</v>
      </c>
      <c r="AK2364">
        <f t="shared" si="265"/>
        <v>305470.819230769</v>
      </c>
    </row>
    <row r="2365" spans="1:37">
      <c r="A2365" t="s">
        <v>2431</v>
      </c>
      <c r="B2365">
        <v>19</v>
      </c>
      <c r="C2365" t="s">
        <v>50</v>
      </c>
      <c r="D2365" t="s">
        <v>51</v>
      </c>
      <c r="E2365">
        <v>487</v>
      </c>
      <c r="F2365">
        <v>103</v>
      </c>
      <c r="G2365">
        <v>3</v>
      </c>
      <c r="H2365">
        <v>2049.26</v>
      </c>
      <c r="I2365">
        <v>6221.87</v>
      </c>
      <c r="J2365">
        <v>26</v>
      </c>
      <c r="K2365">
        <v>0</v>
      </c>
      <c r="L2365">
        <v>16.3</v>
      </c>
      <c r="M2365">
        <v>2.8</v>
      </c>
      <c r="N2365" t="s">
        <v>52</v>
      </c>
      <c r="O2365" t="s">
        <v>47</v>
      </c>
      <c r="P2365" t="s">
        <v>66</v>
      </c>
      <c r="R2365">
        <f>SUMIF(A2365:A7364,"C02364",I2365:I7364)</f>
        <v>6221.87</v>
      </c>
      <c r="S2365" s="1">
        <v>1501.95</v>
      </c>
      <c r="T2365">
        <f t="shared" si="269"/>
        <v>239.302692307692</v>
      </c>
      <c r="U2365">
        <f t="shared" si="270"/>
        <v>72.8</v>
      </c>
      <c r="V2365">
        <f t="shared" si="264"/>
        <v>6.06666666666667</v>
      </c>
      <c r="W2365">
        <f t="shared" si="266"/>
        <v>2757.37666666667</v>
      </c>
      <c r="X2365">
        <f t="shared" si="267"/>
        <v>0.23764676029396</v>
      </c>
      <c r="AH2365" t="str">
        <f t="shared" si="268"/>
        <v>3rd Quality</v>
      </c>
      <c r="AJ2365">
        <f>((T2365-X2365)*2)/16.3</f>
        <v>29.3331344229936</v>
      </c>
      <c r="AK2365">
        <f t="shared" si="265"/>
        <v>116540.411153846</v>
      </c>
    </row>
    <row r="2366" spans="1:37">
      <c r="A2366" t="s">
        <v>2432</v>
      </c>
      <c r="B2366">
        <v>34</v>
      </c>
      <c r="C2366" t="s">
        <v>50</v>
      </c>
      <c r="D2366" t="s">
        <v>45</v>
      </c>
      <c r="E2366">
        <v>1322</v>
      </c>
      <c r="F2366">
        <v>140</v>
      </c>
      <c r="G2366">
        <v>1</v>
      </c>
      <c r="H2366">
        <v>787.49</v>
      </c>
      <c r="I2366">
        <v>841.09</v>
      </c>
      <c r="J2366">
        <v>16</v>
      </c>
      <c r="K2366">
        <v>0</v>
      </c>
      <c r="L2366">
        <v>34.3</v>
      </c>
      <c r="M2366">
        <v>12.7</v>
      </c>
      <c r="N2366" t="s">
        <v>57</v>
      </c>
      <c r="O2366" t="s">
        <v>47</v>
      </c>
      <c r="P2366" t="s">
        <v>58</v>
      </c>
      <c r="R2366">
        <f>SUMIF(A2366:A7365,"C02365",I2366:I7365)</f>
        <v>841.09</v>
      </c>
      <c r="S2366" s="1">
        <v>11713.74</v>
      </c>
      <c r="T2366">
        <f t="shared" si="269"/>
        <v>52.568125</v>
      </c>
      <c r="U2366">
        <f t="shared" si="270"/>
        <v>203.2</v>
      </c>
      <c r="V2366">
        <f t="shared" si="264"/>
        <v>16.9333333333333</v>
      </c>
      <c r="W2366">
        <f t="shared" si="266"/>
        <v>543.193333333333</v>
      </c>
      <c r="X2366">
        <f t="shared" si="267"/>
        <v>1.67875147620922</v>
      </c>
      <c r="AH2366" t="str">
        <f t="shared" si="268"/>
        <v>3rd Quality</v>
      </c>
      <c r="AJ2366">
        <f>((T2366-X2366)*2)/34.3</f>
        <v>2.96731040955048</v>
      </c>
      <c r="AK2366">
        <f t="shared" si="265"/>
        <v>69495.06125</v>
      </c>
    </row>
    <row r="2367" spans="1:37">
      <c r="A2367" t="s">
        <v>2433</v>
      </c>
      <c r="B2367">
        <v>34</v>
      </c>
      <c r="C2367" t="s">
        <v>50</v>
      </c>
      <c r="D2367" t="s">
        <v>60</v>
      </c>
      <c r="E2367">
        <v>834</v>
      </c>
      <c r="F2367">
        <v>106</v>
      </c>
      <c r="G2367">
        <v>2</v>
      </c>
      <c r="H2367">
        <v>732.05</v>
      </c>
      <c r="I2367">
        <v>1501.95</v>
      </c>
      <c r="J2367">
        <v>25</v>
      </c>
      <c r="K2367">
        <v>1</v>
      </c>
      <c r="L2367">
        <v>28.8</v>
      </c>
      <c r="M2367">
        <v>4.9</v>
      </c>
      <c r="N2367" t="s">
        <v>57</v>
      </c>
      <c r="O2367" t="s">
        <v>75</v>
      </c>
      <c r="P2367" t="s">
        <v>58</v>
      </c>
      <c r="R2367">
        <f>SUMIF(A2367:A7366,"C02366",I2367:I7366)</f>
        <v>1501.95</v>
      </c>
      <c r="S2367" s="1">
        <v>16355.26</v>
      </c>
      <c r="T2367">
        <f t="shared" si="269"/>
        <v>60.078</v>
      </c>
      <c r="U2367">
        <f t="shared" si="270"/>
        <v>122.5</v>
      </c>
      <c r="V2367">
        <f>U2367</f>
        <v>122.5</v>
      </c>
      <c r="W2367">
        <f t="shared" si="266"/>
        <v>745</v>
      </c>
      <c r="X2367">
        <f t="shared" si="267"/>
        <v>1.13926644354894</v>
      </c>
      <c r="AH2367" t="str">
        <f t="shared" si="268"/>
        <v>3rd Quality</v>
      </c>
      <c r="AJ2367">
        <f>((T2367-X2367)*2)/28.8</f>
        <v>4.09296760808688</v>
      </c>
      <c r="AK2367">
        <f t="shared" si="265"/>
        <v>50105.052</v>
      </c>
    </row>
    <row r="2368" spans="1:37">
      <c r="A2368" t="s">
        <v>2434</v>
      </c>
      <c r="B2368">
        <v>27</v>
      </c>
      <c r="C2368" t="s">
        <v>44</v>
      </c>
      <c r="D2368" t="s">
        <v>60</v>
      </c>
      <c r="E2368">
        <v>1308</v>
      </c>
      <c r="F2368">
        <v>47</v>
      </c>
      <c r="G2368">
        <v>7</v>
      </c>
      <c r="H2368">
        <v>1543.65</v>
      </c>
      <c r="I2368">
        <v>11713.74</v>
      </c>
      <c r="J2368">
        <v>54</v>
      </c>
      <c r="K2368">
        <v>0</v>
      </c>
      <c r="L2368">
        <v>31.6</v>
      </c>
      <c r="M2368">
        <v>31.4</v>
      </c>
      <c r="N2368" t="s">
        <v>63</v>
      </c>
      <c r="O2368" t="s">
        <v>75</v>
      </c>
      <c r="P2368" t="s">
        <v>58</v>
      </c>
      <c r="R2368">
        <f>SUMIF(A2368:A7367,"C02367",I2368:I7367)</f>
        <v>11713.74</v>
      </c>
      <c r="S2368" s="1">
        <v>4846.85</v>
      </c>
      <c r="T2368">
        <f t="shared" si="269"/>
        <v>216.921111111111</v>
      </c>
      <c r="U2368">
        <f t="shared" si="270"/>
        <v>1695.6</v>
      </c>
      <c r="V2368">
        <f t="shared" si="264"/>
        <v>141.3</v>
      </c>
      <c r="W2368">
        <f t="shared" si="266"/>
        <v>4419.46333333333</v>
      </c>
      <c r="X2368">
        <f t="shared" si="267"/>
        <v>0.847342337965212</v>
      </c>
      <c r="AH2368" t="str">
        <f t="shared" si="268"/>
        <v>3rd Quality</v>
      </c>
      <c r="AJ2368">
        <f>((T2368-X2368)*2)/31.6</f>
        <v>13.6755549856421</v>
      </c>
      <c r="AK2368">
        <f t="shared" si="265"/>
        <v>283732.813333333</v>
      </c>
    </row>
    <row r="2369" spans="1:37">
      <c r="A2369" t="s">
        <v>2435</v>
      </c>
      <c r="B2369">
        <v>25</v>
      </c>
      <c r="C2369" t="s">
        <v>44</v>
      </c>
      <c r="D2369" t="s">
        <v>60</v>
      </c>
      <c r="E2369">
        <v>1087</v>
      </c>
      <c r="F2369">
        <v>82</v>
      </c>
      <c r="G2369">
        <v>13</v>
      </c>
      <c r="H2369">
        <v>1385.89</v>
      </c>
      <c r="I2369">
        <v>16355.26</v>
      </c>
      <c r="J2369">
        <v>57</v>
      </c>
      <c r="K2369">
        <v>0</v>
      </c>
      <c r="L2369">
        <v>7.5</v>
      </c>
      <c r="M2369">
        <v>55.8</v>
      </c>
      <c r="N2369" t="s">
        <v>61</v>
      </c>
      <c r="O2369" t="s">
        <v>75</v>
      </c>
      <c r="P2369" t="s">
        <v>68</v>
      </c>
      <c r="R2369">
        <f>SUMIF(A2369:A7368,"C02368",I2369:I7368)</f>
        <v>16355.26</v>
      </c>
      <c r="S2369" s="1">
        <v>32469.34</v>
      </c>
      <c r="T2369">
        <f t="shared" si="269"/>
        <v>286.934385964912</v>
      </c>
      <c r="U2369">
        <f t="shared" si="270"/>
        <v>3180.6</v>
      </c>
      <c r="V2369">
        <f t="shared" ref="V2369:V2432" si="271">U2369/12</f>
        <v>265.05</v>
      </c>
      <c r="W2369">
        <f t="shared" si="266"/>
        <v>5914.05</v>
      </c>
      <c r="X2369">
        <f t="shared" si="267"/>
        <v>0.784333532964377</v>
      </c>
      <c r="AH2369" t="str">
        <f t="shared" si="268"/>
        <v>3rd Quality</v>
      </c>
      <c r="AJ2369">
        <f>((T2369-X2369)*2)/7.5</f>
        <v>76.3066806485194</v>
      </c>
      <c r="AK2369">
        <f t="shared" si="265"/>
        <v>311897.67754386</v>
      </c>
    </row>
    <row r="2370" spans="1:37">
      <c r="A2370" t="s">
        <v>2436</v>
      </c>
      <c r="B2370">
        <v>39</v>
      </c>
      <c r="C2370" t="s">
        <v>44</v>
      </c>
      <c r="D2370" t="s">
        <v>60</v>
      </c>
      <c r="E2370">
        <v>448</v>
      </c>
      <c r="F2370">
        <v>18</v>
      </c>
      <c r="G2370">
        <v>4</v>
      </c>
      <c r="H2370">
        <v>1086.21</v>
      </c>
      <c r="I2370">
        <v>4846.85</v>
      </c>
      <c r="J2370">
        <v>19</v>
      </c>
      <c r="K2370">
        <v>1</v>
      </c>
      <c r="L2370">
        <v>21.2</v>
      </c>
      <c r="M2370">
        <v>2.1</v>
      </c>
      <c r="N2370" t="s">
        <v>81</v>
      </c>
      <c r="O2370" t="s">
        <v>47</v>
      </c>
      <c r="P2370" t="s">
        <v>66</v>
      </c>
      <c r="R2370">
        <f>SUMIF(A2370:A7369,"C02369",I2370:I7369)</f>
        <v>4846.85</v>
      </c>
      <c r="S2370" s="1">
        <v>9394.99</v>
      </c>
      <c r="T2370">
        <f t="shared" si="269"/>
        <v>255.097368421053</v>
      </c>
      <c r="U2370">
        <f t="shared" si="270"/>
        <v>39.9</v>
      </c>
      <c r="V2370">
        <f>U2370</f>
        <v>39.9</v>
      </c>
      <c r="W2370">
        <f t="shared" si="266"/>
        <v>1978.02</v>
      </c>
      <c r="X2370">
        <f t="shared" si="267"/>
        <v>0.412443266035113</v>
      </c>
      <c r="AH2370" t="str">
        <f t="shared" si="268"/>
        <v>3rd Quality</v>
      </c>
      <c r="AJ2370">
        <f>((T2370-X2370)*2)/21.2</f>
        <v>24.0268797316055</v>
      </c>
      <c r="AK2370">
        <f t="shared" si="265"/>
        <v>114283.621052632</v>
      </c>
    </row>
    <row r="2371" spans="1:37">
      <c r="A2371" t="s">
        <v>2437</v>
      </c>
      <c r="B2371">
        <v>25</v>
      </c>
      <c r="C2371" t="s">
        <v>44</v>
      </c>
      <c r="D2371" t="s">
        <v>60</v>
      </c>
      <c r="E2371">
        <v>964</v>
      </c>
      <c r="F2371">
        <v>14</v>
      </c>
      <c r="G2371">
        <v>3</v>
      </c>
      <c r="H2371">
        <v>9916.96</v>
      </c>
      <c r="I2371">
        <v>32469.34</v>
      </c>
      <c r="J2371">
        <v>27</v>
      </c>
      <c r="K2371">
        <v>0</v>
      </c>
      <c r="L2371">
        <v>4.3</v>
      </c>
      <c r="M2371">
        <v>7.7</v>
      </c>
      <c r="N2371" t="s">
        <v>81</v>
      </c>
      <c r="O2371" t="s">
        <v>75</v>
      </c>
      <c r="P2371" t="s">
        <v>58</v>
      </c>
      <c r="R2371">
        <f>SUMIF(A2371:A7370,"C02370",I2371:I7370)</f>
        <v>32469.34</v>
      </c>
      <c r="S2371" s="1">
        <v>4906.84</v>
      </c>
      <c r="T2371">
        <f t="shared" si="269"/>
        <v>1202.56814814815</v>
      </c>
      <c r="U2371">
        <f t="shared" si="270"/>
        <v>207.9</v>
      </c>
      <c r="V2371">
        <f t="shared" si="271"/>
        <v>17.325</v>
      </c>
      <c r="W2371">
        <f t="shared" si="266"/>
        <v>14129.1</v>
      </c>
      <c r="X2371">
        <f t="shared" si="267"/>
        <v>0.0972072086607186</v>
      </c>
      <c r="AH2371" t="str">
        <f t="shared" si="268"/>
        <v>1st Quality</v>
      </c>
      <c r="AJ2371">
        <f>((T2371-X2371)*2)/4.3</f>
        <v>559.288809739297</v>
      </c>
      <c r="AK2371">
        <f t="shared" ref="AK2371:AK2434" si="272">I2371/J2371*E2371</f>
        <v>1159275.69481481</v>
      </c>
    </row>
    <row r="2372" spans="1:37">
      <c r="A2372" t="s">
        <v>2438</v>
      </c>
      <c r="B2372">
        <v>48</v>
      </c>
      <c r="C2372" t="s">
        <v>44</v>
      </c>
      <c r="D2372" t="s">
        <v>45</v>
      </c>
      <c r="E2372">
        <v>1277</v>
      </c>
      <c r="F2372">
        <v>43</v>
      </c>
      <c r="G2372">
        <v>8</v>
      </c>
      <c r="H2372">
        <v>1072.62</v>
      </c>
      <c r="I2372">
        <v>9394.99</v>
      </c>
      <c r="J2372">
        <v>22</v>
      </c>
      <c r="K2372">
        <v>0</v>
      </c>
      <c r="L2372">
        <v>21.2</v>
      </c>
      <c r="M2372">
        <v>57.3</v>
      </c>
      <c r="N2372" t="s">
        <v>61</v>
      </c>
      <c r="O2372" t="s">
        <v>53</v>
      </c>
      <c r="P2372" t="s">
        <v>68</v>
      </c>
      <c r="R2372">
        <f>SUMIF(A2372:A7371,"C02371",I2372:I7371)</f>
        <v>9394.99</v>
      </c>
      <c r="S2372" s="1">
        <v>11935.69</v>
      </c>
      <c r="T2372">
        <f t="shared" si="269"/>
        <v>427.045</v>
      </c>
      <c r="U2372">
        <f t="shared" si="270"/>
        <v>1260.6</v>
      </c>
      <c r="V2372">
        <f t="shared" si="271"/>
        <v>105.05</v>
      </c>
      <c r="W2372">
        <f t="shared" si="266"/>
        <v>3489.53666666667</v>
      </c>
      <c r="X2372">
        <f t="shared" si="267"/>
        <v>1.19054278309187</v>
      </c>
      <c r="AH2372" t="str">
        <f t="shared" si="268"/>
        <v>3rd Quality</v>
      </c>
      <c r="AJ2372">
        <f>((T2372-X2372)*2)/21.2</f>
        <v>40.1749487940479</v>
      </c>
      <c r="AK2372">
        <f t="shared" si="272"/>
        <v>545336.465</v>
      </c>
    </row>
    <row r="2373" spans="1:37">
      <c r="A2373" t="s">
        <v>2439</v>
      </c>
      <c r="B2373">
        <v>42</v>
      </c>
      <c r="C2373" t="s">
        <v>44</v>
      </c>
      <c r="D2373" t="s">
        <v>60</v>
      </c>
      <c r="E2373">
        <v>1229</v>
      </c>
      <c r="F2373">
        <v>20</v>
      </c>
      <c r="G2373">
        <v>5</v>
      </c>
      <c r="H2373">
        <v>1014.58</v>
      </c>
      <c r="I2373">
        <v>4906.84</v>
      </c>
      <c r="J2373">
        <v>52</v>
      </c>
      <c r="K2373">
        <v>0</v>
      </c>
      <c r="L2373">
        <v>10.9</v>
      </c>
      <c r="M2373">
        <v>15.2</v>
      </c>
      <c r="N2373" t="s">
        <v>78</v>
      </c>
      <c r="O2373" t="s">
        <v>47</v>
      </c>
      <c r="P2373" t="s">
        <v>68</v>
      </c>
      <c r="R2373">
        <f>SUMIF(A2373:A7372,"C02372",I2373:I7372)</f>
        <v>4906.84</v>
      </c>
      <c r="S2373" s="1">
        <v>5950.76</v>
      </c>
      <c r="T2373">
        <f t="shared" si="269"/>
        <v>94.3623076923077</v>
      </c>
      <c r="U2373">
        <f t="shared" si="270"/>
        <v>790.4</v>
      </c>
      <c r="V2373">
        <f t="shared" si="271"/>
        <v>65.8666666666667</v>
      </c>
      <c r="W2373">
        <f t="shared" si="266"/>
        <v>1974.14</v>
      </c>
      <c r="X2373">
        <f t="shared" si="267"/>
        <v>1.2113386820162</v>
      </c>
      <c r="AH2373" t="str">
        <f t="shared" si="268"/>
        <v>3rd Quality</v>
      </c>
      <c r="AJ2373">
        <f>((T2373-X2373)*2)/10.9</f>
        <v>17.0919209193195</v>
      </c>
      <c r="AK2373">
        <f t="shared" si="272"/>
        <v>115971.276153846</v>
      </c>
    </row>
    <row r="2374" spans="1:37">
      <c r="A2374" t="s">
        <v>2440</v>
      </c>
      <c r="B2374">
        <v>46</v>
      </c>
      <c r="C2374" t="s">
        <v>44</v>
      </c>
      <c r="D2374" t="s">
        <v>60</v>
      </c>
      <c r="E2374">
        <v>1161</v>
      </c>
      <c r="F2374">
        <v>7</v>
      </c>
      <c r="G2374">
        <v>8</v>
      </c>
      <c r="H2374">
        <v>1347.45</v>
      </c>
      <c r="I2374">
        <v>11935.69</v>
      </c>
      <c r="J2374">
        <v>28</v>
      </c>
      <c r="K2374">
        <v>0</v>
      </c>
      <c r="L2374">
        <v>20</v>
      </c>
      <c r="M2374">
        <v>15.3</v>
      </c>
      <c r="N2374" t="s">
        <v>57</v>
      </c>
      <c r="O2374" t="s">
        <v>75</v>
      </c>
      <c r="P2374" t="s">
        <v>48</v>
      </c>
      <c r="R2374">
        <f>SUMIF(A2374:A7373,"C02373",I2374:I7373)</f>
        <v>11935.69</v>
      </c>
      <c r="S2374" s="1">
        <v>13774.27</v>
      </c>
      <c r="T2374">
        <f t="shared" si="269"/>
        <v>426.274642857143</v>
      </c>
      <c r="U2374">
        <f t="shared" si="270"/>
        <v>428.4</v>
      </c>
      <c r="V2374">
        <f t="shared" si="271"/>
        <v>35.7</v>
      </c>
      <c r="W2374">
        <f t="shared" si="266"/>
        <v>4428.04666666667</v>
      </c>
      <c r="X2374">
        <f t="shared" si="267"/>
        <v>0.861627518646332</v>
      </c>
      <c r="AH2374" t="str">
        <f t="shared" si="268"/>
        <v>3rd Quality</v>
      </c>
      <c r="AJ2374">
        <f>((T2374-X2374)*2)/20</f>
        <v>42.5413015338497</v>
      </c>
      <c r="AK2374">
        <f t="shared" si="272"/>
        <v>494904.860357143</v>
      </c>
    </row>
    <row r="2375" spans="1:37">
      <c r="A2375" t="s">
        <v>2441</v>
      </c>
      <c r="B2375">
        <v>23</v>
      </c>
      <c r="C2375" t="s">
        <v>50</v>
      </c>
      <c r="D2375" t="s">
        <v>60</v>
      </c>
      <c r="E2375">
        <v>1343</v>
      </c>
      <c r="F2375">
        <v>12</v>
      </c>
      <c r="G2375">
        <v>6</v>
      </c>
      <c r="H2375">
        <v>1085.16</v>
      </c>
      <c r="I2375">
        <v>5950.76</v>
      </c>
      <c r="J2375">
        <v>36</v>
      </c>
      <c r="K2375">
        <v>0</v>
      </c>
      <c r="L2375">
        <v>19.6</v>
      </c>
      <c r="M2375">
        <v>19.8</v>
      </c>
      <c r="N2375" t="s">
        <v>61</v>
      </c>
      <c r="O2375" t="s">
        <v>75</v>
      </c>
      <c r="P2375" t="s">
        <v>58</v>
      </c>
      <c r="R2375">
        <f>SUMIF(A2375:A7374,"C02374",I2375:I7374)</f>
        <v>5950.76</v>
      </c>
      <c r="S2375" s="1">
        <v>97557.02</v>
      </c>
      <c r="T2375">
        <f t="shared" si="269"/>
        <v>165.298888888889</v>
      </c>
      <c r="U2375">
        <f t="shared" si="270"/>
        <v>712.8</v>
      </c>
      <c r="V2375">
        <f t="shared" si="271"/>
        <v>59.4</v>
      </c>
      <c r="W2375">
        <f t="shared" si="266"/>
        <v>2345.64</v>
      </c>
      <c r="X2375">
        <f t="shared" si="267"/>
        <v>1.23760551439419</v>
      </c>
      <c r="AH2375" t="str">
        <f t="shared" si="268"/>
        <v>3rd Quality</v>
      </c>
      <c r="AJ2375">
        <f>((T2375-X2375)*2)/19.6</f>
        <v>16.7409472831117</v>
      </c>
      <c r="AK2375">
        <f t="shared" si="272"/>
        <v>221996.407777778</v>
      </c>
    </row>
    <row r="2376" spans="1:37">
      <c r="A2376" t="s">
        <v>2442</v>
      </c>
      <c r="B2376">
        <v>34</v>
      </c>
      <c r="C2376" t="s">
        <v>50</v>
      </c>
      <c r="D2376" t="s">
        <v>60</v>
      </c>
      <c r="E2376">
        <v>984</v>
      </c>
      <c r="F2376">
        <v>139</v>
      </c>
      <c r="G2376">
        <v>15</v>
      </c>
      <c r="H2376">
        <v>1021.8</v>
      </c>
      <c r="I2376">
        <v>13774.27</v>
      </c>
      <c r="J2376">
        <v>132</v>
      </c>
      <c r="K2376">
        <v>1</v>
      </c>
      <c r="L2376">
        <v>23.7</v>
      </c>
      <c r="M2376">
        <v>12.4</v>
      </c>
      <c r="N2376" t="s">
        <v>57</v>
      </c>
      <c r="O2376" t="s">
        <v>75</v>
      </c>
      <c r="P2376" t="s">
        <v>58</v>
      </c>
      <c r="R2376">
        <f>SUMIF(A2376:A7375,"C02375",I2376:I7375)</f>
        <v>13774.27</v>
      </c>
      <c r="S2376" s="1">
        <v>42577.91</v>
      </c>
      <c r="T2376">
        <f t="shared" si="269"/>
        <v>104.35053030303</v>
      </c>
      <c r="U2376">
        <f t="shared" si="270"/>
        <v>1636.8</v>
      </c>
      <c r="V2376">
        <f>U2376</f>
        <v>1636.8</v>
      </c>
      <c r="W2376">
        <f t="shared" si="266"/>
        <v>4932.35666666667</v>
      </c>
      <c r="X2376">
        <f t="shared" si="267"/>
        <v>0.963006459189665</v>
      </c>
      <c r="AH2376" t="str">
        <f t="shared" si="268"/>
        <v>3rd Quality</v>
      </c>
      <c r="AJ2376">
        <f>((T2376-X2376)*2)/23.7</f>
        <v>8.72468555644222</v>
      </c>
      <c r="AK2376">
        <f t="shared" si="272"/>
        <v>102680.921818182</v>
      </c>
    </row>
    <row r="2377" spans="1:37">
      <c r="A2377" t="s">
        <v>2443</v>
      </c>
      <c r="B2377">
        <v>27</v>
      </c>
      <c r="C2377" t="s">
        <v>44</v>
      </c>
      <c r="D2377" t="s">
        <v>60</v>
      </c>
      <c r="E2377">
        <v>602</v>
      </c>
      <c r="F2377">
        <v>10</v>
      </c>
      <c r="G2377">
        <v>21</v>
      </c>
      <c r="H2377">
        <v>4761.31</v>
      </c>
      <c r="I2377">
        <v>97557.02</v>
      </c>
      <c r="J2377">
        <v>47</v>
      </c>
      <c r="K2377">
        <v>2</v>
      </c>
      <c r="L2377">
        <v>16.7</v>
      </c>
      <c r="M2377">
        <v>57.3</v>
      </c>
      <c r="N2377" t="s">
        <v>61</v>
      </c>
      <c r="O2377" t="s">
        <v>53</v>
      </c>
      <c r="P2377" t="s">
        <v>58</v>
      </c>
      <c r="R2377">
        <f>SUMIF(A2377:A7376,"C02376",I2377:I7376)</f>
        <v>97557.02</v>
      </c>
      <c r="S2377" s="1">
        <v>137838.12</v>
      </c>
      <c r="T2377">
        <f t="shared" si="269"/>
        <v>2075.68127659574</v>
      </c>
      <c r="U2377">
        <f t="shared" si="270"/>
        <v>2693.1</v>
      </c>
      <c r="V2377">
        <f>U2377</f>
        <v>2693.1</v>
      </c>
      <c r="W2377">
        <f t="shared" ref="W2377:W2440" si="273">(H2377+I2377+1)/3</f>
        <v>34106.4433333333</v>
      </c>
      <c r="X2377">
        <f t="shared" si="267"/>
        <v>0.1264357918304</v>
      </c>
      <c r="AH2377" t="str">
        <f t="shared" si="268"/>
        <v>2nd Quality</v>
      </c>
      <c r="AJ2377">
        <f>((T2377-X2377)*2)/16.7</f>
        <v>248.569442012444</v>
      </c>
      <c r="AK2377">
        <f t="shared" si="272"/>
        <v>1249560.12851064</v>
      </c>
    </row>
    <row r="2378" spans="1:37">
      <c r="A2378" t="s">
        <v>2444</v>
      </c>
      <c r="B2378">
        <v>26</v>
      </c>
      <c r="C2378" t="s">
        <v>50</v>
      </c>
      <c r="D2378" t="s">
        <v>60</v>
      </c>
      <c r="E2378">
        <v>373</v>
      </c>
      <c r="F2378">
        <v>319</v>
      </c>
      <c r="G2378">
        <v>2</v>
      </c>
      <c r="H2378">
        <v>1464.61</v>
      </c>
      <c r="I2378">
        <v>3233.68</v>
      </c>
      <c r="J2378">
        <v>20</v>
      </c>
      <c r="K2378">
        <v>0</v>
      </c>
      <c r="L2378">
        <v>17.8</v>
      </c>
      <c r="M2378">
        <v>15.9</v>
      </c>
      <c r="N2378" t="s">
        <v>63</v>
      </c>
      <c r="O2378" t="s">
        <v>75</v>
      </c>
      <c r="P2378" t="s">
        <v>66</v>
      </c>
      <c r="R2378">
        <f>SUMIF(A2378:A7377,"C02377",I2378:I7377)</f>
        <v>3233.68</v>
      </c>
      <c r="S2378" s="1">
        <v>1979.68</v>
      </c>
      <c r="T2378">
        <f t="shared" si="269"/>
        <v>161.684</v>
      </c>
      <c r="U2378">
        <f t="shared" si="270"/>
        <v>318</v>
      </c>
      <c r="V2378">
        <f t="shared" si="271"/>
        <v>26.5</v>
      </c>
      <c r="W2378">
        <f t="shared" si="273"/>
        <v>1566.43</v>
      </c>
      <c r="X2378">
        <f t="shared" si="267"/>
        <v>0.254675306054171</v>
      </c>
      <c r="AH2378" t="str">
        <f t="shared" si="268"/>
        <v>3rd Quality</v>
      </c>
      <c r="AJ2378">
        <f>((T2378-X2378)*2)/17.8</f>
        <v>18.1381263701063</v>
      </c>
      <c r="AK2378">
        <f t="shared" si="272"/>
        <v>60308.132</v>
      </c>
    </row>
    <row r="2379" spans="1:37">
      <c r="A2379" t="s">
        <v>2445</v>
      </c>
      <c r="B2379">
        <v>52</v>
      </c>
      <c r="C2379" t="s">
        <v>50</v>
      </c>
      <c r="D2379" t="s">
        <v>60</v>
      </c>
      <c r="E2379">
        <v>1361</v>
      </c>
      <c r="F2379">
        <v>24</v>
      </c>
      <c r="G2379">
        <v>2</v>
      </c>
      <c r="H2379">
        <v>19139.79</v>
      </c>
      <c r="I2379">
        <v>42577.91</v>
      </c>
      <c r="J2379">
        <v>34</v>
      </c>
      <c r="K2379">
        <v>0</v>
      </c>
      <c r="L2379">
        <v>8.9</v>
      </c>
      <c r="M2379">
        <v>9.3</v>
      </c>
      <c r="N2379" t="s">
        <v>63</v>
      </c>
      <c r="O2379" t="s">
        <v>75</v>
      </c>
      <c r="P2379" t="s">
        <v>58</v>
      </c>
      <c r="R2379">
        <f>SUMIF(A2379:A7378,"C02378",I2379:I7378)</f>
        <v>42577.91</v>
      </c>
      <c r="S2379" s="1">
        <v>2665.72</v>
      </c>
      <c r="T2379">
        <f t="shared" si="269"/>
        <v>1252.29147058824</v>
      </c>
      <c r="U2379">
        <f t="shared" si="270"/>
        <v>316.2</v>
      </c>
      <c r="V2379">
        <f t="shared" si="271"/>
        <v>26.35</v>
      </c>
      <c r="W2379">
        <f t="shared" si="273"/>
        <v>20572.9</v>
      </c>
      <c r="X2379">
        <f t="shared" si="267"/>
        <v>0.0711084081904765</v>
      </c>
      <c r="AH2379" t="str">
        <f t="shared" si="268"/>
        <v>3rd Quality</v>
      </c>
      <c r="AJ2379">
        <f>((T2379-X2379)*2)/8.9</f>
        <v>281.397834197764</v>
      </c>
      <c r="AK2379">
        <f t="shared" si="272"/>
        <v>1704368.69147059</v>
      </c>
    </row>
    <row r="2380" spans="1:37">
      <c r="A2380" t="s">
        <v>2446</v>
      </c>
      <c r="B2380">
        <v>45</v>
      </c>
      <c r="C2380" t="s">
        <v>44</v>
      </c>
      <c r="D2380" t="s">
        <v>60</v>
      </c>
      <c r="E2380">
        <v>1076</v>
      </c>
      <c r="F2380">
        <v>22</v>
      </c>
      <c r="G2380">
        <v>34</v>
      </c>
      <c r="H2380">
        <v>4060.37</v>
      </c>
      <c r="I2380">
        <v>137838.12</v>
      </c>
      <c r="J2380">
        <v>110</v>
      </c>
      <c r="K2380">
        <v>2</v>
      </c>
      <c r="L2380">
        <v>17.8</v>
      </c>
      <c r="M2380">
        <v>70.1</v>
      </c>
      <c r="N2380" t="s">
        <v>63</v>
      </c>
      <c r="O2380" t="s">
        <v>47</v>
      </c>
      <c r="P2380" t="s">
        <v>58</v>
      </c>
      <c r="R2380">
        <f>SUMIF(A2380:A7379,"C02379",I2380:I7379)</f>
        <v>137838.12</v>
      </c>
      <c r="S2380" s="1">
        <v>3731.18</v>
      </c>
      <c r="T2380">
        <f t="shared" si="269"/>
        <v>1253.07381818182</v>
      </c>
      <c r="U2380">
        <f t="shared" si="270"/>
        <v>7711</v>
      </c>
      <c r="V2380">
        <f>U2380</f>
        <v>7711</v>
      </c>
      <c r="W2380">
        <f t="shared" si="273"/>
        <v>47299.83</v>
      </c>
      <c r="X2380">
        <f t="shared" ref="X2380:X2443" si="274">E2380/H2380</f>
        <v>0.2650004802518</v>
      </c>
      <c r="AH2380" t="str">
        <f t="shared" si="268"/>
        <v>3rd Quality</v>
      </c>
      <c r="AJ2380">
        <f>((T2380-X2380)*2)/17.8</f>
        <v>140.765035696805</v>
      </c>
      <c r="AK2380">
        <f t="shared" si="272"/>
        <v>1348307.42836364</v>
      </c>
    </row>
    <row r="2381" spans="1:37">
      <c r="A2381" t="s">
        <v>2447</v>
      </c>
      <c r="B2381">
        <v>36</v>
      </c>
      <c r="C2381" t="s">
        <v>44</v>
      </c>
      <c r="D2381" t="s">
        <v>60</v>
      </c>
      <c r="E2381">
        <v>1335</v>
      </c>
      <c r="F2381">
        <v>7</v>
      </c>
      <c r="G2381">
        <v>3</v>
      </c>
      <c r="H2381">
        <v>622.27</v>
      </c>
      <c r="I2381">
        <v>1979.68</v>
      </c>
      <c r="J2381">
        <v>23</v>
      </c>
      <c r="K2381">
        <v>0</v>
      </c>
      <c r="L2381">
        <v>37.3</v>
      </c>
      <c r="M2381">
        <v>31.4</v>
      </c>
      <c r="N2381" t="s">
        <v>57</v>
      </c>
      <c r="O2381" t="s">
        <v>75</v>
      </c>
      <c r="P2381" t="s">
        <v>54</v>
      </c>
      <c r="R2381">
        <f>SUMIF(A2381:A7380,"C02380",I2381:I7380)</f>
        <v>1979.68</v>
      </c>
      <c r="S2381" s="1">
        <v>147472</v>
      </c>
      <c r="T2381">
        <f t="shared" si="269"/>
        <v>86.0730434782609</v>
      </c>
      <c r="U2381">
        <f t="shared" si="270"/>
        <v>722.2</v>
      </c>
      <c r="V2381">
        <f t="shared" si="271"/>
        <v>60.1833333333333</v>
      </c>
      <c r="W2381">
        <f t="shared" si="273"/>
        <v>867.65</v>
      </c>
      <c r="X2381">
        <f t="shared" si="274"/>
        <v>2.14537098044257</v>
      </c>
      <c r="AH2381" t="str">
        <f t="shared" si="268"/>
        <v>3rd Quality</v>
      </c>
      <c r="AJ2381">
        <f>((T2381-X2381)*2)/37.3</f>
        <v>4.50014329747015</v>
      </c>
      <c r="AK2381">
        <f t="shared" si="272"/>
        <v>114907.513043478</v>
      </c>
    </row>
    <row r="2382" spans="1:37">
      <c r="A2382" t="s">
        <v>2448</v>
      </c>
      <c r="B2382">
        <v>50</v>
      </c>
      <c r="C2382" t="s">
        <v>50</v>
      </c>
      <c r="D2382" t="s">
        <v>60</v>
      </c>
      <c r="E2382">
        <v>1235</v>
      </c>
      <c r="F2382">
        <v>271</v>
      </c>
      <c r="G2382">
        <v>2</v>
      </c>
      <c r="H2382">
        <v>1320.74</v>
      </c>
      <c r="I2382">
        <v>2665.72</v>
      </c>
      <c r="J2382">
        <v>27</v>
      </c>
      <c r="K2382">
        <v>0</v>
      </c>
      <c r="L2382">
        <v>12.3</v>
      </c>
      <c r="M2382">
        <v>21.2</v>
      </c>
      <c r="N2382" t="s">
        <v>46</v>
      </c>
      <c r="O2382" t="s">
        <v>47</v>
      </c>
      <c r="P2382" t="s">
        <v>54</v>
      </c>
      <c r="R2382">
        <f>SUMIF(A2382:A7381,"C02381",I2382:I7381)</f>
        <v>2665.72</v>
      </c>
      <c r="S2382" s="1">
        <v>79791.77</v>
      </c>
      <c r="T2382">
        <f t="shared" si="269"/>
        <v>98.7303703703704</v>
      </c>
      <c r="U2382">
        <f t="shared" si="270"/>
        <v>572.4</v>
      </c>
      <c r="V2382">
        <f t="shared" si="271"/>
        <v>47.7</v>
      </c>
      <c r="W2382">
        <f t="shared" si="273"/>
        <v>1329.15333333333</v>
      </c>
      <c r="X2382">
        <f t="shared" si="274"/>
        <v>0.935081848054878</v>
      </c>
      <c r="AH2382" t="str">
        <f t="shared" ref="AH2382:AH2445" si="275">IF(AND(W2382&gt;=12550,B2382&lt;=33,E2382&gt;=915),"1st Quality",IF(AND(W2382&gt;=6275,B2382&lt;=43,E2382&gt;=457),"2nd Quality","3rd Quality"))</f>
        <v>3rd Quality</v>
      </c>
      <c r="AJ2382">
        <f>((T2382-X2382)*2)/12.3</f>
        <v>15.9016729304578</v>
      </c>
      <c r="AK2382">
        <f t="shared" si="272"/>
        <v>121932.007407407</v>
      </c>
    </row>
    <row r="2383" spans="1:37">
      <c r="A2383" t="s">
        <v>2449</v>
      </c>
      <c r="B2383">
        <v>46</v>
      </c>
      <c r="C2383" t="s">
        <v>44</v>
      </c>
      <c r="D2383" t="s">
        <v>51</v>
      </c>
      <c r="E2383">
        <v>766</v>
      </c>
      <c r="F2383">
        <v>37</v>
      </c>
      <c r="G2383">
        <v>4</v>
      </c>
      <c r="H2383">
        <v>1028.18</v>
      </c>
      <c r="I2383">
        <v>3731.18</v>
      </c>
      <c r="J2383">
        <v>34</v>
      </c>
      <c r="K2383">
        <v>0</v>
      </c>
      <c r="L2383">
        <v>27.6</v>
      </c>
      <c r="M2383">
        <v>17</v>
      </c>
      <c r="N2383" t="s">
        <v>52</v>
      </c>
      <c r="O2383" t="s">
        <v>53</v>
      </c>
      <c r="P2383" t="s">
        <v>58</v>
      </c>
      <c r="R2383">
        <f>SUMIF(A2383:A7382,"C02382",I2383:I7382)</f>
        <v>3731.18</v>
      </c>
      <c r="S2383" s="1">
        <v>106083.41</v>
      </c>
      <c r="T2383">
        <f t="shared" si="269"/>
        <v>109.740588235294</v>
      </c>
      <c r="U2383">
        <f t="shared" si="270"/>
        <v>578</v>
      </c>
      <c r="V2383">
        <f t="shared" si="271"/>
        <v>48.1666666666667</v>
      </c>
      <c r="W2383">
        <f t="shared" si="273"/>
        <v>1586.78666666667</v>
      </c>
      <c r="X2383">
        <f t="shared" si="274"/>
        <v>0.745005738294851</v>
      </c>
      <c r="AH2383" t="str">
        <f t="shared" si="275"/>
        <v>3rd Quality</v>
      </c>
      <c r="AJ2383">
        <f>((T2383-X2383)*2)/27.6</f>
        <v>7.89823061572458</v>
      </c>
      <c r="AK2383">
        <f t="shared" si="272"/>
        <v>84061.2905882353</v>
      </c>
    </row>
    <row r="2384" spans="1:37">
      <c r="A2384" t="s">
        <v>2450</v>
      </c>
      <c r="B2384">
        <v>28</v>
      </c>
      <c r="C2384" t="s">
        <v>44</v>
      </c>
      <c r="D2384" t="s">
        <v>45</v>
      </c>
      <c r="E2384">
        <v>553</v>
      </c>
      <c r="F2384">
        <v>5</v>
      </c>
      <c r="G2384">
        <v>21</v>
      </c>
      <c r="H2384">
        <v>6773.53</v>
      </c>
      <c r="I2384">
        <v>147472</v>
      </c>
      <c r="J2384">
        <v>68</v>
      </c>
      <c r="K2384">
        <v>2</v>
      </c>
      <c r="L2384">
        <v>14.5</v>
      </c>
      <c r="M2384">
        <v>37.6</v>
      </c>
      <c r="N2384" t="s">
        <v>52</v>
      </c>
      <c r="O2384" t="s">
        <v>47</v>
      </c>
      <c r="P2384" t="s">
        <v>58</v>
      </c>
      <c r="R2384">
        <f>SUMIF(A2384:A7383,"C02383",I2384:I7383)</f>
        <v>147472</v>
      </c>
      <c r="S2384" s="1">
        <v>2419.45</v>
      </c>
      <c r="T2384">
        <f t="shared" si="269"/>
        <v>2168.70588235294</v>
      </c>
      <c r="U2384">
        <f t="shared" si="270"/>
        <v>2556.8</v>
      </c>
      <c r="V2384">
        <f>U2384</f>
        <v>2556.8</v>
      </c>
      <c r="W2384">
        <f t="shared" si="273"/>
        <v>51415.51</v>
      </c>
      <c r="X2384">
        <f t="shared" si="274"/>
        <v>0.08164133029602</v>
      </c>
      <c r="AH2384" t="str">
        <f t="shared" si="275"/>
        <v>2nd Quality</v>
      </c>
      <c r="AJ2384">
        <f>((T2384-X2384)*2)/14.5</f>
        <v>299.120584968641</v>
      </c>
      <c r="AK2384">
        <f t="shared" si="272"/>
        <v>1199294.35294118</v>
      </c>
    </row>
    <row r="2385" spans="1:37">
      <c r="A2385" t="s">
        <v>2451</v>
      </c>
      <c r="B2385">
        <v>18</v>
      </c>
      <c r="C2385" t="s">
        <v>50</v>
      </c>
      <c r="D2385" t="s">
        <v>45</v>
      </c>
      <c r="E2385">
        <v>1257</v>
      </c>
      <c r="F2385">
        <v>26</v>
      </c>
      <c r="G2385">
        <v>25</v>
      </c>
      <c r="H2385">
        <v>3487.22</v>
      </c>
      <c r="I2385">
        <v>79791.77</v>
      </c>
      <c r="J2385">
        <v>160</v>
      </c>
      <c r="K2385">
        <v>2</v>
      </c>
      <c r="L2385">
        <v>7.2</v>
      </c>
      <c r="M2385">
        <v>35.4</v>
      </c>
      <c r="N2385" t="s">
        <v>57</v>
      </c>
      <c r="O2385" t="s">
        <v>47</v>
      </c>
      <c r="P2385" t="s">
        <v>58</v>
      </c>
      <c r="R2385">
        <f>SUMIF(A2385:A7384,"C02384",I2385:I7384)</f>
        <v>79791.77</v>
      </c>
      <c r="S2385" s="1">
        <v>1773.91</v>
      </c>
      <c r="T2385">
        <f t="shared" si="269"/>
        <v>498.6985625</v>
      </c>
      <c r="U2385">
        <f t="shared" si="270"/>
        <v>5664</v>
      </c>
      <c r="V2385">
        <f>U2385</f>
        <v>5664</v>
      </c>
      <c r="W2385">
        <f t="shared" si="273"/>
        <v>27759.9966666667</v>
      </c>
      <c r="X2385">
        <f t="shared" si="274"/>
        <v>0.360459047608123</v>
      </c>
      <c r="AH2385" t="str">
        <f t="shared" si="275"/>
        <v>1st Quality</v>
      </c>
      <c r="AJ2385">
        <f>((T2385-X2385)*2)/7.2</f>
        <v>138.427250958998</v>
      </c>
      <c r="AK2385">
        <f t="shared" si="272"/>
        <v>626864.0930625</v>
      </c>
    </row>
    <row r="2386" spans="1:37">
      <c r="A2386" t="s">
        <v>2452</v>
      </c>
      <c r="B2386">
        <v>18</v>
      </c>
      <c r="C2386" t="s">
        <v>44</v>
      </c>
      <c r="D2386" t="s">
        <v>51</v>
      </c>
      <c r="E2386">
        <v>1303</v>
      </c>
      <c r="F2386">
        <v>14</v>
      </c>
      <c r="G2386">
        <v>26</v>
      </c>
      <c r="H2386">
        <v>3932.7</v>
      </c>
      <c r="I2386">
        <v>106083.41</v>
      </c>
      <c r="J2386">
        <v>136</v>
      </c>
      <c r="K2386">
        <v>1</v>
      </c>
      <c r="L2386">
        <v>5.8</v>
      </c>
      <c r="M2386">
        <v>49.5</v>
      </c>
      <c r="N2386" t="s">
        <v>63</v>
      </c>
      <c r="O2386" t="s">
        <v>53</v>
      </c>
      <c r="P2386" t="s">
        <v>68</v>
      </c>
      <c r="R2386">
        <f>SUMIF(A2386:A7385,"C02385",I2386:I7385)</f>
        <v>106083.41</v>
      </c>
      <c r="S2386" s="1">
        <v>55014</v>
      </c>
      <c r="T2386">
        <f t="shared" si="269"/>
        <v>780.025073529412</v>
      </c>
      <c r="U2386">
        <f t="shared" si="270"/>
        <v>6732</v>
      </c>
      <c r="V2386">
        <f>U2386</f>
        <v>6732</v>
      </c>
      <c r="W2386">
        <f t="shared" si="273"/>
        <v>36672.37</v>
      </c>
      <c r="X2386">
        <f t="shared" si="274"/>
        <v>0.331324535306532</v>
      </c>
      <c r="AH2386" t="str">
        <f t="shared" si="275"/>
        <v>1st Quality</v>
      </c>
      <c r="AJ2386">
        <f>((T2386-X2386)*2)/5.8</f>
        <v>268.859913446243</v>
      </c>
      <c r="AK2386">
        <f t="shared" si="272"/>
        <v>1016372.67080882</v>
      </c>
    </row>
    <row r="2387" spans="1:37">
      <c r="A2387" t="s">
        <v>2453</v>
      </c>
      <c r="B2387">
        <v>21</v>
      </c>
      <c r="C2387" t="s">
        <v>50</v>
      </c>
      <c r="D2387" t="s">
        <v>45</v>
      </c>
      <c r="E2387">
        <v>932</v>
      </c>
      <c r="F2387">
        <v>86</v>
      </c>
      <c r="G2387">
        <v>3</v>
      </c>
      <c r="H2387">
        <v>860.06</v>
      </c>
      <c r="I2387">
        <v>2419.45</v>
      </c>
      <c r="J2387">
        <v>26</v>
      </c>
      <c r="K2387">
        <v>0</v>
      </c>
      <c r="L2387">
        <v>21.1</v>
      </c>
      <c r="M2387">
        <v>19.3</v>
      </c>
      <c r="N2387" t="s">
        <v>46</v>
      </c>
      <c r="O2387" t="s">
        <v>47</v>
      </c>
      <c r="P2387" t="s">
        <v>58</v>
      </c>
      <c r="R2387">
        <f>SUMIF(A2387:A7386,"C02386",I2387:I7386)</f>
        <v>2419.45</v>
      </c>
      <c r="S2387" s="1">
        <v>592.87</v>
      </c>
      <c r="T2387">
        <f t="shared" si="269"/>
        <v>93.0557692307692</v>
      </c>
      <c r="U2387">
        <f t="shared" si="270"/>
        <v>501.8</v>
      </c>
      <c r="V2387">
        <f t="shared" si="271"/>
        <v>41.8166666666667</v>
      </c>
      <c r="W2387">
        <f t="shared" si="273"/>
        <v>1093.50333333333</v>
      </c>
      <c r="X2387">
        <f t="shared" si="274"/>
        <v>1.0836453270702</v>
      </c>
      <c r="AH2387" t="str">
        <f t="shared" si="275"/>
        <v>3rd Quality</v>
      </c>
      <c r="AJ2387">
        <f>((T2387-X2387)*2)/21.1</f>
        <v>8.71773686290986</v>
      </c>
      <c r="AK2387">
        <f t="shared" si="272"/>
        <v>86727.9769230769</v>
      </c>
    </row>
    <row r="2388" spans="1:37">
      <c r="A2388" t="s">
        <v>2454</v>
      </c>
      <c r="B2388">
        <v>50</v>
      </c>
      <c r="C2388" t="s">
        <v>50</v>
      </c>
      <c r="D2388" t="s">
        <v>45</v>
      </c>
      <c r="E2388">
        <v>640</v>
      </c>
      <c r="F2388">
        <v>51</v>
      </c>
      <c r="G2388">
        <v>1</v>
      </c>
      <c r="H2388">
        <v>1880.74</v>
      </c>
      <c r="I2388">
        <v>1773.91</v>
      </c>
      <c r="J2388">
        <v>12</v>
      </c>
      <c r="K2388">
        <v>0</v>
      </c>
      <c r="L2388">
        <v>3.4</v>
      </c>
      <c r="M2388">
        <v>33.2</v>
      </c>
      <c r="N2388" t="s">
        <v>81</v>
      </c>
      <c r="O2388" t="s">
        <v>47</v>
      </c>
      <c r="P2388" t="s">
        <v>58</v>
      </c>
      <c r="R2388">
        <f>SUMIF(A2388:A7387,"C02387",I2388:I7387)</f>
        <v>1773.91</v>
      </c>
      <c r="S2388" s="1">
        <v>129672.05</v>
      </c>
      <c r="T2388">
        <f t="shared" si="269"/>
        <v>147.825833333333</v>
      </c>
      <c r="U2388">
        <f t="shared" si="270"/>
        <v>398.4</v>
      </c>
      <c r="V2388">
        <f t="shared" si="271"/>
        <v>33.2</v>
      </c>
      <c r="W2388">
        <f t="shared" si="273"/>
        <v>1218.55</v>
      </c>
      <c r="X2388">
        <f t="shared" si="274"/>
        <v>0.340291587353914</v>
      </c>
      <c r="AH2388" t="str">
        <f t="shared" si="275"/>
        <v>3rd Quality</v>
      </c>
      <c r="AJ2388">
        <f>((T2388-X2388)*2)/3.4</f>
        <v>86.7562010270465</v>
      </c>
      <c r="AK2388">
        <f t="shared" si="272"/>
        <v>94608.5333333333</v>
      </c>
    </row>
    <row r="2389" spans="1:37">
      <c r="A2389" t="s">
        <v>2455</v>
      </c>
      <c r="B2389">
        <v>31</v>
      </c>
      <c r="C2389" t="s">
        <v>50</v>
      </c>
      <c r="D2389" t="s">
        <v>60</v>
      </c>
      <c r="E2389">
        <v>1254</v>
      </c>
      <c r="F2389">
        <v>9</v>
      </c>
      <c r="G2389">
        <v>18</v>
      </c>
      <c r="H2389">
        <v>2933.19</v>
      </c>
      <c r="I2389">
        <v>55014</v>
      </c>
      <c r="J2389">
        <v>153</v>
      </c>
      <c r="K2389">
        <v>0</v>
      </c>
      <c r="L2389">
        <v>14.9</v>
      </c>
      <c r="M2389">
        <v>12.2</v>
      </c>
      <c r="N2389" t="s">
        <v>57</v>
      </c>
      <c r="O2389" t="s">
        <v>47</v>
      </c>
      <c r="P2389" t="s">
        <v>68</v>
      </c>
      <c r="R2389">
        <f>SUMIF(A2389:A7388,"C02388",I2389:I7388)</f>
        <v>55014</v>
      </c>
      <c r="S2389" s="1">
        <v>73149.8</v>
      </c>
      <c r="T2389">
        <f t="shared" si="269"/>
        <v>359.56862745098</v>
      </c>
      <c r="U2389">
        <f t="shared" si="270"/>
        <v>1866.6</v>
      </c>
      <c r="V2389">
        <f t="shared" si="271"/>
        <v>155.55</v>
      </c>
      <c r="W2389">
        <f t="shared" si="273"/>
        <v>19316.0633333333</v>
      </c>
      <c r="X2389">
        <f t="shared" si="274"/>
        <v>0.427520890225318</v>
      </c>
      <c r="AH2389" t="str">
        <f t="shared" si="275"/>
        <v>1st Quality</v>
      </c>
      <c r="AJ2389">
        <f>((T2389-X2389)*2)/14.9</f>
        <v>48.2068599410409</v>
      </c>
      <c r="AK2389">
        <f t="shared" si="272"/>
        <v>450899.058823529</v>
      </c>
    </row>
    <row r="2390" spans="1:37">
      <c r="A2390" t="s">
        <v>2456</v>
      </c>
      <c r="B2390">
        <v>42</v>
      </c>
      <c r="C2390" t="s">
        <v>44</v>
      </c>
      <c r="D2390" t="s">
        <v>45</v>
      </c>
      <c r="E2390">
        <v>1285</v>
      </c>
      <c r="F2390">
        <v>107</v>
      </c>
      <c r="G2390">
        <v>1</v>
      </c>
      <c r="H2390">
        <v>597.9</v>
      </c>
      <c r="I2390">
        <v>592.87</v>
      </c>
      <c r="J2390">
        <v>10</v>
      </c>
      <c r="K2390">
        <v>1</v>
      </c>
      <c r="L2390">
        <v>34.4</v>
      </c>
      <c r="M2390">
        <v>28.5</v>
      </c>
      <c r="N2390" t="s">
        <v>61</v>
      </c>
      <c r="O2390" t="s">
        <v>47</v>
      </c>
      <c r="P2390" t="s">
        <v>58</v>
      </c>
      <c r="R2390">
        <f>SUMIF(A2390:A7389,"C02389",I2390:I7389)</f>
        <v>592.87</v>
      </c>
      <c r="S2390" s="1">
        <v>3598.42</v>
      </c>
      <c r="T2390">
        <f t="shared" ref="T2390:T2453" si="276">I2390/J2390</f>
        <v>59.287</v>
      </c>
      <c r="U2390">
        <f t="shared" si="270"/>
        <v>285</v>
      </c>
      <c r="V2390">
        <f>U2390</f>
        <v>285</v>
      </c>
      <c r="W2390">
        <f t="shared" si="273"/>
        <v>397.256666666667</v>
      </c>
      <c r="X2390">
        <f t="shared" si="274"/>
        <v>2.14918882756314</v>
      </c>
      <c r="AH2390" t="str">
        <f t="shared" si="275"/>
        <v>3rd Quality</v>
      </c>
      <c r="AJ2390">
        <f>((T2390-X2390)*2)/34.4</f>
        <v>3.32196576583935</v>
      </c>
      <c r="AK2390">
        <f t="shared" si="272"/>
        <v>76183.795</v>
      </c>
    </row>
    <row r="2391" spans="1:37">
      <c r="A2391" t="s">
        <v>2457</v>
      </c>
      <c r="B2391">
        <v>38</v>
      </c>
      <c r="C2391" t="s">
        <v>44</v>
      </c>
      <c r="D2391" t="s">
        <v>60</v>
      </c>
      <c r="E2391">
        <v>1186</v>
      </c>
      <c r="F2391">
        <v>12</v>
      </c>
      <c r="G2391">
        <v>33</v>
      </c>
      <c r="H2391">
        <v>3640.89</v>
      </c>
      <c r="I2391">
        <v>129672.05</v>
      </c>
      <c r="J2391">
        <v>205</v>
      </c>
      <c r="K2391">
        <v>1</v>
      </c>
      <c r="L2391">
        <v>8.3</v>
      </c>
      <c r="M2391">
        <v>42.2</v>
      </c>
      <c r="N2391" t="s">
        <v>52</v>
      </c>
      <c r="O2391" t="s">
        <v>47</v>
      </c>
      <c r="P2391" t="s">
        <v>68</v>
      </c>
      <c r="R2391">
        <f>SUMIF(A2391:A7390,"C02390",I2391:I7390)</f>
        <v>129672.05</v>
      </c>
      <c r="S2391" s="1">
        <v>28439.25</v>
      </c>
      <c r="T2391">
        <f t="shared" si="276"/>
        <v>632.546585365854</v>
      </c>
      <c r="U2391">
        <f t="shared" si="270"/>
        <v>8651</v>
      </c>
      <c r="V2391">
        <f>U2391</f>
        <v>8651</v>
      </c>
      <c r="W2391">
        <f t="shared" si="273"/>
        <v>44437.98</v>
      </c>
      <c r="X2391">
        <f t="shared" si="274"/>
        <v>0.325744529496909</v>
      </c>
      <c r="AH2391" t="str">
        <f t="shared" si="275"/>
        <v>2nd Quality</v>
      </c>
      <c r="AJ2391">
        <f>((T2391-X2391)*2)/8.3</f>
        <v>152.342371285869</v>
      </c>
      <c r="AK2391">
        <f t="shared" si="272"/>
        <v>750200.250243902</v>
      </c>
    </row>
    <row r="2392" spans="1:37">
      <c r="A2392" t="s">
        <v>2458</v>
      </c>
      <c r="B2392">
        <v>32</v>
      </c>
      <c r="C2392" t="s">
        <v>44</v>
      </c>
      <c r="D2392" t="s">
        <v>60</v>
      </c>
      <c r="E2392">
        <v>944</v>
      </c>
      <c r="F2392">
        <v>15</v>
      </c>
      <c r="G2392">
        <v>5</v>
      </c>
      <c r="H2392">
        <v>14023.23</v>
      </c>
      <c r="I2392">
        <v>73149.8</v>
      </c>
      <c r="J2392">
        <v>34</v>
      </c>
      <c r="K2392">
        <v>0</v>
      </c>
      <c r="L2392">
        <v>11</v>
      </c>
      <c r="M2392">
        <v>52.3</v>
      </c>
      <c r="N2392" t="s">
        <v>52</v>
      </c>
      <c r="O2392" t="s">
        <v>75</v>
      </c>
      <c r="P2392" t="s">
        <v>58</v>
      </c>
      <c r="R2392">
        <f>SUMIF(A2392:A7391,"C02391",I2392:I7391)</f>
        <v>73149.8</v>
      </c>
      <c r="S2392" s="1">
        <v>93628.19</v>
      </c>
      <c r="T2392">
        <f t="shared" si="276"/>
        <v>2151.46470588235</v>
      </c>
      <c r="U2392">
        <f t="shared" si="270"/>
        <v>1778.2</v>
      </c>
      <c r="V2392">
        <f t="shared" si="271"/>
        <v>148.183333333333</v>
      </c>
      <c r="W2392">
        <f t="shared" si="273"/>
        <v>29058.01</v>
      </c>
      <c r="X2392">
        <f t="shared" si="274"/>
        <v>0.0673168735020391</v>
      </c>
      <c r="AH2392" t="str">
        <f t="shared" si="275"/>
        <v>1st Quality</v>
      </c>
      <c r="AJ2392">
        <f>((T2392-X2392)*2)/11</f>
        <v>391.163161637972</v>
      </c>
      <c r="AK2392">
        <f t="shared" si="272"/>
        <v>2030982.68235294</v>
      </c>
    </row>
    <row r="2393" spans="1:37">
      <c r="A2393" t="s">
        <v>2459</v>
      </c>
      <c r="B2393">
        <v>27</v>
      </c>
      <c r="C2393" t="s">
        <v>44</v>
      </c>
      <c r="D2393" t="s">
        <v>60</v>
      </c>
      <c r="E2393">
        <v>1419</v>
      </c>
      <c r="F2393">
        <v>48</v>
      </c>
      <c r="G2393">
        <v>7</v>
      </c>
      <c r="H2393">
        <v>540.66</v>
      </c>
      <c r="I2393">
        <v>3598.42</v>
      </c>
      <c r="J2393">
        <v>44</v>
      </c>
      <c r="K2393">
        <v>1</v>
      </c>
      <c r="L2393">
        <v>36.2</v>
      </c>
      <c r="M2393">
        <v>18.2</v>
      </c>
      <c r="N2393" t="s">
        <v>63</v>
      </c>
      <c r="O2393" t="s">
        <v>47</v>
      </c>
      <c r="P2393" t="s">
        <v>58</v>
      </c>
      <c r="R2393">
        <f>SUMIF(A2393:A7392,"C02392",I2393:I7392)</f>
        <v>3598.42</v>
      </c>
      <c r="S2393" s="1">
        <v>8500.24</v>
      </c>
      <c r="T2393">
        <f t="shared" si="276"/>
        <v>81.7822727272727</v>
      </c>
      <c r="U2393">
        <f t="shared" si="270"/>
        <v>800.8</v>
      </c>
      <c r="V2393">
        <f>U2393</f>
        <v>800.8</v>
      </c>
      <c r="W2393">
        <f t="shared" si="273"/>
        <v>1380.02666666667</v>
      </c>
      <c r="X2393">
        <f t="shared" si="274"/>
        <v>2.62456997003662</v>
      </c>
      <c r="AH2393" t="str">
        <f t="shared" si="275"/>
        <v>3rd Quality</v>
      </c>
      <c r="AJ2393">
        <f>((T2393-X2393)*2)/36.2</f>
        <v>4.37335374349371</v>
      </c>
      <c r="AK2393">
        <f t="shared" si="272"/>
        <v>116049.045</v>
      </c>
    </row>
    <row r="2394" spans="1:37">
      <c r="A2394" t="s">
        <v>2460</v>
      </c>
      <c r="B2394">
        <v>38</v>
      </c>
      <c r="C2394" t="s">
        <v>44</v>
      </c>
      <c r="D2394" t="s">
        <v>45</v>
      </c>
      <c r="E2394">
        <v>1401</v>
      </c>
      <c r="F2394">
        <v>11</v>
      </c>
      <c r="G2394">
        <v>11</v>
      </c>
      <c r="H2394">
        <v>2424.16</v>
      </c>
      <c r="I2394">
        <v>28439.25</v>
      </c>
      <c r="J2394">
        <v>95</v>
      </c>
      <c r="K2394">
        <v>0</v>
      </c>
      <c r="L2394">
        <v>9.4</v>
      </c>
      <c r="M2394">
        <v>53.3</v>
      </c>
      <c r="N2394" t="s">
        <v>61</v>
      </c>
      <c r="O2394" t="s">
        <v>75</v>
      </c>
      <c r="P2394" t="s">
        <v>58</v>
      </c>
      <c r="R2394">
        <f>SUMIF(A2394:A7393,"C02393",I2394:I7393)</f>
        <v>28439.25</v>
      </c>
      <c r="S2394" s="1">
        <v>2781.72</v>
      </c>
      <c r="T2394">
        <f t="shared" si="276"/>
        <v>299.360526315789</v>
      </c>
      <c r="U2394">
        <f t="shared" si="270"/>
        <v>5063.5</v>
      </c>
      <c r="V2394">
        <f t="shared" si="271"/>
        <v>421.958333333333</v>
      </c>
      <c r="W2394">
        <f t="shared" si="273"/>
        <v>10288.1366666667</v>
      </c>
      <c r="X2394">
        <f t="shared" si="274"/>
        <v>0.57793214969309</v>
      </c>
      <c r="AH2394" t="str">
        <f t="shared" si="275"/>
        <v>2nd Quality</v>
      </c>
      <c r="AJ2394">
        <f>((T2394-X2394)*2)/9.4</f>
        <v>63.5707647161906</v>
      </c>
      <c r="AK2394">
        <f t="shared" si="272"/>
        <v>419404.097368421</v>
      </c>
    </row>
    <row r="2395" spans="1:37">
      <c r="A2395" t="s">
        <v>2461</v>
      </c>
      <c r="B2395">
        <v>55</v>
      </c>
      <c r="C2395" t="s">
        <v>44</v>
      </c>
      <c r="D2395" t="s">
        <v>51</v>
      </c>
      <c r="E2395">
        <v>611</v>
      </c>
      <c r="F2395">
        <v>5</v>
      </c>
      <c r="G2395">
        <v>26</v>
      </c>
      <c r="H2395">
        <v>4021.21</v>
      </c>
      <c r="I2395">
        <v>93628.19</v>
      </c>
      <c r="J2395">
        <v>142</v>
      </c>
      <c r="K2395">
        <v>4</v>
      </c>
      <c r="L2395">
        <v>10.7</v>
      </c>
      <c r="M2395">
        <v>9</v>
      </c>
      <c r="N2395" t="s">
        <v>57</v>
      </c>
      <c r="O2395" t="s">
        <v>75</v>
      </c>
      <c r="P2395" t="s">
        <v>54</v>
      </c>
      <c r="R2395">
        <f>SUMIF(A2395:A7394,"C02394",I2395:I7394)</f>
        <v>93628.19</v>
      </c>
      <c r="S2395" s="1">
        <v>31334.99</v>
      </c>
      <c r="T2395">
        <f t="shared" si="276"/>
        <v>659.353450704225</v>
      </c>
      <c r="U2395">
        <f t="shared" si="270"/>
        <v>1278</v>
      </c>
      <c r="V2395">
        <f>U2395</f>
        <v>1278</v>
      </c>
      <c r="W2395">
        <f t="shared" si="273"/>
        <v>32550.1333333333</v>
      </c>
      <c r="X2395">
        <f t="shared" si="274"/>
        <v>0.15194431526829</v>
      </c>
      <c r="AH2395" t="str">
        <f t="shared" si="275"/>
        <v>3rd Quality</v>
      </c>
      <c r="AJ2395">
        <f>((T2395-X2395)*2)/10.7</f>
        <v>123.215234839057</v>
      </c>
      <c r="AK2395">
        <f t="shared" si="272"/>
        <v>402864.958380282</v>
      </c>
    </row>
    <row r="2396" spans="1:37">
      <c r="A2396" t="s">
        <v>2462</v>
      </c>
      <c r="B2396">
        <v>37</v>
      </c>
      <c r="C2396" t="s">
        <v>44</v>
      </c>
      <c r="D2396" t="s">
        <v>45</v>
      </c>
      <c r="E2396">
        <v>711</v>
      </c>
      <c r="F2396">
        <v>49</v>
      </c>
      <c r="G2396">
        <v>1</v>
      </c>
      <c r="H2396">
        <v>8046.74</v>
      </c>
      <c r="I2396">
        <v>8500.24</v>
      </c>
      <c r="J2396">
        <v>17</v>
      </c>
      <c r="K2396">
        <v>0</v>
      </c>
      <c r="L2396">
        <v>4.3</v>
      </c>
      <c r="M2396">
        <v>44.2</v>
      </c>
      <c r="N2396" t="s">
        <v>78</v>
      </c>
      <c r="O2396" t="s">
        <v>47</v>
      </c>
      <c r="P2396" t="s">
        <v>68</v>
      </c>
      <c r="R2396">
        <f>SUMIF(A2396:A7395,"C02395",I2396:I7395)</f>
        <v>8500.24</v>
      </c>
      <c r="S2396" s="1">
        <v>96525.95</v>
      </c>
      <c r="T2396">
        <f t="shared" si="276"/>
        <v>500.014117647059</v>
      </c>
      <c r="U2396">
        <f t="shared" si="270"/>
        <v>751.4</v>
      </c>
      <c r="V2396">
        <f t="shared" si="271"/>
        <v>62.6166666666667</v>
      </c>
      <c r="W2396">
        <f t="shared" si="273"/>
        <v>5515.99333333333</v>
      </c>
      <c r="X2396">
        <f t="shared" si="274"/>
        <v>0.088358763921787</v>
      </c>
      <c r="AH2396" t="str">
        <f t="shared" si="275"/>
        <v>3rd Quality</v>
      </c>
      <c r="AJ2396">
        <f>((T2396-X2396)*2)/4.3</f>
        <v>232.523608782855</v>
      </c>
      <c r="AK2396">
        <f t="shared" si="272"/>
        <v>355510.037647059</v>
      </c>
    </row>
    <row r="2397" spans="1:37">
      <c r="A2397" t="s">
        <v>2463</v>
      </c>
      <c r="B2397">
        <v>18</v>
      </c>
      <c r="C2397" t="s">
        <v>56</v>
      </c>
      <c r="D2397" t="s">
        <v>45</v>
      </c>
      <c r="E2397">
        <v>1173</v>
      </c>
      <c r="F2397">
        <v>365</v>
      </c>
      <c r="G2397">
        <v>2</v>
      </c>
      <c r="H2397">
        <v>1430.2</v>
      </c>
      <c r="I2397">
        <v>2781.72</v>
      </c>
      <c r="J2397">
        <v>22</v>
      </c>
      <c r="K2397">
        <v>0</v>
      </c>
      <c r="L2397">
        <v>20</v>
      </c>
      <c r="M2397">
        <v>52.4</v>
      </c>
      <c r="N2397" t="s">
        <v>78</v>
      </c>
      <c r="O2397" t="s">
        <v>53</v>
      </c>
      <c r="P2397" t="s">
        <v>58</v>
      </c>
      <c r="R2397">
        <f>SUMIF(A2397:A7396,"C02396",I2397:I7396)</f>
        <v>2781.72</v>
      </c>
      <c r="S2397" s="1">
        <v>130014.98</v>
      </c>
      <c r="T2397">
        <f t="shared" si="276"/>
        <v>126.441818181818</v>
      </c>
      <c r="U2397">
        <f t="shared" si="270"/>
        <v>1152.8</v>
      </c>
      <c r="V2397">
        <f t="shared" si="271"/>
        <v>96.0666666666667</v>
      </c>
      <c r="W2397">
        <f t="shared" si="273"/>
        <v>1404.30666666667</v>
      </c>
      <c r="X2397">
        <f t="shared" si="274"/>
        <v>0.820165011886449</v>
      </c>
      <c r="AH2397" t="str">
        <f t="shared" si="275"/>
        <v>3rd Quality</v>
      </c>
      <c r="AJ2397">
        <f>((T2397-X2397)*2)/20</f>
        <v>12.5621653169932</v>
      </c>
      <c r="AK2397">
        <f t="shared" si="272"/>
        <v>148316.252727273</v>
      </c>
    </row>
    <row r="2398" spans="1:37">
      <c r="A2398" t="s">
        <v>2464</v>
      </c>
      <c r="B2398">
        <v>18</v>
      </c>
      <c r="C2398" t="s">
        <v>44</v>
      </c>
      <c r="D2398" t="s">
        <v>60</v>
      </c>
      <c r="E2398">
        <v>538</v>
      </c>
      <c r="F2398">
        <v>29</v>
      </c>
      <c r="G2398">
        <v>12</v>
      </c>
      <c r="H2398">
        <v>2741.45</v>
      </c>
      <c r="I2398">
        <v>31334.99</v>
      </c>
      <c r="J2398">
        <v>87</v>
      </c>
      <c r="K2398">
        <v>0</v>
      </c>
      <c r="L2398">
        <v>23.3</v>
      </c>
      <c r="M2398">
        <v>23.5</v>
      </c>
      <c r="N2398" t="s">
        <v>46</v>
      </c>
      <c r="O2398" t="s">
        <v>47</v>
      </c>
      <c r="P2398" t="s">
        <v>48</v>
      </c>
      <c r="R2398">
        <f>SUMIF(A2398:A7397,"C02397",I2398:I7397)</f>
        <v>31334.99</v>
      </c>
      <c r="S2398" s="1">
        <v>24394.25</v>
      </c>
      <c r="T2398">
        <f t="shared" si="276"/>
        <v>360.172298850575</v>
      </c>
      <c r="U2398">
        <f t="shared" si="270"/>
        <v>2044.5</v>
      </c>
      <c r="V2398">
        <f t="shared" si="271"/>
        <v>170.375</v>
      </c>
      <c r="W2398">
        <f t="shared" si="273"/>
        <v>11359.1466666667</v>
      </c>
      <c r="X2398">
        <f t="shared" si="274"/>
        <v>0.196246511882398</v>
      </c>
      <c r="AH2398" t="str">
        <f t="shared" si="275"/>
        <v>2nd Quality</v>
      </c>
      <c r="AJ2398">
        <f>((T2398-X2398)*2)/23.3</f>
        <v>30.8992319604028</v>
      </c>
      <c r="AK2398">
        <f t="shared" si="272"/>
        <v>193772.696781609</v>
      </c>
    </row>
    <row r="2399" spans="1:37">
      <c r="A2399" t="s">
        <v>2465</v>
      </c>
      <c r="B2399">
        <v>35</v>
      </c>
      <c r="C2399" t="s">
        <v>50</v>
      </c>
      <c r="D2399" t="s">
        <v>45</v>
      </c>
      <c r="E2399">
        <v>385</v>
      </c>
      <c r="F2399">
        <v>13</v>
      </c>
      <c r="G2399">
        <v>21</v>
      </c>
      <c r="H2399">
        <v>4571.61</v>
      </c>
      <c r="I2399">
        <v>96525.95</v>
      </c>
      <c r="J2399">
        <v>136</v>
      </c>
      <c r="K2399">
        <v>0</v>
      </c>
      <c r="L2399">
        <v>14.4</v>
      </c>
      <c r="M2399">
        <v>53</v>
      </c>
      <c r="N2399" t="s">
        <v>61</v>
      </c>
      <c r="O2399" t="s">
        <v>47</v>
      </c>
      <c r="P2399" t="s">
        <v>58</v>
      </c>
      <c r="R2399">
        <f>SUMIF(A2399:A7398,"C02398",I2399:I7398)</f>
        <v>96525.95</v>
      </c>
      <c r="S2399" s="1">
        <v>26277.99</v>
      </c>
      <c r="T2399">
        <f t="shared" si="276"/>
        <v>709.749632352941</v>
      </c>
      <c r="U2399">
        <f t="shared" si="270"/>
        <v>7208</v>
      </c>
      <c r="V2399">
        <f t="shared" si="271"/>
        <v>600.666666666667</v>
      </c>
      <c r="W2399">
        <f t="shared" si="273"/>
        <v>33699.52</v>
      </c>
      <c r="X2399">
        <f t="shared" si="274"/>
        <v>0.0842154077010069</v>
      </c>
      <c r="AH2399" t="str">
        <f t="shared" si="275"/>
        <v>3rd Quality</v>
      </c>
      <c r="AJ2399">
        <f>((T2399-X2399)*2)/14.4</f>
        <v>98.5646412423944</v>
      </c>
      <c r="AK2399">
        <f t="shared" si="272"/>
        <v>273253.608455882</v>
      </c>
    </row>
    <row r="2400" spans="1:37">
      <c r="A2400" t="s">
        <v>2466</v>
      </c>
      <c r="B2400">
        <v>29</v>
      </c>
      <c r="C2400" t="s">
        <v>44</v>
      </c>
      <c r="D2400" t="s">
        <v>45</v>
      </c>
      <c r="E2400">
        <v>932</v>
      </c>
      <c r="F2400">
        <v>3</v>
      </c>
      <c r="G2400">
        <v>24</v>
      </c>
      <c r="H2400">
        <v>4935.09</v>
      </c>
      <c r="I2400">
        <v>130014.98</v>
      </c>
      <c r="J2400">
        <v>53</v>
      </c>
      <c r="K2400">
        <v>1</v>
      </c>
      <c r="L2400">
        <v>0</v>
      </c>
      <c r="M2400">
        <v>56.9</v>
      </c>
      <c r="N2400" t="s">
        <v>63</v>
      </c>
      <c r="O2400" t="s">
        <v>47</v>
      </c>
      <c r="P2400" t="s">
        <v>58</v>
      </c>
      <c r="R2400">
        <f>SUMIF(A2400:A7399,"C02399",I2400:I7399)</f>
        <v>130014.98</v>
      </c>
      <c r="S2400" s="1">
        <v>2974.16</v>
      </c>
      <c r="T2400">
        <f t="shared" si="276"/>
        <v>2453.11283018868</v>
      </c>
      <c r="U2400">
        <f t="shared" si="270"/>
        <v>3015.7</v>
      </c>
      <c r="V2400">
        <f>U2400</f>
        <v>3015.7</v>
      </c>
      <c r="W2400">
        <f t="shared" si="273"/>
        <v>44983.69</v>
      </c>
      <c r="X2400">
        <f t="shared" si="274"/>
        <v>0.188851672411243</v>
      </c>
      <c r="AH2400" t="str">
        <f t="shared" si="275"/>
        <v>1st Quality</v>
      </c>
      <c r="AJ2400">
        <f>((T2400-X2400)*2)</f>
        <v>4905.84795703254</v>
      </c>
      <c r="AK2400">
        <f t="shared" si="272"/>
        <v>2286301.15773585</v>
      </c>
    </row>
    <row r="2401" spans="1:37">
      <c r="A2401" t="s">
        <v>2467</v>
      </c>
      <c r="B2401">
        <v>18</v>
      </c>
      <c r="C2401" t="s">
        <v>50</v>
      </c>
      <c r="D2401" t="s">
        <v>60</v>
      </c>
      <c r="E2401">
        <v>1375</v>
      </c>
      <c r="F2401">
        <v>9</v>
      </c>
      <c r="G2401">
        <v>3</v>
      </c>
      <c r="H2401">
        <v>8635.56</v>
      </c>
      <c r="I2401">
        <v>24394.25</v>
      </c>
      <c r="J2401">
        <v>11</v>
      </c>
      <c r="K2401">
        <v>0</v>
      </c>
      <c r="L2401">
        <v>15.2</v>
      </c>
      <c r="M2401">
        <v>20.9</v>
      </c>
      <c r="N2401" t="s">
        <v>46</v>
      </c>
      <c r="O2401" t="s">
        <v>47</v>
      </c>
      <c r="P2401" t="s">
        <v>48</v>
      </c>
      <c r="R2401">
        <f>SUMIF(A2401:A7400,"C02400",I2401:I7400)</f>
        <v>24394.25</v>
      </c>
      <c r="S2401" s="1">
        <v>1496.2</v>
      </c>
      <c r="T2401">
        <f t="shared" si="276"/>
        <v>2217.65909090909</v>
      </c>
      <c r="U2401">
        <f t="shared" si="270"/>
        <v>229.9</v>
      </c>
      <c r="V2401">
        <f>U2401/12</f>
        <v>19.1583333333333</v>
      </c>
      <c r="W2401">
        <f t="shared" si="273"/>
        <v>11010.27</v>
      </c>
      <c r="X2401">
        <f t="shared" si="274"/>
        <v>0.159225342652937</v>
      </c>
      <c r="AH2401" t="str">
        <f t="shared" si="275"/>
        <v>2nd Quality</v>
      </c>
      <c r="AJ2401">
        <f>((T2401-X2401)*2)/15.2</f>
        <v>291.776298100847</v>
      </c>
      <c r="AK2401">
        <f t="shared" si="272"/>
        <v>3049281.25</v>
      </c>
    </row>
    <row r="2402" spans="1:37">
      <c r="A2402" t="s">
        <v>2468</v>
      </c>
      <c r="B2402">
        <v>46</v>
      </c>
      <c r="C2402" t="s">
        <v>50</v>
      </c>
      <c r="D2402" t="s">
        <v>60</v>
      </c>
      <c r="E2402">
        <v>1328</v>
      </c>
      <c r="F2402">
        <v>61</v>
      </c>
      <c r="G2402">
        <v>2</v>
      </c>
      <c r="H2402">
        <v>11732.79</v>
      </c>
      <c r="I2402">
        <v>26277.99</v>
      </c>
      <c r="J2402">
        <v>16</v>
      </c>
      <c r="K2402">
        <v>0</v>
      </c>
      <c r="L2402">
        <v>2.3</v>
      </c>
      <c r="M2402">
        <v>12.5</v>
      </c>
      <c r="N2402" t="s">
        <v>78</v>
      </c>
      <c r="O2402" t="s">
        <v>75</v>
      </c>
      <c r="P2402" t="s">
        <v>68</v>
      </c>
      <c r="R2402">
        <f>SUMIF(A2402:A7401,"C02401",I2402:I7401)</f>
        <v>26277.99</v>
      </c>
      <c r="S2402" s="1">
        <v>1853.35</v>
      </c>
      <c r="T2402">
        <f t="shared" si="276"/>
        <v>1642.374375</v>
      </c>
      <c r="U2402">
        <f t="shared" ref="U2402:U2465" si="277">J2402*M2402</f>
        <v>200</v>
      </c>
      <c r="V2402">
        <f t="shared" si="271"/>
        <v>16.6666666666667</v>
      </c>
      <c r="W2402">
        <f t="shared" si="273"/>
        <v>12670.5933333333</v>
      </c>
      <c r="X2402">
        <f t="shared" si="274"/>
        <v>0.113187059514404</v>
      </c>
      <c r="AH2402" t="str">
        <f t="shared" si="275"/>
        <v>3rd Quality</v>
      </c>
      <c r="AJ2402">
        <f>((T2402-X2402)*2)/2.3</f>
        <v>1428.05320690477</v>
      </c>
      <c r="AK2402">
        <f t="shared" si="272"/>
        <v>2181073.17</v>
      </c>
    </row>
    <row r="2403" spans="1:37">
      <c r="A2403" t="s">
        <v>2469</v>
      </c>
      <c r="B2403">
        <v>27</v>
      </c>
      <c r="C2403" t="s">
        <v>44</v>
      </c>
      <c r="D2403" t="s">
        <v>45</v>
      </c>
      <c r="E2403">
        <v>587</v>
      </c>
      <c r="F2403">
        <v>5</v>
      </c>
      <c r="G2403">
        <v>3</v>
      </c>
      <c r="H2403">
        <v>970.68</v>
      </c>
      <c r="I2403">
        <v>2974.16</v>
      </c>
      <c r="J2403">
        <v>16</v>
      </c>
      <c r="K2403">
        <v>0</v>
      </c>
      <c r="L2403">
        <v>28.1</v>
      </c>
      <c r="M2403">
        <v>24.3</v>
      </c>
      <c r="N2403" t="s">
        <v>52</v>
      </c>
      <c r="O2403" t="s">
        <v>53</v>
      </c>
      <c r="P2403" t="s">
        <v>58</v>
      </c>
      <c r="R2403">
        <f>SUMIF(A2403:A7402,"C02402",I2403:I7402)</f>
        <v>2974.16</v>
      </c>
      <c r="S2403" s="1">
        <v>2738.47</v>
      </c>
      <c r="T2403">
        <f t="shared" si="276"/>
        <v>185.885</v>
      </c>
      <c r="U2403">
        <f t="shared" si="277"/>
        <v>388.8</v>
      </c>
      <c r="V2403">
        <f t="shared" si="271"/>
        <v>32.4</v>
      </c>
      <c r="W2403">
        <f t="shared" si="273"/>
        <v>1315.28</v>
      </c>
      <c r="X2403">
        <f t="shared" si="274"/>
        <v>0.604730704248568</v>
      </c>
      <c r="AH2403" t="str">
        <f t="shared" si="275"/>
        <v>3rd Quality</v>
      </c>
      <c r="AJ2403">
        <f>((T2403-X2403)*2)/28.1</f>
        <v>13.187207779057</v>
      </c>
      <c r="AK2403">
        <f t="shared" si="272"/>
        <v>109114.495</v>
      </c>
    </row>
    <row r="2404" spans="1:37">
      <c r="A2404" t="s">
        <v>2470</v>
      </c>
      <c r="B2404">
        <v>39</v>
      </c>
      <c r="C2404" t="s">
        <v>44</v>
      </c>
      <c r="D2404" t="s">
        <v>45</v>
      </c>
      <c r="E2404">
        <v>617</v>
      </c>
      <c r="F2404">
        <v>137</v>
      </c>
      <c r="G2404">
        <v>2</v>
      </c>
      <c r="H2404">
        <v>795.42</v>
      </c>
      <c r="I2404">
        <v>1496.2</v>
      </c>
      <c r="J2404">
        <v>16</v>
      </c>
      <c r="K2404">
        <v>0</v>
      </c>
      <c r="L2404">
        <v>16.7</v>
      </c>
      <c r="M2404">
        <v>41.3</v>
      </c>
      <c r="N2404" t="s">
        <v>81</v>
      </c>
      <c r="O2404" t="s">
        <v>75</v>
      </c>
      <c r="P2404" t="s">
        <v>68</v>
      </c>
      <c r="R2404">
        <f>SUMIF(A2404:A7403,"C02403",I2404:I7403)</f>
        <v>1496.2</v>
      </c>
      <c r="S2404" s="1">
        <v>22481.85</v>
      </c>
      <c r="T2404">
        <f t="shared" si="276"/>
        <v>93.5125</v>
      </c>
      <c r="U2404">
        <f t="shared" si="277"/>
        <v>660.8</v>
      </c>
      <c r="V2404">
        <f t="shared" si="271"/>
        <v>55.0666666666667</v>
      </c>
      <c r="W2404">
        <f t="shared" si="273"/>
        <v>764.206666666667</v>
      </c>
      <c r="X2404">
        <f t="shared" si="274"/>
        <v>0.77569083000176</v>
      </c>
      <c r="AH2404" t="str">
        <f t="shared" si="275"/>
        <v>3rd Quality</v>
      </c>
      <c r="AJ2404">
        <f>((T2404-X2404)*2)/16.7</f>
        <v>11.1062046910178</v>
      </c>
      <c r="AK2404">
        <f t="shared" si="272"/>
        <v>57697.2125</v>
      </c>
    </row>
    <row r="2405" spans="1:37">
      <c r="A2405" t="s">
        <v>2471</v>
      </c>
      <c r="B2405">
        <v>44</v>
      </c>
      <c r="C2405" t="s">
        <v>44</v>
      </c>
      <c r="D2405" t="s">
        <v>60</v>
      </c>
      <c r="E2405">
        <v>777</v>
      </c>
      <c r="F2405">
        <v>316</v>
      </c>
      <c r="G2405">
        <v>1</v>
      </c>
      <c r="H2405">
        <v>1772.07</v>
      </c>
      <c r="I2405">
        <v>1853.35</v>
      </c>
      <c r="J2405">
        <v>13</v>
      </c>
      <c r="K2405">
        <v>0</v>
      </c>
      <c r="L2405">
        <v>16.3</v>
      </c>
      <c r="M2405">
        <v>22.4</v>
      </c>
      <c r="N2405" t="s">
        <v>46</v>
      </c>
      <c r="O2405" t="s">
        <v>47</v>
      </c>
      <c r="P2405" t="s">
        <v>68</v>
      </c>
      <c r="R2405">
        <f>SUMIF(A2405:A7404,"C02404",I2405:I7404)</f>
        <v>1853.35</v>
      </c>
      <c r="S2405" s="1">
        <v>31474.53</v>
      </c>
      <c r="T2405">
        <f t="shared" si="276"/>
        <v>142.565384615385</v>
      </c>
      <c r="U2405">
        <f t="shared" si="277"/>
        <v>291.2</v>
      </c>
      <c r="V2405">
        <f t="shared" si="271"/>
        <v>24.2666666666667</v>
      </c>
      <c r="W2405">
        <f t="shared" si="273"/>
        <v>1208.80666666667</v>
      </c>
      <c r="X2405">
        <f t="shared" si="274"/>
        <v>0.438470263590039</v>
      </c>
      <c r="AH2405" t="str">
        <f t="shared" si="275"/>
        <v>3rd Quality</v>
      </c>
      <c r="AJ2405">
        <f>((T2405-X2405)*2)/16.3</f>
        <v>17.4388851965393</v>
      </c>
      <c r="AK2405">
        <f t="shared" si="272"/>
        <v>110773.303846154</v>
      </c>
    </row>
    <row r="2406" spans="1:37">
      <c r="A2406" t="s">
        <v>2472</v>
      </c>
      <c r="B2406">
        <v>18</v>
      </c>
      <c r="C2406" t="s">
        <v>50</v>
      </c>
      <c r="D2406" t="s">
        <v>60</v>
      </c>
      <c r="E2406">
        <v>1380</v>
      </c>
      <c r="F2406">
        <v>198</v>
      </c>
      <c r="G2406">
        <v>2</v>
      </c>
      <c r="H2406">
        <v>1296.02</v>
      </c>
      <c r="I2406">
        <v>2738.47</v>
      </c>
      <c r="J2406">
        <v>18</v>
      </c>
      <c r="K2406">
        <v>0</v>
      </c>
      <c r="L2406">
        <v>28.9</v>
      </c>
      <c r="M2406">
        <v>29.1</v>
      </c>
      <c r="N2406" t="s">
        <v>81</v>
      </c>
      <c r="O2406" t="s">
        <v>47</v>
      </c>
      <c r="P2406" t="s">
        <v>68</v>
      </c>
      <c r="R2406">
        <f>SUMIF(A2406:A7405,"C02405",I2406:I7405)</f>
        <v>2738.47</v>
      </c>
      <c r="S2406" s="1">
        <v>3526.63</v>
      </c>
      <c r="T2406">
        <f t="shared" si="276"/>
        <v>152.137222222222</v>
      </c>
      <c r="U2406">
        <f t="shared" si="277"/>
        <v>523.8</v>
      </c>
      <c r="V2406">
        <f t="shared" si="271"/>
        <v>43.65</v>
      </c>
      <c r="W2406">
        <f t="shared" si="273"/>
        <v>1345.16333333333</v>
      </c>
      <c r="X2406">
        <f t="shared" si="274"/>
        <v>1.06479838274101</v>
      </c>
      <c r="AH2406" t="str">
        <f t="shared" si="275"/>
        <v>3rd Quality</v>
      </c>
      <c r="AJ2406">
        <f>((T2406-X2406)*2)/28.9</f>
        <v>10.4548390200333</v>
      </c>
      <c r="AK2406">
        <f t="shared" si="272"/>
        <v>209949.366666667</v>
      </c>
    </row>
    <row r="2407" spans="1:37">
      <c r="A2407" t="s">
        <v>2473</v>
      </c>
      <c r="B2407">
        <v>32</v>
      </c>
      <c r="C2407" t="s">
        <v>44</v>
      </c>
      <c r="D2407" t="s">
        <v>60</v>
      </c>
      <c r="E2407">
        <v>1289</v>
      </c>
      <c r="F2407">
        <v>48</v>
      </c>
      <c r="G2407">
        <v>9</v>
      </c>
      <c r="H2407">
        <v>2479.23</v>
      </c>
      <c r="I2407">
        <v>22481.85</v>
      </c>
      <c r="J2407">
        <v>33</v>
      </c>
      <c r="K2407">
        <v>1</v>
      </c>
      <c r="L2407">
        <v>21.4</v>
      </c>
      <c r="M2407">
        <v>37.1</v>
      </c>
      <c r="N2407" t="s">
        <v>52</v>
      </c>
      <c r="O2407" t="s">
        <v>47</v>
      </c>
      <c r="P2407" t="s">
        <v>58</v>
      </c>
      <c r="R2407">
        <f>SUMIF(A2407:A7406,"C02406",I2407:I7406)</f>
        <v>22481.85</v>
      </c>
      <c r="S2407" s="1">
        <v>29796.27</v>
      </c>
      <c r="T2407">
        <f t="shared" si="276"/>
        <v>681.268181818182</v>
      </c>
      <c r="U2407">
        <f t="shared" si="277"/>
        <v>1224.3</v>
      </c>
      <c r="V2407">
        <f>U2407</f>
        <v>1224.3</v>
      </c>
      <c r="W2407">
        <f t="shared" si="273"/>
        <v>8320.69333333333</v>
      </c>
      <c r="X2407">
        <f t="shared" si="274"/>
        <v>0.519919491132327</v>
      </c>
      <c r="AH2407" t="str">
        <f t="shared" si="275"/>
        <v>2nd Quality</v>
      </c>
      <c r="AJ2407">
        <f>((T2407-X2407)*2)/21.4</f>
        <v>63.6213329277617</v>
      </c>
      <c r="AK2407">
        <f t="shared" si="272"/>
        <v>878154.686363636</v>
      </c>
    </row>
    <row r="2408" spans="1:37">
      <c r="A2408" t="s">
        <v>2474</v>
      </c>
      <c r="B2408">
        <v>24</v>
      </c>
      <c r="C2408" t="s">
        <v>44</v>
      </c>
      <c r="D2408" t="s">
        <v>60</v>
      </c>
      <c r="E2408">
        <v>1359</v>
      </c>
      <c r="F2408">
        <v>6</v>
      </c>
      <c r="G2408">
        <v>4</v>
      </c>
      <c r="H2408">
        <v>8634.13</v>
      </c>
      <c r="I2408">
        <v>31474.53</v>
      </c>
      <c r="J2408">
        <v>29</v>
      </c>
      <c r="K2408">
        <v>1</v>
      </c>
      <c r="L2408">
        <v>0.8</v>
      </c>
      <c r="M2408">
        <v>39.6</v>
      </c>
      <c r="N2408" t="s">
        <v>78</v>
      </c>
      <c r="O2408" t="s">
        <v>47</v>
      </c>
      <c r="P2408" t="s">
        <v>68</v>
      </c>
      <c r="R2408">
        <f>SUMIF(A2408:A7407,"C02407",I2408:I7407)</f>
        <v>31474.53</v>
      </c>
      <c r="S2408" s="1">
        <v>3392.88</v>
      </c>
      <c r="T2408">
        <f t="shared" si="276"/>
        <v>1085.32862068966</v>
      </c>
      <c r="U2408">
        <f t="shared" si="277"/>
        <v>1148.4</v>
      </c>
      <c r="V2408">
        <f>U2408</f>
        <v>1148.4</v>
      </c>
      <c r="W2408">
        <f t="shared" si="273"/>
        <v>13369.8866666667</v>
      </c>
      <c r="X2408">
        <f t="shared" si="274"/>
        <v>0.157398602986057</v>
      </c>
      <c r="AH2408" t="str">
        <f t="shared" si="275"/>
        <v>1st Quality</v>
      </c>
      <c r="AJ2408">
        <f>((T2408-X2408)*2)/0.8</f>
        <v>2712.92805521669</v>
      </c>
      <c r="AK2408">
        <f t="shared" si="272"/>
        <v>1474961.59551724</v>
      </c>
    </row>
    <row r="2409" spans="1:37">
      <c r="A2409" t="s">
        <v>2475</v>
      </c>
      <c r="B2409">
        <v>41</v>
      </c>
      <c r="C2409" t="s">
        <v>50</v>
      </c>
      <c r="D2409" t="s">
        <v>45</v>
      </c>
      <c r="E2409">
        <v>891</v>
      </c>
      <c r="F2409">
        <v>87</v>
      </c>
      <c r="G2409">
        <v>4</v>
      </c>
      <c r="H2409">
        <v>819.67</v>
      </c>
      <c r="I2409">
        <v>3526.63</v>
      </c>
      <c r="J2409">
        <v>43</v>
      </c>
      <c r="K2409">
        <v>1</v>
      </c>
      <c r="L2409">
        <v>13.5</v>
      </c>
      <c r="M2409">
        <v>21.5</v>
      </c>
      <c r="N2409" t="s">
        <v>81</v>
      </c>
      <c r="O2409" t="s">
        <v>75</v>
      </c>
      <c r="P2409" t="s">
        <v>58</v>
      </c>
      <c r="R2409">
        <f>SUMIF(A2409:A7408,"C02408",I2409:I7408)</f>
        <v>3526.63</v>
      </c>
      <c r="S2409" s="1">
        <v>3151.25</v>
      </c>
      <c r="T2409">
        <f t="shared" si="276"/>
        <v>82.0146511627907</v>
      </c>
      <c r="U2409">
        <f t="shared" si="277"/>
        <v>924.5</v>
      </c>
      <c r="V2409">
        <f>U2409</f>
        <v>924.5</v>
      </c>
      <c r="W2409">
        <f t="shared" si="273"/>
        <v>1449.1</v>
      </c>
      <c r="X2409">
        <f t="shared" si="274"/>
        <v>1.08702282625935</v>
      </c>
      <c r="AH2409" t="str">
        <f t="shared" si="275"/>
        <v>3rd Quality</v>
      </c>
      <c r="AJ2409">
        <f>((T2409-X2409)*2)/13.5</f>
        <v>11.9892782720787</v>
      </c>
      <c r="AK2409">
        <f t="shared" si="272"/>
        <v>73075.0541860465</v>
      </c>
    </row>
    <row r="2410" spans="1:37">
      <c r="A2410" t="s">
        <v>2476</v>
      </c>
      <c r="B2410">
        <v>47</v>
      </c>
      <c r="C2410" t="s">
        <v>50</v>
      </c>
      <c r="D2410" t="s">
        <v>60</v>
      </c>
      <c r="E2410">
        <v>455</v>
      </c>
      <c r="F2410">
        <v>23</v>
      </c>
      <c r="G2410">
        <v>11</v>
      </c>
      <c r="H2410">
        <v>2521.04</v>
      </c>
      <c r="I2410">
        <v>29796.27</v>
      </c>
      <c r="J2410">
        <v>37</v>
      </c>
      <c r="K2410">
        <v>0</v>
      </c>
      <c r="L2410">
        <v>26.5</v>
      </c>
      <c r="M2410">
        <v>35.1</v>
      </c>
      <c r="N2410" t="s">
        <v>61</v>
      </c>
      <c r="O2410" t="s">
        <v>47</v>
      </c>
      <c r="P2410" t="s">
        <v>58</v>
      </c>
      <c r="R2410">
        <f>SUMIF(A2410:A7409,"C02409",I2410:I7409)</f>
        <v>29796.27</v>
      </c>
      <c r="S2410" s="1">
        <v>6527.86</v>
      </c>
      <c r="T2410">
        <f t="shared" si="276"/>
        <v>805.304594594595</v>
      </c>
      <c r="U2410">
        <f t="shared" si="277"/>
        <v>1298.7</v>
      </c>
      <c r="V2410">
        <f t="shared" si="271"/>
        <v>108.225</v>
      </c>
      <c r="W2410">
        <f t="shared" si="273"/>
        <v>10772.77</v>
      </c>
      <c r="X2410">
        <f t="shared" si="274"/>
        <v>0.180481071303906</v>
      </c>
      <c r="AH2410" t="str">
        <f t="shared" si="275"/>
        <v>3rd Quality</v>
      </c>
      <c r="AJ2410">
        <f>((T2410-X2410)*2)/26.5</f>
        <v>60.7640840394937</v>
      </c>
      <c r="AK2410">
        <f t="shared" si="272"/>
        <v>366413.590540541</v>
      </c>
    </row>
    <row r="2411" spans="1:37">
      <c r="A2411" t="s">
        <v>2477</v>
      </c>
      <c r="B2411">
        <v>36</v>
      </c>
      <c r="C2411" t="s">
        <v>44</v>
      </c>
      <c r="D2411" t="s">
        <v>51</v>
      </c>
      <c r="E2411">
        <v>1094</v>
      </c>
      <c r="F2411">
        <v>365</v>
      </c>
      <c r="G2411">
        <v>1</v>
      </c>
      <c r="H2411">
        <v>3189.83</v>
      </c>
      <c r="I2411">
        <v>3392.88</v>
      </c>
      <c r="J2411">
        <v>12</v>
      </c>
      <c r="K2411">
        <v>0</v>
      </c>
      <c r="L2411">
        <v>4.8</v>
      </c>
      <c r="M2411">
        <v>45.6</v>
      </c>
      <c r="N2411" t="s">
        <v>81</v>
      </c>
      <c r="O2411" t="s">
        <v>47</v>
      </c>
      <c r="P2411" t="s">
        <v>58</v>
      </c>
      <c r="R2411">
        <f>SUMIF(A2411:A7410,"C02410",I2411:I7410)</f>
        <v>3392.88</v>
      </c>
      <c r="S2411" s="1">
        <v>15263.12</v>
      </c>
      <c r="T2411">
        <f t="shared" si="276"/>
        <v>282.74</v>
      </c>
      <c r="U2411">
        <f t="shared" si="277"/>
        <v>547.2</v>
      </c>
      <c r="V2411">
        <f t="shared" si="271"/>
        <v>45.6</v>
      </c>
      <c r="W2411">
        <f t="shared" si="273"/>
        <v>2194.57</v>
      </c>
      <c r="X2411">
        <f t="shared" si="274"/>
        <v>0.342964985594844</v>
      </c>
      <c r="AH2411" t="str">
        <f t="shared" si="275"/>
        <v>3rd Quality</v>
      </c>
      <c r="AJ2411">
        <f>((T2411-X2411)*2)/4.8</f>
        <v>117.665431256002</v>
      </c>
      <c r="AK2411">
        <f t="shared" si="272"/>
        <v>309317.56</v>
      </c>
    </row>
    <row r="2412" spans="1:37">
      <c r="A2412" t="s">
        <v>2478</v>
      </c>
      <c r="B2412">
        <v>37</v>
      </c>
      <c r="C2412" t="s">
        <v>44</v>
      </c>
      <c r="D2412" t="s">
        <v>60</v>
      </c>
      <c r="E2412">
        <v>1353</v>
      </c>
      <c r="F2412">
        <v>185</v>
      </c>
      <c r="G2412">
        <v>3</v>
      </c>
      <c r="H2412">
        <v>989.68</v>
      </c>
      <c r="I2412">
        <v>3151.25</v>
      </c>
      <c r="J2412">
        <v>27</v>
      </c>
      <c r="K2412">
        <v>0</v>
      </c>
      <c r="L2412">
        <v>34.6</v>
      </c>
      <c r="M2412">
        <v>16</v>
      </c>
      <c r="N2412" t="s">
        <v>61</v>
      </c>
      <c r="O2412" t="s">
        <v>75</v>
      </c>
      <c r="P2412" t="s">
        <v>58</v>
      </c>
      <c r="R2412">
        <f>SUMIF(A2412:A7411,"C02411",I2412:I7411)</f>
        <v>3151.25</v>
      </c>
      <c r="S2412" s="1">
        <v>48900.06</v>
      </c>
      <c r="T2412">
        <f t="shared" si="276"/>
        <v>116.712962962963</v>
      </c>
      <c r="U2412">
        <f t="shared" si="277"/>
        <v>432</v>
      </c>
      <c r="V2412">
        <f t="shared" si="271"/>
        <v>36</v>
      </c>
      <c r="W2412">
        <f t="shared" si="273"/>
        <v>1380.64333333333</v>
      </c>
      <c r="X2412">
        <f t="shared" si="274"/>
        <v>1.36710856034274</v>
      </c>
      <c r="AH2412" t="str">
        <f t="shared" si="275"/>
        <v>3rd Quality</v>
      </c>
      <c r="AJ2412">
        <f>((T2412-X2412)*2)/34.6</f>
        <v>6.66739042789712</v>
      </c>
      <c r="AK2412">
        <f t="shared" si="272"/>
        <v>157912.638888889</v>
      </c>
    </row>
    <row r="2413" spans="1:37">
      <c r="A2413" t="s">
        <v>2479</v>
      </c>
      <c r="B2413">
        <v>30</v>
      </c>
      <c r="C2413" t="s">
        <v>44</v>
      </c>
      <c r="D2413" t="s">
        <v>60</v>
      </c>
      <c r="E2413">
        <v>764</v>
      </c>
      <c r="F2413">
        <v>273</v>
      </c>
      <c r="G2413">
        <v>2</v>
      </c>
      <c r="H2413">
        <v>3359.62</v>
      </c>
      <c r="I2413">
        <v>6527.86</v>
      </c>
      <c r="J2413">
        <v>27</v>
      </c>
      <c r="K2413">
        <v>0</v>
      </c>
      <c r="L2413">
        <v>28.9</v>
      </c>
      <c r="M2413">
        <v>15.2</v>
      </c>
      <c r="N2413" t="s">
        <v>46</v>
      </c>
      <c r="O2413" t="s">
        <v>75</v>
      </c>
      <c r="P2413" t="s">
        <v>66</v>
      </c>
      <c r="R2413">
        <f>SUMIF(A2413:A7412,"C02412",I2413:I7412)</f>
        <v>6527.86</v>
      </c>
      <c r="S2413" s="1">
        <v>6033.38</v>
      </c>
      <c r="T2413">
        <f t="shared" si="276"/>
        <v>241.772592592593</v>
      </c>
      <c r="U2413">
        <f t="shared" si="277"/>
        <v>410.4</v>
      </c>
      <c r="V2413">
        <f t="shared" si="271"/>
        <v>34.2</v>
      </c>
      <c r="W2413">
        <f t="shared" si="273"/>
        <v>3296.16</v>
      </c>
      <c r="X2413">
        <f t="shared" si="274"/>
        <v>0.227406670992553</v>
      </c>
      <c r="AH2413" t="str">
        <f t="shared" si="275"/>
        <v>3rd Quality</v>
      </c>
      <c r="AJ2413">
        <f>((T2413-X2413)*2)/28.9</f>
        <v>16.715929821564</v>
      </c>
      <c r="AK2413">
        <f t="shared" si="272"/>
        <v>184714.260740741</v>
      </c>
    </row>
    <row r="2414" spans="1:37">
      <c r="A2414" t="s">
        <v>2480</v>
      </c>
      <c r="B2414">
        <v>40</v>
      </c>
      <c r="C2414" t="s">
        <v>50</v>
      </c>
      <c r="D2414" t="s">
        <v>45</v>
      </c>
      <c r="E2414">
        <v>631</v>
      </c>
      <c r="F2414">
        <v>71</v>
      </c>
      <c r="G2414">
        <v>10</v>
      </c>
      <c r="H2414">
        <v>1528.98</v>
      </c>
      <c r="I2414">
        <v>15263.12</v>
      </c>
      <c r="J2414">
        <v>38</v>
      </c>
      <c r="K2414">
        <v>0</v>
      </c>
      <c r="L2414">
        <v>37.5</v>
      </c>
      <c r="M2414">
        <v>13.4</v>
      </c>
      <c r="N2414" t="s">
        <v>46</v>
      </c>
      <c r="O2414" t="s">
        <v>47</v>
      </c>
      <c r="P2414" t="s">
        <v>48</v>
      </c>
      <c r="R2414">
        <f>SUMIF(A2414:A7413,"C02413",I2414:I7413)</f>
        <v>15263.12</v>
      </c>
      <c r="S2414" s="1">
        <v>51609.77</v>
      </c>
      <c r="T2414">
        <f t="shared" si="276"/>
        <v>401.661052631579</v>
      </c>
      <c r="U2414">
        <f t="shared" si="277"/>
        <v>509.2</v>
      </c>
      <c r="V2414">
        <f t="shared" si="271"/>
        <v>42.4333333333333</v>
      </c>
      <c r="W2414">
        <f t="shared" si="273"/>
        <v>5597.7</v>
      </c>
      <c r="X2414">
        <f t="shared" si="274"/>
        <v>0.412693429606666</v>
      </c>
      <c r="AH2414" t="str">
        <f t="shared" si="275"/>
        <v>3rd Quality</v>
      </c>
      <c r="AJ2414">
        <f>((T2414-X2414)*2)/37.5</f>
        <v>21.3999124907719</v>
      </c>
      <c r="AK2414">
        <f t="shared" si="272"/>
        <v>253448.124210526</v>
      </c>
    </row>
    <row r="2415" spans="1:37">
      <c r="A2415" t="s">
        <v>2481</v>
      </c>
      <c r="B2415">
        <v>23</v>
      </c>
      <c r="C2415" t="s">
        <v>44</v>
      </c>
      <c r="D2415" t="s">
        <v>45</v>
      </c>
      <c r="E2415">
        <v>975</v>
      </c>
      <c r="F2415">
        <v>80</v>
      </c>
      <c r="G2415">
        <v>7</v>
      </c>
      <c r="H2415">
        <v>6725.12</v>
      </c>
      <c r="I2415">
        <v>48900.06</v>
      </c>
      <c r="J2415">
        <v>42</v>
      </c>
      <c r="K2415">
        <v>0</v>
      </c>
      <c r="L2415">
        <v>0</v>
      </c>
      <c r="M2415">
        <v>17.6</v>
      </c>
      <c r="N2415" t="s">
        <v>63</v>
      </c>
      <c r="O2415" t="s">
        <v>47</v>
      </c>
      <c r="P2415" t="s">
        <v>68</v>
      </c>
      <c r="R2415">
        <f>SUMIF(A2415:A7414,"C02414",I2415:I7414)</f>
        <v>48900.06</v>
      </c>
      <c r="S2415" s="1">
        <v>12258.25</v>
      </c>
      <c r="T2415">
        <f t="shared" si="276"/>
        <v>1164.28714285714</v>
      </c>
      <c r="U2415">
        <f t="shared" si="277"/>
        <v>739.2</v>
      </c>
      <c r="V2415">
        <f t="shared" si="271"/>
        <v>61.6</v>
      </c>
      <c r="W2415">
        <f t="shared" si="273"/>
        <v>18542.06</v>
      </c>
      <c r="X2415">
        <f t="shared" si="274"/>
        <v>0.144978825656643</v>
      </c>
      <c r="AH2415" t="str">
        <f t="shared" si="275"/>
        <v>1st Quality</v>
      </c>
      <c r="AJ2415">
        <f>((T2415-X2415)*2)</f>
        <v>2328.28432806297</v>
      </c>
      <c r="AK2415">
        <f t="shared" si="272"/>
        <v>1135179.96428571</v>
      </c>
    </row>
    <row r="2416" spans="1:37">
      <c r="A2416" t="s">
        <v>2482</v>
      </c>
      <c r="B2416">
        <v>18</v>
      </c>
      <c r="C2416" t="s">
        <v>50</v>
      </c>
      <c r="D2416" t="s">
        <v>45</v>
      </c>
      <c r="E2416">
        <v>631</v>
      </c>
      <c r="F2416">
        <v>52</v>
      </c>
      <c r="G2416">
        <v>8</v>
      </c>
      <c r="H2416">
        <v>819.96</v>
      </c>
      <c r="I2416">
        <v>6033.38</v>
      </c>
      <c r="J2416">
        <v>73</v>
      </c>
      <c r="K2416">
        <v>0</v>
      </c>
      <c r="L2416">
        <v>26.1</v>
      </c>
      <c r="M2416">
        <v>35.9</v>
      </c>
      <c r="N2416" t="s">
        <v>63</v>
      </c>
      <c r="O2416" t="s">
        <v>47</v>
      </c>
      <c r="P2416" t="s">
        <v>58</v>
      </c>
      <c r="R2416">
        <f>SUMIF(A2416:A7415,"C02415",I2416:I7415)</f>
        <v>6033.38</v>
      </c>
      <c r="S2416" s="1">
        <v>8621.81</v>
      </c>
      <c r="T2416">
        <f t="shared" si="276"/>
        <v>82.6490410958904</v>
      </c>
      <c r="U2416">
        <f t="shared" si="277"/>
        <v>2620.7</v>
      </c>
      <c r="V2416">
        <f t="shared" si="271"/>
        <v>218.391666666667</v>
      </c>
      <c r="W2416">
        <f t="shared" si="273"/>
        <v>2284.78</v>
      </c>
      <c r="X2416">
        <f t="shared" si="274"/>
        <v>0.769549734133372</v>
      </c>
      <c r="AH2416" t="str">
        <f t="shared" si="275"/>
        <v>3rd Quality</v>
      </c>
      <c r="AJ2416">
        <f>((T2416-X2416)*2)/26.1</f>
        <v>6.27429052580514</v>
      </c>
      <c r="AK2416">
        <f t="shared" si="272"/>
        <v>52151.5449315068</v>
      </c>
    </row>
    <row r="2417" spans="1:37">
      <c r="A2417" t="s">
        <v>2483</v>
      </c>
      <c r="B2417">
        <v>41</v>
      </c>
      <c r="C2417" t="s">
        <v>44</v>
      </c>
      <c r="D2417" t="s">
        <v>45</v>
      </c>
      <c r="E2417">
        <v>1292</v>
      </c>
      <c r="F2417">
        <v>18</v>
      </c>
      <c r="G2417">
        <v>26</v>
      </c>
      <c r="H2417">
        <v>1936.55</v>
      </c>
      <c r="I2417">
        <v>51609.77</v>
      </c>
      <c r="J2417">
        <v>117</v>
      </c>
      <c r="K2417">
        <v>6</v>
      </c>
      <c r="L2417">
        <v>5.1</v>
      </c>
      <c r="M2417">
        <v>39.4</v>
      </c>
      <c r="N2417" t="s">
        <v>52</v>
      </c>
      <c r="O2417" t="s">
        <v>75</v>
      </c>
      <c r="P2417" t="s">
        <v>68</v>
      </c>
      <c r="R2417">
        <f>SUMIF(A2417:A7416,"C02416",I2417:I7416)</f>
        <v>51609.77</v>
      </c>
      <c r="S2417" s="1">
        <v>53678.05</v>
      </c>
      <c r="T2417">
        <f t="shared" si="276"/>
        <v>441.109145299145</v>
      </c>
      <c r="U2417">
        <f t="shared" si="277"/>
        <v>4609.8</v>
      </c>
      <c r="V2417">
        <f>U2417</f>
        <v>4609.8</v>
      </c>
      <c r="W2417">
        <f t="shared" si="273"/>
        <v>17849.1066666667</v>
      </c>
      <c r="X2417">
        <f t="shared" si="274"/>
        <v>0.66716583615192</v>
      </c>
      <c r="AH2417" t="str">
        <f t="shared" si="275"/>
        <v>2nd Quality</v>
      </c>
      <c r="AJ2417">
        <f>((T2417-X2417)*2)/5.1</f>
        <v>172.722344887448</v>
      </c>
      <c r="AK2417">
        <f t="shared" si="272"/>
        <v>569913.015726496</v>
      </c>
    </row>
    <row r="2418" spans="1:37">
      <c r="A2418" t="s">
        <v>2484</v>
      </c>
      <c r="B2418">
        <v>39</v>
      </c>
      <c r="C2418" t="s">
        <v>50</v>
      </c>
      <c r="D2418" t="s">
        <v>60</v>
      </c>
      <c r="E2418">
        <v>808</v>
      </c>
      <c r="F2418">
        <v>16</v>
      </c>
      <c r="G2418">
        <v>10</v>
      </c>
      <c r="H2418">
        <v>1352.34</v>
      </c>
      <c r="I2418">
        <v>12258.25</v>
      </c>
      <c r="J2418">
        <v>60</v>
      </c>
      <c r="K2418">
        <v>1</v>
      </c>
      <c r="L2418">
        <v>30.6</v>
      </c>
      <c r="M2418">
        <v>36.4</v>
      </c>
      <c r="N2418" t="s">
        <v>78</v>
      </c>
      <c r="O2418" t="s">
        <v>53</v>
      </c>
      <c r="P2418" t="s">
        <v>54</v>
      </c>
      <c r="R2418">
        <f>SUMIF(A2418:A7417,"C02417",I2418:I7417)</f>
        <v>12258.25</v>
      </c>
      <c r="S2418" s="1">
        <v>1739.04</v>
      </c>
      <c r="T2418">
        <f t="shared" si="276"/>
        <v>204.304166666667</v>
      </c>
      <c r="U2418">
        <f t="shared" si="277"/>
        <v>2184</v>
      </c>
      <c r="V2418">
        <f>U2418</f>
        <v>2184</v>
      </c>
      <c r="W2418">
        <f t="shared" si="273"/>
        <v>4537.19666666667</v>
      </c>
      <c r="X2418">
        <f t="shared" si="274"/>
        <v>0.597482881523877</v>
      </c>
      <c r="AH2418" t="str">
        <f t="shared" si="275"/>
        <v>3rd Quality</v>
      </c>
      <c r="AJ2418">
        <f>((T2418-X2418)*2)/30.6</f>
        <v>13.3141623388982</v>
      </c>
      <c r="AK2418">
        <f t="shared" si="272"/>
        <v>165077.766666667</v>
      </c>
    </row>
    <row r="2419" spans="1:37">
      <c r="A2419" t="s">
        <v>2485</v>
      </c>
      <c r="B2419">
        <v>43</v>
      </c>
      <c r="C2419" t="s">
        <v>50</v>
      </c>
      <c r="D2419" t="s">
        <v>45</v>
      </c>
      <c r="E2419">
        <v>1343</v>
      </c>
      <c r="F2419">
        <v>51</v>
      </c>
      <c r="G2419">
        <v>1</v>
      </c>
      <c r="H2419">
        <v>7957.53</v>
      </c>
      <c r="I2419">
        <v>8621.81</v>
      </c>
      <c r="J2419">
        <v>15</v>
      </c>
      <c r="K2419">
        <v>0</v>
      </c>
      <c r="L2419">
        <v>8.8</v>
      </c>
      <c r="M2419">
        <v>22.9</v>
      </c>
      <c r="N2419" t="s">
        <v>52</v>
      </c>
      <c r="O2419" t="s">
        <v>47</v>
      </c>
      <c r="P2419" t="s">
        <v>48</v>
      </c>
      <c r="R2419">
        <f>SUMIF(A2419:A7418,"C02418",I2419:I7418)</f>
        <v>8621.81</v>
      </c>
      <c r="S2419" s="1">
        <v>111716.78</v>
      </c>
      <c r="T2419">
        <f t="shared" si="276"/>
        <v>574.787333333333</v>
      </c>
      <c r="U2419">
        <f t="shared" si="277"/>
        <v>343.5</v>
      </c>
      <c r="V2419">
        <f t="shared" si="271"/>
        <v>28.625</v>
      </c>
      <c r="W2419">
        <f t="shared" si="273"/>
        <v>5526.78</v>
      </c>
      <c r="X2419">
        <f t="shared" si="274"/>
        <v>0.168770962849025</v>
      </c>
      <c r="AH2419" t="str">
        <f t="shared" si="275"/>
        <v>3rd Quality</v>
      </c>
      <c r="AJ2419">
        <f>((T2419-X2419)*2)/8.8</f>
        <v>130.595127811474</v>
      </c>
      <c r="AK2419">
        <f t="shared" si="272"/>
        <v>771939.388666667</v>
      </c>
    </row>
    <row r="2420" spans="1:37">
      <c r="A2420" t="s">
        <v>2486</v>
      </c>
      <c r="B2420">
        <v>39</v>
      </c>
      <c r="C2420" t="s">
        <v>50</v>
      </c>
      <c r="D2420" t="s">
        <v>45</v>
      </c>
      <c r="E2420">
        <v>1028</v>
      </c>
      <c r="F2420">
        <v>4</v>
      </c>
      <c r="G2420">
        <v>23</v>
      </c>
      <c r="H2420">
        <v>2568.15</v>
      </c>
      <c r="I2420">
        <v>53678.05</v>
      </c>
      <c r="J2420">
        <v>143</v>
      </c>
      <c r="K2420">
        <v>2</v>
      </c>
      <c r="L2420">
        <v>7</v>
      </c>
      <c r="M2420">
        <v>44.3</v>
      </c>
      <c r="N2420" t="s">
        <v>81</v>
      </c>
      <c r="O2420" t="s">
        <v>47</v>
      </c>
      <c r="P2420" t="s">
        <v>48</v>
      </c>
      <c r="R2420">
        <f>SUMIF(A2420:A7419,"C02419",I2420:I7419)</f>
        <v>53678.05</v>
      </c>
      <c r="S2420" s="1">
        <v>88866.49</v>
      </c>
      <c r="T2420">
        <f t="shared" si="276"/>
        <v>375.370979020979</v>
      </c>
      <c r="U2420">
        <f t="shared" si="277"/>
        <v>6334.9</v>
      </c>
      <c r="V2420">
        <f>U2420</f>
        <v>6334.9</v>
      </c>
      <c r="W2420">
        <f t="shared" si="273"/>
        <v>18749.0666666667</v>
      </c>
      <c r="X2420">
        <f t="shared" si="274"/>
        <v>0.40028814516286</v>
      </c>
      <c r="AH2420" t="str">
        <f t="shared" si="275"/>
        <v>2nd Quality</v>
      </c>
      <c r="AJ2420">
        <f>((T2420-X2420)*2)/7</f>
        <v>107.134483107376</v>
      </c>
      <c r="AK2420">
        <f t="shared" si="272"/>
        <v>385881.366433566</v>
      </c>
    </row>
    <row r="2421" spans="1:37">
      <c r="A2421" t="s">
        <v>2487</v>
      </c>
      <c r="B2421">
        <v>20</v>
      </c>
      <c r="C2421" t="s">
        <v>44</v>
      </c>
      <c r="D2421" t="s">
        <v>60</v>
      </c>
      <c r="E2421">
        <v>867</v>
      </c>
      <c r="F2421">
        <v>252</v>
      </c>
      <c r="G2421">
        <v>1</v>
      </c>
      <c r="H2421">
        <v>1632.32</v>
      </c>
      <c r="I2421">
        <v>1739.04</v>
      </c>
      <c r="J2421">
        <v>15</v>
      </c>
      <c r="K2421">
        <v>0</v>
      </c>
      <c r="L2421">
        <v>10.6</v>
      </c>
      <c r="M2421">
        <v>27.5</v>
      </c>
      <c r="N2421" t="s">
        <v>52</v>
      </c>
      <c r="O2421" t="s">
        <v>47</v>
      </c>
      <c r="P2421" t="s">
        <v>66</v>
      </c>
      <c r="R2421">
        <f>SUMIF(A2421:A7420,"C02420",I2421:I7420)</f>
        <v>1739.04</v>
      </c>
      <c r="S2421" s="1">
        <v>4033.34</v>
      </c>
      <c r="T2421">
        <f t="shared" si="276"/>
        <v>115.936</v>
      </c>
      <c r="U2421">
        <f t="shared" si="277"/>
        <v>412.5</v>
      </c>
      <c r="V2421">
        <f t="shared" si="271"/>
        <v>34.375</v>
      </c>
      <c r="W2421">
        <f t="shared" si="273"/>
        <v>1124.12</v>
      </c>
      <c r="X2421">
        <f t="shared" si="274"/>
        <v>0.531145853754166</v>
      </c>
      <c r="AH2421" t="str">
        <f t="shared" si="275"/>
        <v>3rd Quality</v>
      </c>
      <c r="AJ2421">
        <f>((T2421-X2421)*2)/10.6</f>
        <v>21.7745007823105</v>
      </c>
      <c r="AK2421">
        <f t="shared" si="272"/>
        <v>100516.512</v>
      </c>
    </row>
    <row r="2422" spans="1:37">
      <c r="A2422" t="s">
        <v>2488</v>
      </c>
      <c r="B2422">
        <v>21</v>
      </c>
      <c r="C2422" t="s">
        <v>44</v>
      </c>
      <c r="D2422" t="s">
        <v>45</v>
      </c>
      <c r="E2422">
        <v>865</v>
      </c>
      <c r="F2422">
        <v>5</v>
      </c>
      <c r="G2422">
        <v>27</v>
      </c>
      <c r="H2422">
        <v>4433.46</v>
      </c>
      <c r="I2422">
        <v>111716.78</v>
      </c>
      <c r="J2422">
        <v>62</v>
      </c>
      <c r="K2422">
        <v>3</v>
      </c>
      <c r="L2422">
        <v>6.4</v>
      </c>
      <c r="M2422">
        <v>65.4</v>
      </c>
      <c r="N2422" t="s">
        <v>57</v>
      </c>
      <c r="O2422" t="s">
        <v>53</v>
      </c>
      <c r="P2422" t="s">
        <v>58</v>
      </c>
      <c r="R2422">
        <f>SUMIF(A2422:A7421,"C02421",I2422:I7421)</f>
        <v>111716.78</v>
      </c>
      <c r="S2422" s="1">
        <v>55049.04</v>
      </c>
      <c r="T2422">
        <f t="shared" si="276"/>
        <v>1801.8835483871</v>
      </c>
      <c r="U2422">
        <f t="shared" si="277"/>
        <v>4054.8</v>
      </c>
      <c r="V2422">
        <f>U2422</f>
        <v>4054.8</v>
      </c>
      <c r="W2422">
        <f t="shared" si="273"/>
        <v>38717.08</v>
      </c>
      <c r="X2422">
        <f t="shared" si="274"/>
        <v>0.195107207463245</v>
      </c>
      <c r="AH2422" t="str">
        <f t="shared" si="275"/>
        <v>2nd Quality</v>
      </c>
      <c r="AJ2422">
        <f>((T2422-X2422)*2)/6.4</f>
        <v>563.027637868636</v>
      </c>
      <c r="AK2422">
        <f t="shared" si="272"/>
        <v>1558629.26935484</v>
      </c>
    </row>
    <row r="2423" spans="1:37">
      <c r="A2423" t="s">
        <v>2489</v>
      </c>
      <c r="B2423">
        <v>44</v>
      </c>
      <c r="C2423" t="s">
        <v>44</v>
      </c>
      <c r="D2423" t="s">
        <v>45</v>
      </c>
      <c r="E2423">
        <v>1155</v>
      </c>
      <c r="F2423">
        <v>7</v>
      </c>
      <c r="G2423">
        <v>31</v>
      </c>
      <c r="H2423">
        <v>2599.42</v>
      </c>
      <c r="I2423">
        <v>88866.49</v>
      </c>
      <c r="J2423">
        <v>167</v>
      </c>
      <c r="K2423">
        <v>1</v>
      </c>
      <c r="L2423">
        <v>4.3</v>
      </c>
      <c r="M2423">
        <v>69</v>
      </c>
      <c r="N2423" t="s">
        <v>63</v>
      </c>
      <c r="O2423" t="s">
        <v>47</v>
      </c>
      <c r="P2423" t="s">
        <v>54</v>
      </c>
      <c r="R2423">
        <f>SUMIF(A2423:A7422,"C02422",I2423:I7422)</f>
        <v>88866.49</v>
      </c>
      <c r="S2423" s="1">
        <v>4296.17</v>
      </c>
      <c r="T2423">
        <f t="shared" si="276"/>
        <v>532.134670658683</v>
      </c>
      <c r="U2423">
        <f t="shared" si="277"/>
        <v>11523</v>
      </c>
      <c r="V2423">
        <f>U2423</f>
        <v>11523</v>
      </c>
      <c r="W2423">
        <f t="shared" si="273"/>
        <v>30488.97</v>
      </c>
      <c r="X2423">
        <f t="shared" si="274"/>
        <v>0.444329888975233</v>
      </c>
      <c r="AH2423" t="str">
        <f t="shared" si="275"/>
        <v>3rd Quality</v>
      </c>
      <c r="AJ2423">
        <f>((T2423-X2423)*2)/4.3</f>
        <v>247.297832916143</v>
      </c>
      <c r="AK2423">
        <f t="shared" si="272"/>
        <v>614615.544610779</v>
      </c>
    </row>
    <row r="2424" spans="1:37">
      <c r="A2424" t="s">
        <v>2490</v>
      </c>
      <c r="B2424">
        <v>22</v>
      </c>
      <c r="C2424" t="s">
        <v>101</v>
      </c>
      <c r="D2424" t="s">
        <v>60</v>
      </c>
      <c r="E2424">
        <v>637</v>
      </c>
      <c r="F2424">
        <v>274</v>
      </c>
      <c r="G2424">
        <v>6</v>
      </c>
      <c r="H2424">
        <v>647.67</v>
      </c>
      <c r="I2424">
        <v>4033.34</v>
      </c>
      <c r="J2424">
        <v>39</v>
      </c>
      <c r="K2424">
        <v>0</v>
      </c>
      <c r="L2424">
        <v>28.8</v>
      </c>
      <c r="M2424">
        <v>36.9</v>
      </c>
      <c r="N2424" t="s">
        <v>61</v>
      </c>
      <c r="O2424" t="s">
        <v>47</v>
      </c>
      <c r="P2424" t="s">
        <v>68</v>
      </c>
      <c r="R2424">
        <f>SUMIF(A2424:A7423,"C02423",I2424:I7423)</f>
        <v>4033.34</v>
      </c>
      <c r="S2424" s="1">
        <v>3395.88</v>
      </c>
      <c r="T2424">
        <f t="shared" si="276"/>
        <v>103.418974358974</v>
      </c>
      <c r="U2424">
        <f t="shared" si="277"/>
        <v>1439.1</v>
      </c>
      <c r="V2424">
        <f t="shared" si="271"/>
        <v>119.925</v>
      </c>
      <c r="W2424">
        <f t="shared" si="273"/>
        <v>1560.67</v>
      </c>
      <c r="X2424">
        <f t="shared" si="274"/>
        <v>0.983525560856609</v>
      </c>
      <c r="AH2424" t="str">
        <f t="shared" si="275"/>
        <v>3rd Quality</v>
      </c>
      <c r="AJ2424">
        <f>((T2424-X2424)*2)/28.8</f>
        <v>7.1135728332026</v>
      </c>
      <c r="AK2424">
        <f t="shared" si="272"/>
        <v>65877.8866666667</v>
      </c>
    </row>
    <row r="2425" spans="1:37">
      <c r="A2425" t="s">
        <v>2491</v>
      </c>
      <c r="B2425">
        <v>31</v>
      </c>
      <c r="C2425" t="s">
        <v>50</v>
      </c>
      <c r="D2425" t="s">
        <v>45</v>
      </c>
      <c r="E2425">
        <v>879</v>
      </c>
      <c r="F2425">
        <v>10</v>
      </c>
      <c r="G2425">
        <v>21</v>
      </c>
      <c r="H2425">
        <v>2665.43</v>
      </c>
      <c r="I2425">
        <v>55049.04</v>
      </c>
      <c r="J2425">
        <v>95</v>
      </c>
      <c r="K2425">
        <v>3</v>
      </c>
      <c r="L2425">
        <v>9.2</v>
      </c>
      <c r="M2425">
        <v>70.2</v>
      </c>
      <c r="N2425" t="s">
        <v>81</v>
      </c>
      <c r="O2425" t="s">
        <v>47</v>
      </c>
      <c r="P2425" t="s">
        <v>68</v>
      </c>
      <c r="R2425">
        <f>SUMIF(A2425:A7424,"C02424",I2425:I7424)</f>
        <v>55049.04</v>
      </c>
      <c r="S2425" s="1">
        <v>79463.86</v>
      </c>
      <c r="T2425">
        <f t="shared" si="276"/>
        <v>579.463578947368</v>
      </c>
      <c r="U2425">
        <f t="shared" si="277"/>
        <v>6669</v>
      </c>
      <c r="V2425">
        <f>U2425</f>
        <v>6669</v>
      </c>
      <c r="W2425">
        <f t="shared" si="273"/>
        <v>19238.49</v>
      </c>
      <c r="X2425">
        <f t="shared" si="274"/>
        <v>0.329777934517132</v>
      </c>
      <c r="AH2425" t="str">
        <f t="shared" si="275"/>
        <v>2nd Quality</v>
      </c>
      <c r="AJ2425">
        <f>((T2425-X2425)*2)/9.2</f>
        <v>125.898652394098</v>
      </c>
      <c r="AK2425">
        <f t="shared" si="272"/>
        <v>509348.485894737</v>
      </c>
    </row>
    <row r="2426" spans="1:37">
      <c r="A2426" t="s">
        <v>2492</v>
      </c>
      <c r="B2426">
        <v>22</v>
      </c>
      <c r="C2426" t="s">
        <v>50</v>
      </c>
      <c r="D2426" t="s">
        <v>60</v>
      </c>
      <c r="E2426">
        <v>1312</v>
      </c>
      <c r="F2426">
        <v>250</v>
      </c>
      <c r="G2426">
        <v>2</v>
      </c>
      <c r="H2426">
        <v>2412.3</v>
      </c>
      <c r="I2426">
        <v>4296.17</v>
      </c>
      <c r="J2426">
        <v>10</v>
      </c>
      <c r="K2426">
        <v>0</v>
      </c>
      <c r="L2426">
        <v>13.1</v>
      </c>
      <c r="M2426">
        <v>33.4</v>
      </c>
      <c r="N2426" t="s">
        <v>61</v>
      </c>
      <c r="O2426" t="s">
        <v>47</v>
      </c>
      <c r="P2426" t="s">
        <v>58</v>
      </c>
      <c r="R2426">
        <f>SUMIF(A2426:A7425,"C02425",I2426:I7425)</f>
        <v>4296.17</v>
      </c>
      <c r="S2426" s="1">
        <v>1643.41</v>
      </c>
      <c r="T2426">
        <f t="shared" si="276"/>
        <v>429.617</v>
      </c>
      <c r="U2426">
        <f t="shared" si="277"/>
        <v>334</v>
      </c>
      <c r="V2426">
        <f t="shared" si="271"/>
        <v>27.8333333333333</v>
      </c>
      <c r="W2426">
        <f t="shared" si="273"/>
        <v>2236.49</v>
      </c>
      <c r="X2426">
        <f t="shared" si="274"/>
        <v>0.543879285329354</v>
      </c>
      <c r="AH2426" t="str">
        <f t="shared" si="275"/>
        <v>3rd Quality</v>
      </c>
      <c r="AJ2426">
        <f>((T2426-X2426)*2)/13.1</f>
        <v>65.5073466739955</v>
      </c>
      <c r="AK2426">
        <f t="shared" si="272"/>
        <v>563657.504</v>
      </c>
    </row>
    <row r="2427" spans="1:37">
      <c r="A2427" t="s">
        <v>2493</v>
      </c>
      <c r="B2427">
        <v>48</v>
      </c>
      <c r="C2427" t="s">
        <v>50</v>
      </c>
      <c r="D2427" t="s">
        <v>45</v>
      </c>
      <c r="E2427">
        <v>1395</v>
      </c>
      <c r="F2427">
        <v>167</v>
      </c>
      <c r="G2427">
        <v>4</v>
      </c>
      <c r="H2427">
        <v>827.68</v>
      </c>
      <c r="I2427">
        <v>3395.88</v>
      </c>
      <c r="J2427">
        <v>38</v>
      </c>
      <c r="K2427">
        <v>2</v>
      </c>
      <c r="L2427">
        <v>24.5</v>
      </c>
      <c r="M2427">
        <v>41</v>
      </c>
      <c r="N2427" t="s">
        <v>46</v>
      </c>
      <c r="O2427" t="s">
        <v>53</v>
      </c>
      <c r="P2427" t="s">
        <v>58</v>
      </c>
      <c r="R2427">
        <f>SUMIF(A2427:A7426,"C02426",I2427:I7426)</f>
        <v>3395.88</v>
      </c>
      <c r="S2427" s="1">
        <v>119812.1</v>
      </c>
      <c r="T2427">
        <f t="shared" si="276"/>
        <v>89.3652631578947</v>
      </c>
      <c r="U2427">
        <f t="shared" si="277"/>
        <v>1558</v>
      </c>
      <c r="V2427">
        <f>U2427</f>
        <v>1558</v>
      </c>
      <c r="W2427">
        <f t="shared" si="273"/>
        <v>1408.18666666667</v>
      </c>
      <c r="X2427">
        <f t="shared" si="274"/>
        <v>1.68543398414846</v>
      </c>
      <c r="AH2427" t="str">
        <f t="shared" si="275"/>
        <v>3rd Quality</v>
      </c>
      <c r="AJ2427">
        <f>((T2427-X2427)*2)/24.5</f>
        <v>7.15753707540786</v>
      </c>
      <c r="AK2427">
        <f t="shared" si="272"/>
        <v>124664.542105263</v>
      </c>
    </row>
    <row r="2428" spans="1:37">
      <c r="A2428" t="s">
        <v>2494</v>
      </c>
      <c r="B2428">
        <v>18</v>
      </c>
      <c r="C2428" t="s">
        <v>50</v>
      </c>
      <c r="D2428" t="s">
        <v>45</v>
      </c>
      <c r="E2428">
        <v>417</v>
      </c>
      <c r="F2428">
        <v>11</v>
      </c>
      <c r="G2428">
        <v>23</v>
      </c>
      <c r="H2428">
        <v>3559.13</v>
      </c>
      <c r="I2428">
        <v>79463.86</v>
      </c>
      <c r="J2428">
        <v>146</v>
      </c>
      <c r="K2428">
        <v>1</v>
      </c>
      <c r="L2428">
        <v>13.4</v>
      </c>
      <c r="M2428">
        <v>55.8</v>
      </c>
      <c r="N2428" t="s">
        <v>52</v>
      </c>
      <c r="O2428" t="s">
        <v>47</v>
      </c>
      <c r="P2428" t="s">
        <v>58</v>
      </c>
      <c r="R2428">
        <f>SUMIF(A2428:A7427,"C02427",I2428:I7427)</f>
        <v>79463.86</v>
      </c>
      <c r="S2428" s="1">
        <v>2265.69</v>
      </c>
      <c r="T2428">
        <f t="shared" si="276"/>
        <v>544.27301369863</v>
      </c>
      <c r="U2428">
        <f t="shared" si="277"/>
        <v>8146.8</v>
      </c>
      <c r="V2428">
        <f>U2428</f>
        <v>8146.8</v>
      </c>
      <c r="W2428">
        <f t="shared" si="273"/>
        <v>27674.6633333333</v>
      </c>
      <c r="X2428">
        <f t="shared" si="274"/>
        <v>0.117163464104992</v>
      </c>
      <c r="AH2428" t="str">
        <f t="shared" si="275"/>
        <v>3rd Quality</v>
      </c>
      <c r="AJ2428">
        <f>((T2428-X2428)*2)/13.4</f>
        <v>81.2172910797799</v>
      </c>
      <c r="AK2428">
        <f t="shared" si="272"/>
        <v>226961.846712329</v>
      </c>
    </row>
    <row r="2429" spans="1:37">
      <c r="A2429" t="s">
        <v>2495</v>
      </c>
      <c r="B2429">
        <v>40</v>
      </c>
      <c r="C2429" t="s">
        <v>44</v>
      </c>
      <c r="D2429" t="s">
        <v>51</v>
      </c>
      <c r="E2429">
        <v>1163</v>
      </c>
      <c r="F2429">
        <v>160</v>
      </c>
      <c r="G2429">
        <v>1</v>
      </c>
      <c r="H2429">
        <v>1533.62</v>
      </c>
      <c r="I2429">
        <v>1643.41</v>
      </c>
      <c r="J2429">
        <v>19</v>
      </c>
      <c r="K2429">
        <v>0</v>
      </c>
      <c r="L2429">
        <v>33.9</v>
      </c>
      <c r="M2429">
        <v>48.6</v>
      </c>
      <c r="N2429" t="s">
        <v>78</v>
      </c>
      <c r="O2429" t="s">
        <v>47</v>
      </c>
      <c r="P2429" t="s">
        <v>68</v>
      </c>
      <c r="R2429">
        <f>SUMIF(A2429:A7428,"C02428",I2429:I7428)</f>
        <v>1643.41</v>
      </c>
      <c r="S2429" s="1">
        <v>1971.92</v>
      </c>
      <c r="T2429">
        <f t="shared" si="276"/>
        <v>86.4952631578947</v>
      </c>
      <c r="U2429">
        <f t="shared" si="277"/>
        <v>923.4</v>
      </c>
      <c r="V2429">
        <f t="shared" si="271"/>
        <v>76.95</v>
      </c>
      <c r="W2429">
        <f t="shared" si="273"/>
        <v>1059.34333333333</v>
      </c>
      <c r="X2429">
        <f t="shared" si="274"/>
        <v>0.758336484918037</v>
      </c>
      <c r="AH2429" t="str">
        <f t="shared" si="275"/>
        <v>3rd Quality</v>
      </c>
      <c r="AJ2429">
        <f>((T2429-X2429)*2)/33.9</f>
        <v>5.0582257624175</v>
      </c>
      <c r="AK2429">
        <f t="shared" si="272"/>
        <v>100593.991052632</v>
      </c>
    </row>
    <row r="2430" spans="1:37">
      <c r="A2430" t="s">
        <v>2496</v>
      </c>
      <c r="B2430">
        <v>23</v>
      </c>
      <c r="C2430" t="s">
        <v>44</v>
      </c>
      <c r="D2430" t="s">
        <v>60</v>
      </c>
      <c r="E2430">
        <v>1287</v>
      </c>
      <c r="F2430">
        <v>54</v>
      </c>
      <c r="G2430">
        <v>4</v>
      </c>
      <c r="H2430">
        <v>27986.87</v>
      </c>
      <c r="I2430">
        <v>119812.1</v>
      </c>
      <c r="J2430">
        <v>16</v>
      </c>
      <c r="K2430">
        <v>0</v>
      </c>
      <c r="L2430">
        <v>0.3</v>
      </c>
      <c r="M2430">
        <v>43.7</v>
      </c>
      <c r="N2430" t="s">
        <v>61</v>
      </c>
      <c r="O2430" t="s">
        <v>47</v>
      </c>
      <c r="P2430" t="s">
        <v>58</v>
      </c>
      <c r="R2430">
        <f>SUMIF(A2430:A7429,"C02429",I2430:I7429)</f>
        <v>119812.1</v>
      </c>
      <c r="S2430" s="1">
        <v>499.38</v>
      </c>
      <c r="T2430">
        <f t="shared" si="276"/>
        <v>7488.25625</v>
      </c>
      <c r="U2430">
        <f t="shared" si="277"/>
        <v>699.2</v>
      </c>
      <c r="V2430">
        <f t="shared" si="271"/>
        <v>58.2666666666667</v>
      </c>
      <c r="W2430">
        <f t="shared" si="273"/>
        <v>49266.6566666667</v>
      </c>
      <c r="X2430">
        <f t="shared" si="274"/>
        <v>0.0459858497931351</v>
      </c>
      <c r="AH2430" t="str">
        <f t="shared" si="275"/>
        <v>1st Quality</v>
      </c>
      <c r="AJ2430">
        <f>((T2430-X2430)*2)/0.3</f>
        <v>49921.4017610014</v>
      </c>
      <c r="AK2430">
        <f t="shared" si="272"/>
        <v>9637385.79375</v>
      </c>
    </row>
    <row r="2431" spans="1:37">
      <c r="A2431" t="s">
        <v>2497</v>
      </c>
      <c r="B2431">
        <v>40</v>
      </c>
      <c r="C2431" t="s">
        <v>44</v>
      </c>
      <c r="D2431" t="s">
        <v>60</v>
      </c>
      <c r="E2431">
        <v>840</v>
      </c>
      <c r="F2431">
        <v>61</v>
      </c>
      <c r="G2431">
        <v>2</v>
      </c>
      <c r="H2431">
        <v>1084.18</v>
      </c>
      <c r="I2431">
        <v>2265.69</v>
      </c>
      <c r="J2431">
        <v>24</v>
      </c>
      <c r="K2431">
        <v>0</v>
      </c>
      <c r="L2431">
        <v>28.6</v>
      </c>
      <c r="M2431">
        <v>41.2</v>
      </c>
      <c r="N2431" t="s">
        <v>52</v>
      </c>
      <c r="O2431" t="s">
        <v>47</v>
      </c>
      <c r="P2431" t="s">
        <v>66</v>
      </c>
      <c r="R2431">
        <f>SUMIF(A2431:A7430,"C02430",I2431:I7430)</f>
        <v>2265.69</v>
      </c>
      <c r="S2431" s="1">
        <v>54601.39</v>
      </c>
      <c r="T2431">
        <f t="shared" si="276"/>
        <v>94.40375</v>
      </c>
      <c r="U2431">
        <f t="shared" si="277"/>
        <v>988.8</v>
      </c>
      <c r="V2431">
        <f t="shared" si="271"/>
        <v>82.4</v>
      </c>
      <c r="W2431">
        <f t="shared" si="273"/>
        <v>1116.95666666667</v>
      </c>
      <c r="X2431">
        <f t="shared" si="274"/>
        <v>0.774779095722113</v>
      </c>
      <c r="AH2431" t="str">
        <f t="shared" si="275"/>
        <v>3rd Quality</v>
      </c>
      <c r="AJ2431">
        <f>((T2431-X2431)*2)/28.6</f>
        <v>6.54748048281664</v>
      </c>
      <c r="AK2431">
        <f t="shared" si="272"/>
        <v>79299.15</v>
      </c>
    </row>
    <row r="2432" spans="1:37">
      <c r="A2432" t="s">
        <v>2498</v>
      </c>
      <c r="B2432">
        <v>40</v>
      </c>
      <c r="C2432" t="s">
        <v>44</v>
      </c>
      <c r="D2432" t="s">
        <v>51</v>
      </c>
      <c r="E2432">
        <v>624</v>
      </c>
      <c r="F2432">
        <v>34</v>
      </c>
      <c r="G2432">
        <v>2</v>
      </c>
      <c r="H2432">
        <v>1044.14</v>
      </c>
      <c r="I2432">
        <v>1971.92</v>
      </c>
      <c r="J2432">
        <v>19</v>
      </c>
      <c r="K2432">
        <v>0</v>
      </c>
      <c r="L2432">
        <v>23</v>
      </c>
      <c r="M2432">
        <v>1.4</v>
      </c>
      <c r="N2432" t="s">
        <v>61</v>
      </c>
      <c r="O2432" t="s">
        <v>47</v>
      </c>
      <c r="P2432" t="s">
        <v>68</v>
      </c>
      <c r="R2432">
        <f>SUMIF(A2432:A7431,"C02431",I2432:I7431)</f>
        <v>1971.92</v>
      </c>
      <c r="S2432" s="1">
        <v>12297.37</v>
      </c>
      <c r="T2432">
        <f t="shared" si="276"/>
        <v>103.785263157895</v>
      </c>
      <c r="U2432">
        <f t="shared" si="277"/>
        <v>26.6</v>
      </c>
      <c r="V2432">
        <f t="shared" si="271"/>
        <v>2.21666666666667</v>
      </c>
      <c r="W2432">
        <f t="shared" si="273"/>
        <v>1005.68666666667</v>
      </c>
      <c r="X2432">
        <f t="shared" si="274"/>
        <v>0.597621008676997</v>
      </c>
      <c r="AH2432" t="str">
        <f t="shared" si="275"/>
        <v>3rd Quality</v>
      </c>
      <c r="AJ2432">
        <f>((T2432-X2432)*2)/23</f>
        <v>8.97283844775809</v>
      </c>
      <c r="AK2432">
        <f t="shared" si="272"/>
        <v>64762.0042105263</v>
      </c>
    </row>
    <row r="2433" spans="1:37">
      <c r="A2433" t="s">
        <v>2499</v>
      </c>
      <c r="B2433">
        <v>37</v>
      </c>
      <c r="C2433" t="s">
        <v>44</v>
      </c>
      <c r="D2433" t="s">
        <v>60</v>
      </c>
      <c r="E2433">
        <v>913</v>
      </c>
      <c r="F2433">
        <v>105</v>
      </c>
      <c r="G2433">
        <v>1</v>
      </c>
      <c r="H2433">
        <v>541.92</v>
      </c>
      <c r="I2433">
        <v>499.38</v>
      </c>
      <c r="J2433">
        <v>11</v>
      </c>
      <c r="K2433">
        <v>0</v>
      </c>
      <c r="L2433">
        <v>47.3</v>
      </c>
      <c r="M2433">
        <v>37.8</v>
      </c>
      <c r="N2433" t="s">
        <v>52</v>
      </c>
      <c r="O2433" t="s">
        <v>47</v>
      </c>
      <c r="P2433" t="s">
        <v>58</v>
      </c>
      <c r="R2433">
        <f>SUMIF(A2433:A7432,"C02432",I2433:I7432)</f>
        <v>499.38</v>
      </c>
      <c r="S2433" s="1">
        <v>2485.2</v>
      </c>
      <c r="T2433">
        <f t="shared" si="276"/>
        <v>45.3981818181818</v>
      </c>
      <c r="U2433">
        <f t="shared" si="277"/>
        <v>415.8</v>
      </c>
      <c r="V2433">
        <f t="shared" ref="V2433:V2449" si="278">U2433/12</f>
        <v>34.65</v>
      </c>
      <c r="W2433">
        <f t="shared" si="273"/>
        <v>347.433333333333</v>
      </c>
      <c r="X2433">
        <f t="shared" si="274"/>
        <v>1.68475051668143</v>
      </c>
      <c r="AH2433" t="str">
        <f t="shared" si="275"/>
        <v>3rd Quality</v>
      </c>
      <c r="AJ2433">
        <f>((T2433-X2433)*2)/47.3</f>
        <v>1.84834804657507</v>
      </c>
      <c r="AK2433">
        <f t="shared" si="272"/>
        <v>41448.54</v>
      </c>
    </row>
    <row r="2434" spans="1:37">
      <c r="A2434" t="s">
        <v>2500</v>
      </c>
      <c r="B2434">
        <v>49</v>
      </c>
      <c r="C2434" t="s">
        <v>44</v>
      </c>
      <c r="D2434" t="s">
        <v>60</v>
      </c>
      <c r="E2434">
        <v>1353</v>
      </c>
      <c r="F2434">
        <v>21</v>
      </c>
      <c r="G2434">
        <v>5</v>
      </c>
      <c r="H2434">
        <v>10927.99</v>
      </c>
      <c r="I2434">
        <v>54601.39</v>
      </c>
      <c r="J2434">
        <v>45</v>
      </c>
      <c r="K2434">
        <v>2</v>
      </c>
      <c r="L2434">
        <v>0</v>
      </c>
      <c r="M2434">
        <v>12.3</v>
      </c>
      <c r="N2434" t="s">
        <v>61</v>
      </c>
      <c r="O2434" t="s">
        <v>75</v>
      </c>
      <c r="P2434" t="s">
        <v>68</v>
      </c>
      <c r="R2434">
        <f>SUMIF(A2434:A7433,"C02433",I2434:I7433)</f>
        <v>54601.39</v>
      </c>
      <c r="S2434" s="1">
        <v>1476.35</v>
      </c>
      <c r="T2434">
        <f t="shared" si="276"/>
        <v>1213.36422222222</v>
      </c>
      <c r="U2434">
        <f t="shared" si="277"/>
        <v>553.5</v>
      </c>
      <c r="V2434">
        <f>U2434</f>
        <v>553.5</v>
      </c>
      <c r="W2434">
        <f t="shared" si="273"/>
        <v>21843.46</v>
      </c>
      <c r="X2434">
        <f t="shared" si="274"/>
        <v>0.123810508611373</v>
      </c>
      <c r="AH2434" t="str">
        <f t="shared" si="275"/>
        <v>3rd Quality</v>
      </c>
      <c r="AJ2434">
        <f>((T2434-X2434)*2)</f>
        <v>2426.48082342722</v>
      </c>
      <c r="AK2434">
        <f t="shared" si="272"/>
        <v>1641681.79266667</v>
      </c>
    </row>
    <row r="2435" spans="1:37">
      <c r="A2435" t="s">
        <v>2501</v>
      </c>
      <c r="B2435">
        <v>55</v>
      </c>
      <c r="C2435" t="s">
        <v>50</v>
      </c>
      <c r="D2435" t="s">
        <v>45</v>
      </c>
      <c r="E2435">
        <v>569</v>
      </c>
      <c r="F2435">
        <v>69</v>
      </c>
      <c r="G2435">
        <v>9</v>
      </c>
      <c r="H2435">
        <v>1382.18</v>
      </c>
      <c r="I2435">
        <v>12297.37</v>
      </c>
      <c r="J2435">
        <v>34</v>
      </c>
      <c r="K2435">
        <v>1</v>
      </c>
      <c r="L2435">
        <v>23.8</v>
      </c>
      <c r="M2435">
        <v>10.1</v>
      </c>
      <c r="N2435" t="s">
        <v>81</v>
      </c>
      <c r="O2435" t="s">
        <v>47</v>
      </c>
      <c r="P2435" t="s">
        <v>66</v>
      </c>
      <c r="R2435">
        <f>SUMIF(A2435:A7434,"C02434",I2435:I7434)</f>
        <v>12297.37</v>
      </c>
      <c r="S2435" s="1">
        <v>40961.88</v>
      </c>
      <c r="T2435">
        <f t="shared" si="276"/>
        <v>361.687352941176</v>
      </c>
      <c r="U2435">
        <f t="shared" si="277"/>
        <v>343.4</v>
      </c>
      <c r="V2435">
        <f>U2435</f>
        <v>343.4</v>
      </c>
      <c r="W2435">
        <f t="shared" si="273"/>
        <v>4560.18333333333</v>
      </c>
      <c r="X2435">
        <f t="shared" si="274"/>
        <v>0.411668523636574</v>
      </c>
      <c r="AH2435" t="str">
        <f t="shared" si="275"/>
        <v>3rd Quality</v>
      </c>
      <c r="AJ2435">
        <f>((T2435-X2435)*2)/23.8</f>
        <v>30.3593012115579</v>
      </c>
      <c r="AK2435">
        <f t="shared" ref="AK2435:AK2498" si="279">I2435/J2435*E2435</f>
        <v>205800.103823529</v>
      </c>
    </row>
    <row r="2436" spans="1:37">
      <c r="A2436" t="s">
        <v>2502</v>
      </c>
      <c r="B2436">
        <v>18</v>
      </c>
      <c r="C2436" t="s">
        <v>101</v>
      </c>
      <c r="D2436" t="s">
        <v>60</v>
      </c>
      <c r="E2436">
        <v>715</v>
      </c>
      <c r="F2436">
        <v>67</v>
      </c>
      <c r="G2436">
        <v>2</v>
      </c>
      <c r="H2436">
        <v>1193.08</v>
      </c>
      <c r="I2436">
        <v>2485.2</v>
      </c>
      <c r="J2436">
        <v>16</v>
      </c>
      <c r="K2436">
        <v>0</v>
      </c>
      <c r="L2436">
        <v>32.1</v>
      </c>
      <c r="M2436">
        <v>25</v>
      </c>
      <c r="N2436" t="s">
        <v>63</v>
      </c>
      <c r="O2436" t="s">
        <v>75</v>
      </c>
      <c r="P2436" t="s">
        <v>58</v>
      </c>
      <c r="R2436">
        <f>SUMIF(A2436:A7435,"C02435",I2436:I7435)</f>
        <v>2485.2</v>
      </c>
      <c r="S2436" s="1">
        <v>3194.61</v>
      </c>
      <c r="T2436">
        <f t="shared" si="276"/>
        <v>155.325</v>
      </c>
      <c r="U2436">
        <f t="shared" si="277"/>
        <v>400</v>
      </c>
      <c r="V2436">
        <f t="shared" si="278"/>
        <v>33.3333333333333</v>
      </c>
      <c r="W2436">
        <f t="shared" si="273"/>
        <v>1226.42666666667</v>
      </c>
      <c r="X2436">
        <f t="shared" si="274"/>
        <v>0.599289234586113</v>
      </c>
      <c r="AH2436" t="str">
        <f t="shared" si="275"/>
        <v>3rd Quality</v>
      </c>
      <c r="AJ2436">
        <f>((T2436-X2436)*2)/32.1</f>
        <v>9.64023120033731</v>
      </c>
      <c r="AK2436">
        <f t="shared" si="279"/>
        <v>111057.375</v>
      </c>
    </row>
    <row r="2437" spans="1:37">
      <c r="A2437" t="s">
        <v>2503</v>
      </c>
      <c r="B2437">
        <v>32</v>
      </c>
      <c r="C2437" t="s">
        <v>50</v>
      </c>
      <c r="D2437" t="s">
        <v>45</v>
      </c>
      <c r="E2437">
        <v>1396</v>
      </c>
      <c r="F2437">
        <v>365</v>
      </c>
      <c r="G2437">
        <v>1</v>
      </c>
      <c r="H2437">
        <v>1464.81</v>
      </c>
      <c r="I2437">
        <v>1476.35</v>
      </c>
      <c r="J2437">
        <v>12</v>
      </c>
      <c r="K2437">
        <v>0</v>
      </c>
      <c r="L2437">
        <v>12.3</v>
      </c>
      <c r="M2437">
        <v>21</v>
      </c>
      <c r="N2437" t="s">
        <v>63</v>
      </c>
      <c r="O2437" t="s">
        <v>47</v>
      </c>
      <c r="P2437" t="s">
        <v>48</v>
      </c>
      <c r="R2437">
        <f>SUMIF(A2437:A7436,"C02436",I2437:I7436)</f>
        <v>1476.35</v>
      </c>
      <c r="S2437" s="1">
        <v>19462.31</v>
      </c>
      <c r="T2437">
        <f t="shared" si="276"/>
        <v>123.029166666667</v>
      </c>
      <c r="U2437">
        <f t="shared" si="277"/>
        <v>252</v>
      </c>
      <c r="V2437">
        <f t="shared" si="278"/>
        <v>21</v>
      </c>
      <c r="W2437">
        <f t="shared" si="273"/>
        <v>980.72</v>
      </c>
      <c r="X2437">
        <f t="shared" si="274"/>
        <v>0.953024624354012</v>
      </c>
      <c r="AH2437" t="str">
        <f t="shared" si="275"/>
        <v>3rd Quality</v>
      </c>
      <c r="AJ2437">
        <f>((T2437-X2437)*2)/12.3</f>
        <v>19.849779193872</v>
      </c>
      <c r="AK2437">
        <f t="shared" si="279"/>
        <v>171748.716666667</v>
      </c>
    </row>
    <row r="2438" spans="1:37">
      <c r="A2438" t="s">
        <v>2504</v>
      </c>
      <c r="B2438">
        <v>27</v>
      </c>
      <c r="C2438" t="s">
        <v>44</v>
      </c>
      <c r="D2438" t="s">
        <v>45</v>
      </c>
      <c r="E2438">
        <v>1091</v>
      </c>
      <c r="F2438">
        <v>81</v>
      </c>
      <c r="G2438">
        <v>4</v>
      </c>
      <c r="H2438">
        <v>10252.94</v>
      </c>
      <c r="I2438">
        <v>40961.88</v>
      </c>
      <c r="J2438">
        <v>26</v>
      </c>
      <c r="K2438">
        <v>0</v>
      </c>
      <c r="L2438">
        <v>0</v>
      </c>
      <c r="M2438">
        <v>24.9</v>
      </c>
      <c r="N2438" t="s">
        <v>46</v>
      </c>
      <c r="O2438" t="s">
        <v>47</v>
      </c>
      <c r="P2438" t="s">
        <v>68</v>
      </c>
      <c r="R2438">
        <f>SUMIF(A2438:A7437,"C02437",I2438:I7437)</f>
        <v>40961.88</v>
      </c>
      <c r="S2438" s="1">
        <v>5032.33</v>
      </c>
      <c r="T2438">
        <f t="shared" si="276"/>
        <v>1575.45692307692</v>
      </c>
      <c r="U2438">
        <f t="shared" si="277"/>
        <v>647.4</v>
      </c>
      <c r="V2438">
        <f t="shared" si="278"/>
        <v>53.95</v>
      </c>
      <c r="W2438">
        <f t="shared" si="273"/>
        <v>17071.94</v>
      </c>
      <c r="X2438">
        <f t="shared" si="274"/>
        <v>0.106408503317097</v>
      </c>
      <c r="AH2438" t="str">
        <f t="shared" si="275"/>
        <v>1st Quality</v>
      </c>
      <c r="AJ2438">
        <f>((T2438-X2438)*2)</f>
        <v>3150.70102914721</v>
      </c>
      <c r="AK2438">
        <f t="shared" si="279"/>
        <v>1718823.50307692</v>
      </c>
    </row>
    <row r="2439" spans="1:37">
      <c r="A2439" t="s">
        <v>2505</v>
      </c>
      <c r="B2439">
        <v>44</v>
      </c>
      <c r="C2439" t="s">
        <v>44</v>
      </c>
      <c r="D2439" t="s">
        <v>45</v>
      </c>
      <c r="E2439">
        <v>648</v>
      </c>
      <c r="F2439">
        <v>235</v>
      </c>
      <c r="G2439">
        <v>3</v>
      </c>
      <c r="H2439">
        <v>1069.8</v>
      </c>
      <c r="I2439">
        <v>3194.61</v>
      </c>
      <c r="J2439">
        <v>26</v>
      </c>
      <c r="K2439">
        <v>0</v>
      </c>
      <c r="L2439">
        <v>27</v>
      </c>
      <c r="M2439">
        <v>25.1</v>
      </c>
      <c r="N2439" t="s">
        <v>57</v>
      </c>
      <c r="O2439" t="s">
        <v>47</v>
      </c>
      <c r="P2439" t="s">
        <v>68</v>
      </c>
      <c r="R2439">
        <f>SUMIF(A2439:A7438,"C02438",I2439:I7438)</f>
        <v>3194.61</v>
      </c>
      <c r="S2439" s="1">
        <v>2533.11</v>
      </c>
      <c r="T2439">
        <f t="shared" si="276"/>
        <v>122.869615384615</v>
      </c>
      <c r="U2439">
        <f t="shared" si="277"/>
        <v>652.6</v>
      </c>
      <c r="V2439">
        <f t="shared" si="278"/>
        <v>54.3833333333333</v>
      </c>
      <c r="W2439">
        <f t="shared" si="273"/>
        <v>1421.80333333333</v>
      </c>
      <c r="X2439">
        <f t="shared" si="274"/>
        <v>0.605720695457095</v>
      </c>
      <c r="AH2439" t="str">
        <f t="shared" si="275"/>
        <v>3rd Quality</v>
      </c>
      <c r="AJ2439">
        <f>((T2439-X2439)*2)/27</f>
        <v>9.05658479178947</v>
      </c>
      <c r="AK2439">
        <f t="shared" si="279"/>
        <v>79619.5107692308</v>
      </c>
    </row>
    <row r="2440" spans="1:37">
      <c r="A2440" t="s">
        <v>2506</v>
      </c>
      <c r="B2440">
        <v>45</v>
      </c>
      <c r="C2440" t="s">
        <v>44</v>
      </c>
      <c r="D2440" t="s">
        <v>51</v>
      </c>
      <c r="E2440">
        <v>1110</v>
      </c>
      <c r="F2440">
        <v>57</v>
      </c>
      <c r="G2440">
        <v>7</v>
      </c>
      <c r="H2440">
        <v>2777.5</v>
      </c>
      <c r="I2440">
        <v>19462.31</v>
      </c>
      <c r="J2440">
        <v>36</v>
      </c>
      <c r="K2440">
        <v>1</v>
      </c>
      <c r="L2440">
        <v>15.9</v>
      </c>
      <c r="M2440">
        <v>12</v>
      </c>
      <c r="N2440" t="s">
        <v>52</v>
      </c>
      <c r="O2440" t="s">
        <v>47</v>
      </c>
      <c r="P2440" t="s">
        <v>58</v>
      </c>
      <c r="R2440">
        <f>SUMIF(A2440:A7439,"C02439",I2440:I7439)</f>
        <v>19462.31</v>
      </c>
      <c r="S2440" s="1">
        <v>74623.75</v>
      </c>
      <c r="T2440">
        <f t="shared" si="276"/>
        <v>540.619722222222</v>
      </c>
      <c r="U2440">
        <f t="shared" si="277"/>
        <v>432</v>
      </c>
      <c r="V2440">
        <f>U2440</f>
        <v>432</v>
      </c>
      <c r="W2440">
        <f t="shared" si="273"/>
        <v>7413.60333333333</v>
      </c>
      <c r="X2440">
        <f t="shared" si="274"/>
        <v>0.3996399639964</v>
      </c>
      <c r="AH2440" t="str">
        <f t="shared" si="275"/>
        <v>3rd Quality</v>
      </c>
      <c r="AJ2440">
        <f>((T2440-X2440)*2)/15.9</f>
        <v>67.9522116048083</v>
      </c>
      <c r="AK2440">
        <f t="shared" si="279"/>
        <v>600087.891666667</v>
      </c>
    </row>
    <row r="2441" spans="1:37">
      <c r="A2441" t="s">
        <v>2507</v>
      </c>
      <c r="B2441">
        <v>18</v>
      </c>
      <c r="C2441" t="s">
        <v>50</v>
      </c>
      <c r="D2441" t="s">
        <v>60</v>
      </c>
      <c r="E2441">
        <v>567</v>
      </c>
      <c r="F2441">
        <v>55</v>
      </c>
      <c r="G2441">
        <v>3</v>
      </c>
      <c r="H2441">
        <v>1539.9</v>
      </c>
      <c r="I2441">
        <v>5032.33</v>
      </c>
      <c r="J2441">
        <v>28</v>
      </c>
      <c r="K2441">
        <v>0</v>
      </c>
      <c r="L2441">
        <v>30.3</v>
      </c>
      <c r="M2441">
        <v>39.7</v>
      </c>
      <c r="N2441" t="s">
        <v>52</v>
      </c>
      <c r="O2441" t="s">
        <v>75</v>
      </c>
      <c r="P2441" t="s">
        <v>66</v>
      </c>
      <c r="R2441">
        <f>SUMIF(A2441:A7440,"C02440",I2441:I7440)</f>
        <v>5032.33</v>
      </c>
      <c r="S2441" s="1">
        <v>40558.5</v>
      </c>
      <c r="T2441">
        <f t="shared" si="276"/>
        <v>179.726071428571</v>
      </c>
      <c r="U2441">
        <f t="shared" si="277"/>
        <v>1111.6</v>
      </c>
      <c r="V2441">
        <f t="shared" si="278"/>
        <v>92.6333333333333</v>
      </c>
      <c r="W2441">
        <f t="shared" ref="W2441:W2504" si="280">(H2441+I2441+1)/3</f>
        <v>2191.07666666667</v>
      </c>
      <c r="X2441">
        <f t="shared" si="274"/>
        <v>0.368205727644652</v>
      </c>
      <c r="AH2441" t="str">
        <f t="shared" si="275"/>
        <v>3rd Quality</v>
      </c>
      <c r="AJ2441">
        <f>((T2441-X2441)*2)/30.3</f>
        <v>11.8388030165628</v>
      </c>
      <c r="AK2441">
        <f t="shared" si="279"/>
        <v>101904.6825</v>
      </c>
    </row>
    <row r="2442" spans="1:37">
      <c r="A2442" t="s">
        <v>2508</v>
      </c>
      <c r="B2442">
        <v>33</v>
      </c>
      <c r="C2442" t="s">
        <v>44</v>
      </c>
      <c r="D2442" t="s">
        <v>45</v>
      </c>
      <c r="E2442">
        <v>1155</v>
      </c>
      <c r="F2442">
        <v>167</v>
      </c>
      <c r="G2442">
        <v>1</v>
      </c>
      <c r="H2442">
        <v>2750.37</v>
      </c>
      <c r="I2442">
        <v>2533.11</v>
      </c>
      <c r="J2442">
        <v>18</v>
      </c>
      <c r="K2442">
        <v>0</v>
      </c>
      <c r="L2442">
        <v>11.1</v>
      </c>
      <c r="M2442">
        <v>21.3</v>
      </c>
      <c r="N2442" t="s">
        <v>78</v>
      </c>
      <c r="O2442" t="s">
        <v>47</v>
      </c>
      <c r="P2442" t="s">
        <v>58</v>
      </c>
      <c r="R2442">
        <f>SUMIF(A2442:A7441,"C02441",I2442:I7441)</f>
        <v>2533.11</v>
      </c>
      <c r="S2442" s="1">
        <v>47802.14</v>
      </c>
      <c r="T2442">
        <f t="shared" si="276"/>
        <v>140.728333333333</v>
      </c>
      <c r="U2442">
        <f t="shared" si="277"/>
        <v>383.4</v>
      </c>
      <c r="V2442">
        <f t="shared" si="278"/>
        <v>31.95</v>
      </c>
      <c r="W2442">
        <f t="shared" si="280"/>
        <v>1761.49333333333</v>
      </c>
      <c r="X2442">
        <f t="shared" si="274"/>
        <v>0.419943498511109</v>
      </c>
      <c r="AH2442" t="str">
        <f t="shared" si="275"/>
        <v>3rd Quality</v>
      </c>
      <c r="AJ2442">
        <f>((T2442-X2442)*2)/11.1</f>
        <v>25.2807909612292</v>
      </c>
      <c r="AK2442">
        <f t="shared" si="279"/>
        <v>162541.225</v>
      </c>
    </row>
    <row r="2443" spans="1:37">
      <c r="A2443" t="s">
        <v>2509</v>
      </c>
      <c r="B2443">
        <v>26</v>
      </c>
      <c r="C2443" t="s">
        <v>44</v>
      </c>
      <c r="D2443" t="s">
        <v>45</v>
      </c>
      <c r="E2443">
        <v>863</v>
      </c>
      <c r="F2443">
        <v>16</v>
      </c>
      <c r="G2443">
        <v>20</v>
      </c>
      <c r="H2443">
        <v>4218.4</v>
      </c>
      <c r="I2443">
        <v>74623.75</v>
      </c>
      <c r="J2443">
        <v>111</v>
      </c>
      <c r="K2443">
        <v>0</v>
      </c>
      <c r="L2443">
        <v>10</v>
      </c>
      <c r="M2443">
        <v>17.6</v>
      </c>
      <c r="N2443" t="s">
        <v>61</v>
      </c>
      <c r="O2443" t="s">
        <v>53</v>
      </c>
      <c r="P2443" t="s">
        <v>66</v>
      </c>
      <c r="R2443">
        <f>SUMIF(A2443:A7442,"C02442",I2443:I7442)</f>
        <v>74623.75</v>
      </c>
      <c r="S2443" s="1">
        <v>9304.38</v>
      </c>
      <c r="T2443">
        <f t="shared" si="276"/>
        <v>672.286036036036</v>
      </c>
      <c r="U2443">
        <f t="shared" si="277"/>
        <v>1953.6</v>
      </c>
      <c r="V2443">
        <f t="shared" si="278"/>
        <v>162.8</v>
      </c>
      <c r="W2443">
        <f t="shared" si="280"/>
        <v>26281.05</v>
      </c>
      <c r="X2443">
        <f t="shared" si="274"/>
        <v>0.204579935520577</v>
      </c>
      <c r="AH2443" t="str">
        <f t="shared" si="275"/>
        <v>2nd Quality</v>
      </c>
      <c r="AJ2443">
        <f>((T2443-X2443)*2)/10</f>
        <v>134.416291220103</v>
      </c>
      <c r="AK2443">
        <f t="shared" si="279"/>
        <v>580182.849099099</v>
      </c>
    </row>
    <row r="2444" spans="1:37">
      <c r="A2444" t="s">
        <v>2510</v>
      </c>
      <c r="B2444">
        <v>40</v>
      </c>
      <c r="C2444" t="s">
        <v>44</v>
      </c>
      <c r="D2444" t="s">
        <v>51</v>
      </c>
      <c r="E2444">
        <v>1333</v>
      </c>
      <c r="F2444">
        <v>9</v>
      </c>
      <c r="G2444">
        <v>16</v>
      </c>
      <c r="H2444">
        <v>2716.23</v>
      </c>
      <c r="I2444">
        <v>40558.5</v>
      </c>
      <c r="J2444">
        <v>101</v>
      </c>
      <c r="K2444">
        <v>1</v>
      </c>
      <c r="L2444">
        <v>0</v>
      </c>
      <c r="M2444">
        <v>32.8</v>
      </c>
      <c r="N2444" t="s">
        <v>52</v>
      </c>
      <c r="O2444" t="s">
        <v>47</v>
      </c>
      <c r="P2444" t="s">
        <v>66</v>
      </c>
      <c r="R2444">
        <f>SUMIF(A2444:A7443,"C02443",I2444:I7443)</f>
        <v>40558.5</v>
      </c>
      <c r="S2444" s="1">
        <v>85556.61</v>
      </c>
      <c r="T2444">
        <f t="shared" si="276"/>
        <v>401.569306930693</v>
      </c>
      <c r="U2444">
        <f t="shared" si="277"/>
        <v>3312.8</v>
      </c>
      <c r="V2444">
        <f t="shared" ref="V2444:V2449" si="281">U2444</f>
        <v>3312.8</v>
      </c>
      <c r="W2444">
        <f t="shared" si="280"/>
        <v>14425.2433333333</v>
      </c>
      <c r="X2444">
        <f t="shared" ref="X2444:X2507" si="282">E2444/H2444</f>
        <v>0.490753728513417</v>
      </c>
      <c r="AH2444" t="str">
        <f t="shared" si="275"/>
        <v>2nd Quality</v>
      </c>
      <c r="AJ2444">
        <f>((T2444-X2444)*2)</f>
        <v>802.157106404359</v>
      </c>
      <c r="AK2444">
        <f t="shared" si="279"/>
        <v>535291.886138614</v>
      </c>
    </row>
    <row r="2445" spans="1:37">
      <c r="A2445" t="s">
        <v>2511</v>
      </c>
      <c r="B2445">
        <v>46</v>
      </c>
      <c r="C2445" t="s">
        <v>50</v>
      </c>
      <c r="D2445" t="s">
        <v>45</v>
      </c>
      <c r="E2445">
        <v>1162</v>
      </c>
      <c r="F2445">
        <v>26</v>
      </c>
      <c r="G2445">
        <v>4</v>
      </c>
      <c r="H2445">
        <v>12520.62</v>
      </c>
      <c r="I2445">
        <v>47802.14</v>
      </c>
      <c r="J2445">
        <v>15</v>
      </c>
      <c r="K2445">
        <v>1</v>
      </c>
      <c r="L2445">
        <v>0.4</v>
      </c>
      <c r="M2445">
        <v>31.3</v>
      </c>
      <c r="N2445" t="s">
        <v>61</v>
      </c>
      <c r="O2445" t="s">
        <v>75</v>
      </c>
      <c r="P2445" t="s">
        <v>58</v>
      </c>
      <c r="R2445">
        <f>SUMIF(A2445:A7444,"C02444",I2445:I7444)</f>
        <v>47802.14</v>
      </c>
      <c r="S2445" s="1">
        <v>198342.88</v>
      </c>
      <c r="T2445">
        <f t="shared" si="276"/>
        <v>3186.80933333333</v>
      </c>
      <c r="U2445">
        <f t="shared" si="277"/>
        <v>469.5</v>
      </c>
      <c r="V2445">
        <f t="shared" si="281"/>
        <v>469.5</v>
      </c>
      <c r="W2445">
        <f t="shared" si="280"/>
        <v>20107.92</v>
      </c>
      <c r="X2445">
        <f t="shared" si="282"/>
        <v>0.0928069057283106</v>
      </c>
      <c r="AH2445" t="str">
        <f t="shared" si="275"/>
        <v>3rd Quality</v>
      </c>
      <c r="AJ2445">
        <f>((T2445-X2445)*2)/0.4</f>
        <v>15933.582632138</v>
      </c>
      <c r="AK2445">
        <f t="shared" si="279"/>
        <v>3703072.44533333</v>
      </c>
    </row>
    <row r="2446" spans="1:37">
      <c r="A2446" t="s">
        <v>2512</v>
      </c>
      <c r="B2446">
        <v>22</v>
      </c>
      <c r="C2446" t="s">
        <v>50</v>
      </c>
      <c r="D2446" t="s">
        <v>60</v>
      </c>
      <c r="E2446">
        <v>501</v>
      </c>
      <c r="F2446">
        <v>93</v>
      </c>
      <c r="G2446">
        <v>9</v>
      </c>
      <c r="H2446">
        <v>1006.66</v>
      </c>
      <c r="I2446">
        <v>9304.38</v>
      </c>
      <c r="J2446">
        <v>40</v>
      </c>
      <c r="K2446">
        <v>1</v>
      </c>
      <c r="L2446">
        <v>19.1</v>
      </c>
      <c r="M2446">
        <v>23.9</v>
      </c>
      <c r="N2446" t="s">
        <v>81</v>
      </c>
      <c r="O2446" t="s">
        <v>75</v>
      </c>
      <c r="P2446" t="s">
        <v>48</v>
      </c>
      <c r="R2446">
        <f>SUMIF(A2446:A7445,"C02445",I2446:I7445)</f>
        <v>9304.38</v>
      </c>
      <c r="S2446" s="1">
        <v>24105.75</v>
      </c>
      <c r="T2446">
        <f t="shared" si="276"/>
        <v>232.6095</v>
      </c>
      <c r="U2446">
        <f t="shared" si="277"/>
        <v>956</v>
      </c>
      <c r="V2446">
        <f t="shared" si="281"/>
        <v>956</v>
      </c>
      <c r="W2446">
        <f t="shared" si="280"/>
        <v>3437.34666666667</v>
      </c>
      <c r="X2446">
        <f t="shared" si="282"/>
        <v>0.4976854151352</v>
      </c>
      <c r="AH2446" t="str">
        <f t="shared" ref="AH2446:AH2509" si="283">IF(AND(W2446&gt;=12550,B2446&lt;=33,E2446&gt;=915),"1st Quality",IF(AND(W2446&gt;=6275,B2446&lt;=43,E2446&gt;=457),"2nd Quality","3rd Quality"))</f>
        <v>3rd Quality</v>
      </c>
      <c r="AJ2446">
        <f>((T2446-X2446)*2)/19.1</f>
        <v>24.3049020507712</v>
      </c>
      <c r="AK2446">
        <f t="shared" si="279"/>
        <v>116537.3595</v>
      </c>
    </row>
    <row r="2447" spans="1:37">
      <c r="A2447" t="s">
        <v>2513</v>
      </c>
      <c r="B2447">
        <v>34</v>
      </c>
      <c r="C2447" t="s">
        <v>44</v>
      </c>
      <c r="D2447" t="s">
        <v>60</v>
      </c>
      <c r="E2447">
        <v>1114</v>
      </c>
      <c r="F2447">
        <v>8</v>
      </c>
      <c r="G2447">
        <v>9</v>
      </c>
      <c r="H2447">
        <v>8783.97</v>
      </c>
      <c r="I2447">
        <v>85556.61</v>
      </c>
      <c r="J2447">
        <v>66</v>
      </c>
      <c r="K2447">
        <v>1</v>
      </c>
      <c r="L2447">
        <v>13</v>
      </c>
      <c r="M2447">
        <v>24.3</v>
      </c>
      <c r="N2447" t="s">
        <v>78</v>
      </c>
      <c r="O2447" t="s">
        <v>47</v>
      </c>
      <c r="P2447" t="s">
        <v>66</v>
      </c>
      <c r="R2447">
        <f>SUMIF(A2447:A7446,"C02446",I2447:I7446)</f>
        <v>85556.61</v>
      </c>
      <c r="S2447" s="1">
        <v>27344.86</v>
      </c>
      <c r="T2447">
        <f t="shared" si="276"/>
        <v>1296.31227272727</v>
      </c>
      <c r="U2447">
        <f t="shared" si="277"/>
        <v>1603.8</v>
      </c>
      <c r="V2447">
        <f t="shared" si="281"/>
        <v>1603.8</v>
      </c>
      <c r="W2447">
        <f t="shared" si="280"/>
        <v>31447.1933333333</v>
      </c>
      <c r="X2447">
        <f t="shared" si="282"/>
        <v>0.126821926759768</v>
      </c>
      <c r="AH2447" t="str">
        <f t="shared" si="283"/>
        <v>2nd Quality</v>
      </c>
      <c r="AJ2447">
        <f>((T2447-X2447)*2)/13</f>
        <v>199.413146277002</v>
      </c>
      <c r="AK2447">
        <f t="shared" si="279"/>
        <v>1444091.87181818</v>
      </c>
    </row>
    <row r="2448" spans="1:37">
      <c r="A2448" t="s">
        <v>2514</v>
      </c>
      <c r="B2448">
        <v>23</v>
      </c>
      <c r="C2448" t="s">
        <v>44</v>
      </c>
      <c r="D2448" t="s">
        <v>60</v>
      </c>
      <c r="E2448">
        <v>1090</v>
      </c>
      <c r="F2448">
        <v>16</v>
      </c>
      <c r="G2448">
        <v>30</v>
      </c>
      <c r="H2448">
        <v>6289.81</v>
      </c>
      <c r="I2448">
        <v>198342.88</v>
      </c>
      <c r="J2448">
        <v>220</v>
      </c>
      <c r="K2448">
        <v>1</v>
      </c>
      <c r="L2448">
        <v>0</v>
      </c>
      <c r="M2448">
        <v>36</v>
      </c>
      <c r="N2448" t="s">
        <v>57</v>
      </c>
      <c r="O2448" t="s">
        <v>47</v>
      </c>
      <c r="P2448" t="s">
        <v>58</v>
      </c>
      <c r="R2448">
        <f>SUMIF(A2448:A7447,"C02447",I2448:I7447)</f>
        <v>198342.88</v>
      </c>
      <c r="S2448" s="1">
        <v>30198.5</v>
      </c>
      <c r="T2448">
        <f t="shared" si="276"/>
        <v>901.558545454545</v>
      </c>
      <c r="U2448">
        <f t="shared" si="277"/>
        <v>7920</v>
      </c>
      <c r="V2448">
        <f t="shared" si="281"/>
        <v>7920</v>
      </c>
      <c r="W2448">
        <f t="shared" si="280"/>
        <v>68211.23</v>
      </c>
      <c r="X2448">
        <f t="shared" si="282"/>
        <v>0.17329617269838</v>
      </c>
      <c r="AH2448" t="str">
        <f t="shared" si="283"/>
        <v>1st Quality</v>
      </c>
      <c r="AJ2448">
        <f>((T2448-X2448)*2)</f>
        <v>1802.77049856369</v>
      </c>
      <c r="AK2448">
        <f t="shared" si="279"/>
        <v>982698.814545454</v>
      </c>
    </row>
    <row r="2449" spans="1:37">
      <c r="A2449" t="s">
        <v>2515</v>
      </c>
      <c r="B2449">
        <v>18</v>
      </c>
      <c r="C2449" t="s">
        <v>50</v>
      </c>
      <c r="D2449" t="s">
        <v>45</v>
      </c>
      <c r="E2449">
        <v>647</v>
      </c>
      <c r="F2449">
        <v>54</v>
      </c>
      <c r="G2449">
        <v>13</v>
      </c>
      <c r="H2449">
        <v>1656.22</v>
      </c>
      <c r="I2449">
        <v>24105.75</v>
      </c>
      <c r="J2449">
        <v>72</v>
      </c>
      <c r="K2449">
        <v>1</v>
      </c>
      <c r="L2449">
        <v>29.1</v>
      </c>
      <c r="M2449">
        <v>15.7</v>
      </c>
      <c r="N2449" t="s">
        <v>61</v>
      </c>
      <c r="O2449" t="s">
        <v>53</v>
      </c>
      <c r="P2449" t="s">
        <v>58</v>
      </c>
      <c r="R2449">
        <f>SUMIF(A2449:A7448,"C02448",I2449:I7448)</f>
        <v>24105.75</v>
      </c>
      <c r="S2449" s="1">
        <v>33035.2</v>
      </c>
      <c r="T2449">
        <f t="shared" si="276"/>
        <v>334.802083333333</v>
      </c>
      <c r="U2449">
        <f t="shared" si="277"/>
        <v>1130.4</v>
      </c>
      <c r="V2449">
        <f t="shared" si="281"/>
        <v>1130.4</v>
      </c>
      <c r="W2449">
        <f t="shared" si="280"/>
        <v>8587.65666666667</v>
      </c>
      <c r="X2449">
        <f t="shared" si="282"/>
        <v>0.390648585332866</v>
      </c>
      <c r="AH2449" t="str">
        <f t="shared" si="283"/>
        <v>2nd Quality</v>
      </c>
      <c r="AJ2449">
        <f>((T2449-X2449)*2)/29.1</f>
        <v>22.9836037627491</v>
      </c>
      <c r="AK2449">
        <f t="shared" si="279"/>
        <v>216616.947916667</v>
      </c>
    </row>
    <row r="2450" spans="1:37">
      <c r="A2450" t="s">
        <v>2516</v>
      </c>
      <c r="B2450">
        <v>46</v>
      </c>
      <c r="C2450" t="s">
        <v>44</v>
      </c>
      <c r="D2450" t="s">
        <v>45</v>
      </c>
      <c r="E2450">
        <v>933</v>
      </c>
      <c r="F2450">
        <v>35</v>
      </c>
      <c r="G2450">
        <v>3</v>
      </c>
      <c r="H2450">
        <v>10355.9</v>
      </c>
      <c r="I2450">
        <v>27344.86</v>
      </c>
      <c r="J2450">
        <v>26</v>
      </c>
      <c r="K2450">
        <v>0</v>
      </c>
      <c r="L2450">
        <v>10.6</v>
      </c>
      <c r="M2450">
        <v>15.1</v>
      </c>
      <c r="N2450" t="s">
        <v>61</v>
      </c>
      <c r="O2450" t="s">
        <v>47</v>
      </c>
      <c r="P2450" t="s">
        <v>58</v>
      </c>
      <c r="R2450">
        <f>SUMIF(A2450:A7449,"C02449",I2450:I7449)</f>
        <v>27344.86</v>
      </c>
      <c r="S2450" s="1">
        <v>778.74</v>
      </c>
      <c r="T2450">
        <f t="shared" si="276"/>
        <v>1051.72538461538</v>
      </c>
      <c r="U2450">
        <f t="shared" si="277"/>
        <v>392.6</v>
      </c>
      <c r="V2450">
        <f t="shared" ref="V2450:V2513" si="284">U2450/12</f>
        <v>32.7166666666667</v>
      </c>
      <c r="W2450">
        <f t="shared" si="280"/>
        <v>12567.2533333333</v>
      </c>
      <c r="X2450">
        <f t="shared" si="282"/>
        <v>0.0900935698490715</v>
      </c>
      <c r="AH2450" t="str">
        <f t="shared" si="283"/>
        <v>3rd Quality</v>
      </c>
      <c r="AJ2450">
        <f>((T2450-X2450)*2)/10.6</f>
        <v>198.421753027459</v>
      </c>
      <c r="AK2450">
        <f t="shared" si="279"/>
        <v>981259.783846154</v>
      </c>
    </row>
    <row r="2451" spans="1:37">
      <c r="A2451" t="s">
        <v>2517</v>
      </c>
      <c r="B2451">
        <v>46</v>
      </c>
      <c r="C2451" t="s">
        <v>44</v>
      </c>
      <c r="D2451" t="s">
        <v>51</v>
      </c>
      <c r="E2451">
        <v>659</v>
      </c>
      <c r="F2451">
        <v>12</v>
      </c>
      <c r="G2451">
        <v>3</v>
      </c>
      <c r="H2451">
        <v>10874.95</v>
      </c>
      <c r="I2451">
        <v>30198.5</v>
      </c>
      <c r="J2451">
        <v>14</v>
      </c>
      <c r="K2451">
        <v>0</v>
      </c>
      <c r="L2451">
        <v>0</v>
      </c>
      <c r="M2451">
        <v>40.9</v>
      </c>
      <c r="N2451" t="s">
        <v>81</v>
      </c>
      <c r="O2451" t="s">
        <v>53</v>
      </c>
      <c r="P2451" t="s">
        <v>58</v>
      </c>
      <c r="R2451">
        <f>SUMIF(A2451:A7450,"C02450",I2451:I7450)</f>
        <v>30198.5</v>
      </c>
      <c r="S2451" s="1">
        <v>17318.13</v>
      </c>
      <c r="T2451">
        <f t="shared" si="276"/>
        <v>2157.03571428571</v>
      </c>
      <c r="U2451">
        <f t="shared" si="277"/>
        <v>572.6</v>
      </c>
      <c r="V2451">
        <f t="shared" si="284"/>
        <v>47.7166666666667</v>
      </c>
      <c r="W2451">
        <f t="shared" si="280"/>
        <v>13691.4833333333</v>
      </c>
      <c r="X2451">
        <f t="shared" si="282"/>
        <v>0.0605979797608265</v>
      </c>
      <c r="AH2451" t="str">
        <f t="shared" si="283"/>
        <v>3rd Quality</v>
      </c>
      <c r="AJ2451">
        <f>((T2451-X2451)*2)</f>
        <v>4313.9502326119</v>
      </c>
      <c r="AK2451">
        <f t="shared" si="279"/>
        <v>1421486.53571429</v>
      </c>
    </row>
    <row r="2452" spans="1:37">
      <c r="A2452" t="s">
        <v>2518</v>
      </c>
      <c r="B2452">
        <v>22</v>
      </c>
      <c r="C2452" t="s">
        <v>50</v>
      </c>
      <c r="D2452" t="s">
        <v>60</v>
      </c>
      <c r="E2452">
        <v>1176</v>
      </c>
      <c r="F2452">
        <v>24</v>
      </c>
      <c r="G2452">
        <v>4</v>
      </c>
      <c r="H2452">
        <v>9167.25</v>
      </c>
      <c r="I2452">
        <v>33035.2</v>
      </c>
      <c r="J2452">
        <v>28</v>
      </c>
      <c r="K2452">
        <v>1</v>
      </c>
      <c r="L2452">
        <v>9.8</v>
      </c>
      <c r="M2452">
        <v>43.8</v>
      </c>
      <c r="N2452" t="s">
        <v>57</v>
      </c>
      <c r="O2452" t="s">
        <v>47</v>
      </c>
      <c r="P2452" t="s">
        <v>58</v>
      </c>
      <c r="R2452">
        <f>SUMIF(A2452:A7451,"C02451",I2452:I7451)</f>
        <v>33035.2</v>
      </c>
      <c r="S2452" s="1">
        <v>4104.08</v>
      </c>
      <c r="T2452">
        <f t="shared" si="276"/>
        <v>1179.82857142857</v>
      </c>
      <c r="U2452">
        <f t="shared" si="277"/>
        <v>1226.4</v>
      </c>
      <c r="V2452">
        <f>U2452</f>
        <v>1226.4</v>
      </c>
      <c r="W2452">
        <f t="shared" si="280"/>
        <v>14067.8166666667</v>
      </c>
      <c r="X2452">
        <f t="shared" si="282"/>
        <v>0.128282745643459</v>
      </c>
      <c r="AH2452" t="str">
        <f t="shared" si="283"/>
        <v>1st Quality</v>
      </c>
      <c r="AJ2452">
        <f>((T2452-X2452)*2)/9.8</f>
        <v>240.755160955699</v>
      </c>
      <c r="AK2452">
        <f t="shared" si="279"/>
        <v>1387478.4</v>
      </c>
    </row>
    <row r="2453" spans="1:37">
      <c r="A2453" t="s">
        <v>2519</v>
      </c>
      <c r="B2453">
        <v>46</v>
      </c>
      <c r="C2453" t="s">
        <v>44</v>
      </c>
      <c r="D2453" t="s">
        <v>60</v>
      </c>
      <c r="E2453">
        <v>627</v>
      </c>
      <c r="F2453">
        <v>109</v>
      </c>
      <c r="G2453">
        <v>2</v>
      </c>
      <c r="H2453">
        <v>374.66</v>
      </c>
      <c r="I2453">
        <v>778.74</v>
      </c>
      <c r="J2453">
        <v>19</v>
      </c>
      <c r="K2453">
        <v>0</v>
      </c>
      <c r="L2453">
        <v>22.5</v>
      </c>
      <c r="M2453">
        <v>22.9</v>
      </c>
      <c r="N2453" t="s">
        <v>57</v>
      </c>
      <c r="O2453" t="s">
        <v>47</v>
      </c>
      <c r="P2453" t="s">
        <v>48</v>
      </c>
      <c r="R2453">
        <f>SUMIF(A2453:A7452,"C02452",I2453:I7452)</f>
        <v>778.74</v>
      </c>
      <c r="S2453" s="1">
        <v>31973.84</v>
      </c>
      <c r="T2453">
        <f t="shared" si="276"/>
        <v>40.9863157894737</v>
      </c>
      <c r="U2453">
        <f t="shared" si="277"/>
        <v>435.1</v>
      </c>
      <c r="V2453">
        <f t="shared" si="284"/>
        <v>36.2583333333333</v>
      </c>
      <c r="W2453">
        <f t="shared" si="280"/>
        <v>384.8</v>
      </c>
      <c r="X2453">
        <f t="shared" si="282"/>
        <v>1.67351732237228</v>
      </c>
      <c r="AH2453" t="str">
        <f t="shared" si="283"/>
        <v>3rd Quality</v>
      </c>
      <c r="AJ2453">
        <f>((T2453-X2453)*2)/22.5</f>
        <v>3.49447097485346</v>
      </c>
      <c r="AK2453">
        <f t="shared" si="279"/>
        <v>25698.42</v>
      </c>
    </row>
    <row r="2454" spans="1:37">
      <c r="A2454" t="s">
        <v>2520</v>
      </c>
      <c r="B2454">
        <v>20</v>
      </c>
      <c r="C2454" t="s">
        <v>50</v>
      </c>
      <c r="D2454" t="s">
        <v>60</v>
      </c>
      <c r="E2454">
        <v>815</v>
      </c>
      <c r="F2454">
        <v>11</v>
      </c>
      <c r="G2454">
        <v>3</v>
      </c>
      <c r="H2454">
        <v>5875.7</v>
      </c>
      <c r="I2454">
        <v>17318.13</v>
      </c>
      <c r="J2454">
        <v>21</v>
      </c>
      <c r="K2454">
        <v>0</v>
      </c>
      <c r="L2454">
        <v>10</v>
      </c>
      <c r="M2454">
        <v>11.9</v>
      </c>
      <c r="N2454" t="s">
        <v>46</v>
      </c>
      <c r="O2454" t="s">
        <v>47</v>
      </c>
      <c r="P2454" t="s">
        <v>68</v>
      </c>
      <c r="R2454">
        <f>SUMIF(A2454:A7453,"C02453",I2454:I7453)</f>
        <v>17318.13</v>
      </c>
      <c r="S2454" s="1">
        <v>69856.82</v>
      </c>
      <c r="T2454">
        <f t="shared" ref="T2454:T2517" si="285">I2454/J2454</f>
        <v>824.672857142857</v>
      </c>
      <c r="U2454">
        <f t="shared" si="277"/>
        <v>249.9</v>
      </c>
      <c r="V2454">
        <f t="shared" si="284"/>
        <v>20.825</v>
      </c>
      <c r="W2454">
        <f t="shared" si="280"/>
        <v>7731.61</v>
      </c>
      <c r="X2454">
        <f t="shared" si="282"/>
        <v>0.138706877478428</v>
      </c>
      <c r="AH2454" t="str">
        <f t="shared" si="283"/>
        <v>2nd Quality</v>
      </c>
      <c r="AJ2454">
        <f>((T2454-X2454)*2)/10</f>
        <v>164.906830053076</v>
      </c>
      <c r="AK2454">
        <f t="shared" si="279"/>
        <v>672108.378571429</v>
      </c>
    </row>
    <row r="2455" spans="1:37">
      <c r="A2455" t="s">
        <v>2521</v>
      </c>
      <c r="B2455">
        <v>42</v>
      </c>
      <c r="C2455" t="s">
        <v>50</v>
      </c>
      <c r="D2455" t="s">
        <v>51</v>
      </c>
      <c r="E2455">
        <v>1028</v>
      </c>
      <c r="F2455">
        <v>211</v>
      </c>
      <c r="G2455">
        <v>4</v>
      </c>
      <c r="H2455">
        <v>1074.69</v>
      </c>
      <c r="I2455">
        <v>4104.08</v>
      </c>
      <c r="J2455">
        <v>21</v>
      </c>
      <c r="K2455">
        <v>0</v>
      </c>
      <c r="L2455">
        <v>33.4</v>
      </c>
      <c r="M2455">
        <v>15.1</v>
      </c>
      <c r="N2455" t="s">
        <v>63</v>
      </c>
      <c r="O2455" t="s">
        <v>53</v>
      </c>
      <c r="P2455" t="s">
        <v>68</v>
      </c>
      <c r="R2455">
        <f>SUMIF(A2455:A7454,"C02454",I2455:I7454)</f>
        <v>4104.08</v>
      </c>
      <c r="S2455" s="1">
        <v>16055.11</v>
      </c>
      <c r="T2455">
        <f t="shared" si="285"/>
        <v>195.432380952381</v>
      </c>
      <c r="U2455">
        <f t="shared" si="277"/>
        <v>317.1</v>
      </c>
      <c r="V2455">
        <f t="shared" si="284"/>
        <v>26.425</v>
      </c>
      <c r="W2455">
        <f t="shared" si="280"/>
        <v>1726.59</v>
      </c>
      <c r="X2455">
        <f t="shared" si="282"/>
        <v>0.956554913509942</v>
      </c>
      <c r="AH2455" t="str">
        <f t="shared" si="283"/>
        <v>3rd Quality</v>
      </c>
      <c r="AJ2455">
        <f>((T2455-X2455)*2)/33.4</f>
        <v>11.6452590442438</v>
      </c>
      <c r="AK2455">
        <f t="shared" si="279"/>
        <v>200904.487619048</v>
      </c>
    </row>
    <row r="2456" spans="1:37">
      <c r="A2456" t="s">
        <v>2522</v>
      </c>
      <c r="B2456">
        <v>22</v>
      </c>
      <c r="C2456" t="s">
        <v>50</v>
      </c>
      <c r="D2456" t="s">
        <v>51</v>
      </c>
      <c r="E2456">
        <v>421</v>
      </c>
      <c r="F2456">
        <v>31</v>
      </c>
      <c r="G2456">
        <v>5</v>
      </c>
      <c r="H2456">
        <v>6695.83</v>
      </c>
      <c r="I2456">
        <v>31973.84</v>
      </c>
      <c r="J2456">
        <v>52</v>
      </c>
      <c r="K2456">
        <v>0</v>
      </c>
      <c r="L2456">
        <v>11.6</v>
      </c>
      <c r="M2456">
        <v>9.3</v>
      </c>
      <c r="N2456" t="s">
        <v>46</v>
      </c>
      <c r="O2456" t="s">
        <v>47</v>
      </c>
      <c r="P2456" t="s">
        <v>68</v>
      </c>
      <c r="R2456">
        <f>SUMIF(A2456:A7455,"C02455",I2456:I7455)</f>
        <v>31973.84</v>
      </c>
      <c r="S2456" s="1">
        <v>58155.71</v>
      </c>
      <c r="T2456">
        <f t="shared" si="285"/>
        <v>614.881538461538</v>
      </c>
      <c r="U2456">
        <f t="shared" si="277"/>
        <v>483.6</v>
      </c>
      <c r="V2456">
        <f t="shared" si="284"/>
        <v>40.3</v>
      </c>
      <c r="W2456">
        <f t="shared" si="280"/>
        <v>12890.2233333333</v>
      </c>
      <c r="X2456">
        <f t="shared" si="282"/>
        <v>0.0628749535158449</v>
      </c>
      <c r="AH2456" t="str">
        <f t="shared" si="283"/>
        <v>3rd Quality</v>
      </c>
      <c r="AJ2456">
        <f>((T2456-X2456)*2)/11.6</f>
        <v>106.003217846211</v>
      </c>
      <c r="AK2456">
        <f t="shared" si="279"/>
        <v>258865.127692308</v>
      </c>
    </row>
    <row r="2457" spans="1:37">
      <c r="A2457" t="s">
        <v>2523</v>
      </c>
      <c r="B2457">
        <v>34</v>
      </c>
      <c r="C2457" t="s">
        <v>44</v>
      </c>
      <c r="D2457" t="s">
        <v>60</v>
      </c>
      <c r="E2457">
        <v>1414</v>
      </c>
      <c r="F2457">
        <v>30</v>
      </c>
      <c r="G2457">
        <v>7</v>
      </c>
      <c r="H2457">
        <v>9119.45</v>
      </c>
      <c r="I2457">
        <v>69856.82</v>
      </c>
      <c r="J2457">
        <v>66</v>
      </c>
      <c r="K2457">
        <v>0</v>
      </c>
      <c r="L2457">
        <v>2</v>
      </c>
      <c r="M2457">
        <v>47.2</v>
      </c>
      <c r="N2457" t="s">
        <v>52</v>
      </c>
      <c r="O2457" t="s">
        <v>47</v>
      </c>
      <c r="P2457" t="s">
        <v>58</v>
      </c>
      <c r="R2457">
        <f>SUMIF(A2457:A7456,"C02456",I2457:I7456)</f>
        <v>69856.82</v>
      </c>
      <c r="S2457" s="1">
        <v>12130.06</v>
      </c>
      <c r="T2457">
        <f t="shared" si="285"/>
        <v>1058.43666666667</v>
      </c>
      <c r="U2457">
        <f t="shared" si="277"/>
        <v>3115.2</v>
      </c>
      <c r="V2457">
        <f t="shared" si="284"/>
        <v>259.6</v>
      </c>
      <c r="W2457">
        <f t="shared" si="280"/>
        <v>26325.7566666667</v>
      </c>
      <c r="X2457">
        <f t="shared" si="282"/>
        <v>0.155053210445805</v>
      </c>
      <c r="AH2457" t="str">
        <f t="shared" si="283"/>
        <v>2nd Quality</v>
      </c>
      <c r="AJ2457">
        <f>((T2457-X2457)*2)/2</f>
        <v>1058.28161345622</v>
      </c>
      <c r="AK2457">
        <f t="shared" si="279"/>
        <v>1496629.44666667</v>
      </c>
    </row>
    <row r="2458" spans="1:37">
      <c r="A2458" t="s">
        <v>2524</v>
      </c>
      <c r="B2458">
        <v>32</v>
      </c>
      <c r="C2458" t="s">
        <v>44</v>
      </c>
      <c r="D2458" t="s">
        <v>60</v>
      </c>
      <c r="E2458">
        <v>415</v>
      </c>
      <c r="F2458">
        <v>51</v>
      </c>
      <c r="G2458">
        <v>3</v>
      </c>
      <c r="H2458">
        <v>5958.77</v>
      </c>
      <c r="I2458">
        <v>16055.11</v>
      </c>
      <c r="J2458">
        <v>34</v>
      </c>
      <c r="K2458">
        <v>0</v>
      </c>
      <c r="L2458">
        <v>10.8</v>
      </c>
      <c r="M2458">
        <v>51.8</v>
      </c>
      <c r="N2458" t="s">
        <v>81</v>
      </c>
      <c r="O2458" t="s">
        <v>47</v>
      </c>
      <c r="P2458" t="s">
        <v>68</v>
      </c>
      <c r="R2458">
        <f>SUMIF(A2458:A7457,"C02457",I2458:I7457)</f>
        <v>16055.11</v>
      </c>
      <c r="S2458" s="1">
        <v>92464.14</v>
      </c>
      <c r="T2458">
        <f t="shared" si="285"/>
        <v>472.209117647059</v>
      </c>
      <c r="U2458">
        <f t="shared" si="277"/>
        <v>1761.2</v>
      </c>
      <c r="V2458">
        <f t="shared" si="284"/>
        <v>146.766666666667</v>
      </c>
      <c r="W2458">
        <f t="shared" si="280"/>
        <v>7338.29333333333</v>
      </c>
      <c r="X2458">
        <f t="shared" si="282"/>
        <v>0.0696452455792051</v>
      </c>
      <c r="AH2458" t="str">
        <f t="shared" si="283"/>
        <v>3rd Quality</v>
      </c>
      <c r="AJ2458">
        <f>((T2458-X2458)*2)/10.8</f>
        <v>87.4332356299037</v>
      </c>
      <c r="AK2458">
        <f t="shared" si="279"/>
        <v>195966.783823529</v>
      </c>
    </row>
    <row r="2459" spans="1:37">
      <c r="A2459" t="s">
        <v>2525</v>
      </c>
      <c r="B2459">
        <v>18</v>
      </c>
      <c r="C2459" t="s">
        <v>44</v>
      </c>
      <c r="D2459" t="s">
        <v>60</v>
      </c>
      <c r="E2459">
        <v>1340</v>
      </c>
      <c r="F2459">
        <v>30</v>
      </c>
      <c r="G2459">
        <v>25</v>
      </c>
      <c r="H2459">
        <v>2435.29</v>
      </c>
      <c r="I2459">
        <v>58155.71</v>
      </c>
      <c r="J2459">
        <v>62</v>
      </c>
      <c r="K2459">
        <v>0</v>
      </c>
      <c r="L2459">
        <v>19.8</v>
      </c>
      <c r="M2459">
        <v>46.1</v>
      </c>
      <c r="N2459" t="s">
        <v>52</v>
      </c>
      <c r="O2459" t="s">
        <v>53</v>
      </c>
      <c r="P2459" t="s">
        <v>58</v>
      </c>
      <c r="R2459">
        <f>SUMIF(A2459:A7458,"C02458",I2459:I7458)</f>
        <v>58155.71</v>
      </c>
      <c r="S2459" s="1">
        <v>5446.88</v>
      </c>
      <c r="T2459">
        <f t="shared" si="285"/>
        <v>937.995322580645</v>
      </c>
      <c r="U2459">
        <f t="shared" si="277"/>
        <v>2858.2</v>
      </c>
      <c r="V2459">
        <f t="shared" si="284"/>
        <v>238.183333333333</v>
      </c>
      <c r="W2459">
        <f t="shared" si="280"/>
        <v>20197.3333333333</v>
      </c>
      <c r="X2459">
        <f t="shared" si="282"/>
        <v>0.550242476255395</v>
      </c>
      <c r="AH2459" t="str">
        <f t="shared" si="283"/>
        <v>1st Quality</v>
      </c>
      <c r="AJ2459">
        <f>((T2459-X2459)*2)/19.8</f>
        <v>94.6914222327666</v>
      </c>
      <c r="AK2459">
        <f t="shared" si="279"/>
        <v>1256913.73225806</v>
      </c>
    </row>
    <row r="2460" spans="1:37">
      <c r="A2460" t="s">
        <v>2526</v>
      </c>
      <c r="B2460">
        <v>30</v>
      </c>
      <c r="C2460" t="s">
        <v>44</v>
      </c>
      <c r="D2460" t="s">
        <v>60</v>
      </c>
      <c r="E2460">
        <v>1080</v>
      </c>
      <c r="F2460">
        <v>28</v>
      </c>
      <c r="G2460">
        <v>9</v>
      </c>
      <c r="H2460">
        <v>1347.82</v>
      </c>
      <c r="I2460">
        <v>12130.06</v>
      </c>
      <c r="J2460">
        <v>24</v>
      </c>
      <c r="K2460">
        <v>0</v>
      </c>
      <c r="L2460">
        <v>20</v>
      </c>
      <c r="M2460">
        <v>23.7</v>
      </c>
      <c r="N2460" t="s">
        <v>81</v>
      </c>
      <c r="O2460" t="s">
        <v>53</v>
      </c>
      <c r="P2460" t="s">
        <v>58</v>
      </c>
      <c r="R2460">
        <f>SUMIF(A2460:A7459,"C02459",I2460:I7459)</f>
        <v>12130.06</v>
      </c>
      <c r="S2460" s="1">
        <v>1319.07</v>
      </c>
      <c r="T2460">
        <f t="shared" si="285"/>
        <v>505.419166666667</v>
      </c>
      <c r="U2460">
        <f t="shared" si="277"/>
        <v>568.8</v>
      </c>
      <c r="V2460">
        <f t="shared" si="284"/>
        <v>47.4</v>
      </c>
      <c r="W2460">
        <f t="shared" si="280"/>
        <v>4492.96</v>
      </c>
      <c r="X2460">
        <f t="shared" si="282"/>
        <v>0.801293941327477</v>
      </c>
      <c r="AH2460" t="str">
        <f t="shared" si="283"/>
        <v>3rd Quality</v>
      </c>
      <c r="AJ2460">
        <f>((T2460-X2460)*2)/20</f>
        <v>50.461787272534</v>
      </c>
      <c r="AK2460">
        <f t="shared" si="279"/>
        <v>545852.7</v>
      </c>
    </row>
    <row r="2461" spans="1:37">
      <c r="A2461" t="s">
        <v>2527</v>
      </c>
      <c r="B2461">
        <v>32</v>
      </c>
      <c r="C2461" t="s">
        <v>44</v>
      </c>
      <c r="D2461" t="s">
        <v>60</v>
      </c>
      <c r="E2461">
        <v>920</v>
      </c>
      <c r="F2461">
        <v>10</v>
      </c>
      <c r="G2461">
        <v>7</v>
      </c>
      <c r="H2461">
        <v>13495.53</v>
      </c>
      <c r="I2461">
        <v>92464.14</v>
      </c>
      <c r="J2461">
        <v>35</v>
      </c>
      <c r="K2461">
        <v>0</v>
      </c>
      <c r="L2461">
        <v>4.9</v>
      </c>
      <c r="M2461">
        <v>33.4</v>
      </c>
      <c r="N2461" t="s">
        <v>78</v>
      </c>
      <c r="O2461" t="s">
        <v>47</v>
      </c>
      <c r="P2461" t="s">
        <v>66</v>
      </c>
      <c r="R2461">
        <f>SUMIF(A2461:A7460,"C02460",I2461:I7460)</f>
        <v>92464.14</v>
      </c>
      <c r="S2461" s="1">
        <v>107935.43</v>
      </c>
      <c r="T2461">
        <f t="shared" si="285"/>
        <v>2641.83257142857</v>
      </c>
      <c r="U2461">
        <f t="shared" si="277"/>
        <v>1169</v>
      </c>
      <c r="V2461">
        <f t="shared" si="284"/>
        <v>97.4166666666667</v>
      </c>
      <c r="W2461">
        <f t="shared" si="280"/>
        <v>35320.2233333333</v>
      </c>
      <c r="X2461">
        <f t="shared" si="282"/>
        <v>0.0681707202310691</v>
      </c>
      <c r="AH2461" t="str">
        <f t="shared" si="283"/>
        <v>1st Quality</v>
      </c>
      <c r="AJ2461">
        <f>((T2461-X2461)*2)/4.9</f>
        <v>1078.27118396259</v>
      </c>
      <c r="AK2461">
        <f t="shared" si="279"/>
        <v>2430485.96571429</v>
      </c>
    </row>
    <row r="2462" spans="1:37">
      <c r="A2462" t="s">
        <v>2528</v>
      </c>
      <c r="B2462">
        <v>21</v>
      </c>
      <c r="C2462" t="s">
        <v>44</v>
      </c>
      <c r="D2462" t="s">
        <v>51</v>
      </c>
      <c r="E2462">
        <v>903</v>
      </c>
      <c r="F2462">
        <v>365</v>
      </c>
      <c r="G2462">
        <v>2</v>
      </c>
      <c r="H2462">
        <v>2606.15</v>
      </c>
      <c r="I2462">
        <v>5446.88</v>
      </c>
      <c r="J2462">
        <v>26</v>
      </c>
      <c r="K2462">
        <v>0</v>
      </c>
      <c r="L2462">
        <v>22</v>
      </c>
      <c r="M2462">
        <v>74.5</v>
      </c>
      <c r="N2462" t="s">
        <v>46</v>
      </c>
      <c r="O2462" t="s">
        <v>47</v>
      </c>
      <c r="P2462" t="s">
        <v>66</v>
      </c>
      <c r="R2462">
        <f>SUMIF(A2462:A7461,"C02461",I2462:I7461)</f>
        <v>5446.88</v>
      </c>
      <c r="S2462" s="1">
        <v>23933.72</v>
      </c>
      <c r="T2462">
        <f t="shared" si="285"/>
        <v>209.495384615385</v>
      </c>
      <c r="U2462">
        <f t="shared" si="277"/>
        <v>1937</v>
      </c>
      <c r="V2462">
        <f t="shared" si="284"/>
        <v>161.416666666667</v>
      </c>
      <c r="W2462">
        <f t="shared" si="280"/>
        <v>2684.67666666667</v>
      </c>
      <c r="X2462">
        <f t="shared" si="282"/>
        <v>0.346488114651881</v>
      </c>
      <c r="AH2462" t="str">
        <f t="shared" si="283"/>
        <v>3rd Quality</v>
      </c>
      <c r="AJ2462">
        <f>((T2462-X2462)*2)/22</f>
        <v>19.0135360455212</v>
      </c>
      <c r="AK2462">
        <f t="shared" si="279"/>
        <v>189174.332307692</v>
      </c>
    </row>
    <row r="2463" spans="1:37">
      <c r="A2463" t="s">
        <v>2529</v>
      </c>
      <c r="B2463">
        <v>28</v>
      </c>
      <c r="C2463" t="s">
        <v>44</v>
      </c>
      <c r="D2463" t="s">
        <v>60</v>
      </c>
      <c r="E2463">
        <v>782</v>
      </c>
      <c r="F2463">
        <v>118</v>
      </c>
      <c r="G2463">
        <v>2</v>
      </c>
      <c r="H2463">
        <v>642.95</v>
      </c>
      <c r="I2463">
        <v>1319.07</v>
      </c>
      <c r="J2463">
        <v>19</v>
      </c>
      <c r="K2463">
        <v>0</v>
      </c>
      <c r="L2463">
        <v>9.1</v>
      </c>
      <c r="M2463">
        <v>14.3</v>
      </c>
      <c r="N2463" t="s">
        <v>81</v>
      </c>
      <c r="O2463" t="s">
        <v>47</v>
      </c>
      <c r="P2463" t="s">
        <v>66</v>
      </c>
      <c r="R2463">
        <f>SUMIF(A2463:A7462,"C02462",I2463:I7462)</f>
        <v>1319.07</v>
      </c>
      <c r="S2463" s="1">
        <v>14807.41</v>
      </c>
      <c r="T2463">
        <f t="shared" si="285"/>
        <v>69.4247368421053</v>
      </c>
      <c r="U2463">
        <f t="shared" si="277"/>
        <v>271.7</v>
      </c>
      <c r="V2463">
        <f t="shared" si="284"/>
        <v>22.6416666666667</v>
      </c>
      <c r="W2463">
        <f t="shared" si="280"/>
        <v>654.34</v>
      </c>
      <c r="X2463">
        <f t="shared" si="282"/>
        <v>1.21626876117894</v>
      </c>
      <c r="AH2463" t="str">
        <f t="shared" si="283"/>
        <v>3rd Quality</v>
      </c>
      <c r="AJ2463">
        <f>((T2463-X2463)*2)/9.1</f>
        <v>14.9908721056981</v>
      </c>
      <c r="AK2463">
        <f t="shared" si="279"/>
        <v>54290.1442105263</v>
      </c>
    </row>
    <row r="2464" spans="1:37">
      <c r="A2464" t="s">
        <v>2530</v>
      </c>
      <c r="B2464">
        <v>45</v>
      </c>
      <c r="C2464" t="s">
        <v>44</v>
      </c>
      <c r="D2464" t="s">
        <v>45</v>
      </c>
      <c r="E2464">
        <v>1155</v>
      </c>
      <c r="F2464">
        <v>41</v>
      </c>
      <c r="G2464">
        <v>28</v>
      </c>
      <c r="H2464">
        <v>3595.55</v>
      </c>
      <c r="I2464">
        <v>107935.43</v>
      </c>
      <c r="J2464">
        <v>123</v>
      </c>
      <c r="K2464">
        <v>0</v>
      </c>
      <c r="L2464">
        <v>2.1</v>
      </c>
      <c r="M2464">
        <v>29.8</v>
      </c>
      <c r="N2464" t="s">
        <v>81</v>
      </c>
      <c r="O2464" t="s">
        <v>47</v>
      </c>
      <c r="P2464" t="s">
        <v>58</v>
      </c>
      <c r="R2464">
        <f>SUMIF(A2464:A7463,"C02463",I2464:I7463)</f>
        <v>107935.43</v>
      </c>
      <c r="S2464" s="1">
        <v>3985.11</v>
      </c>
      <c r="T2464">
        <f t="shared" si="285"/>
        <v>877.523821138211</v>
      </c>
      <c r="U2464">
        <f t="shared" si="277"/>
        <v>3665.4</v>
      </c>
      <c r="V2464">
        <f t="shared" si="284"/>
        <v>305.45</v>
      </c>
      <c r="W2464">
        <f t="shared" si="280"/>
        <v>37177.3266666667</v>
      </c>
      <c r="X2464">
        <f t="shared" si="282"/>
        <v>0.321230409812129</v>
      </c>
      <c r="AH2464" t="str">
        <f t="shared" si="283"/>
        <v>3rd Quality</v>
      </c>
      <c r="AJ2464">
        <f>((T2464-X2464)*2)/2.1</f>
        <v>835.431038788951</v>
      </c>
      <c r="AK2464">
        <f t="shared" si="279"/>
        <v>1013540.01341463</v>
      </c>
    </row>
    <row r="2465" spans="1:37">
      <c r="A2465" t="s">
        <v>2531</v>
      </c>
      <c r="B2465">
        <v>33</v>
      </c>
      <c r="C2465" t="s">
        <v>50</v>
      </c>
      <c r="D2465" t="s">
        <v>60</v>
      </c>
      <c r="E2465">
        <v>801</v>
      </c>
      <c r="F2465">
        <v>80</v>
      </c>
      <c r="G2465">
        <v>4</v>
      </c>
      <c r="H2465">
        <v>5526.91</v>
      </c>
      <c r="I2465">
        <v>23933.72</v>
      </c>
      <c r="J2465">
        <v>42</v>
      </c>
      <c r="K2465">
        <v>1</v>
      </c>
      <c r="L2465">
        <v>13.1</v>
      </c>
      <c r="M2465">
        <v>65.1</v>
      </c>
      <c r="N2465" t="s">
        <v>52</v>
      </c>
      <c r="O2465" t="s">
        <v>75</v>
      </c>
      <c r="P2465" t="s">
        <v>58</v>
      </c>
      <c r="R2465">
        <f>SUMIF(A2465:A7464,"C02464",I2465:I7464)</f>
        <v>23933.72</v>
      </c>
      <c r="S2465" s="1">
        <v>5129.42</v>
      </c>
      <c r="T2465">
        <f t="shared" si="285"/>
        <v>569.850476190476</v>
      </c>
      <c r="U2465">
        <f t="shared" si="277"/>
        <v>2734.2</v>
      </c>
      <c r="V2465">
        <f>U2465</f>
        <v>2734.2</v>
      </c>
      <c r="W2465">
        <f t="shared" si="280"/>
        <v>9820.54333333333</v>
      </c>
      <c r="X2465">
        <f t="shared" si="282"/>
        <v>0.144927274010252</v>
      </c>
      <c r="AH2465" t="str">
        <f t="shared" si="283"/>
        <v>2nd Quality</v>
      </c>
      <c r="AJ2465">
        <f>((T2465-X2465)*2)/13.1</f>
        <v>86.9779463994604</v>
      </c>
      <c r="AK2465">
        <f t="shared" si="279"/>
        <v>456450.231428571</v>
      </c>
    </row>
    <row r="2466" spans="1:37">
      <c r="A2466" t="s">
        <v>2532</v>
      </c>
      <c r="B2466">
        <v>28</v>
      </c>
      <c r="C2466" t="s">
        <v>50</v>
      </c>
      <c r="D2466" t="s">
        <v>60</v>
      </c>
      <c r="E2466">
        <v>944</v>
      </c>
      <c r="F2466">
        <v>19</v>
      </c>
      <c r="G2466">
        <v>11</v>
      </c>
      <c r="H2466">
        <v>1379.25</v>
      </c>
      <c r="I2466">
        <v>14807.41</v>
      </c>
      <c r="J2466">
        <v>34</v>
      </c>
      <c r="K2466">
        <v>0</v>
      </c>
      <c r="L2466">
        <v>23.1</v>
      </c>
      <c r="M2466">
        <v>31.4</v>
      </c>
      <c r="N2466" t="s">
        <v>81</v>
      </c>
      <c r="O2466" t="s">
        <v>47</v>
      </c>
      <c r="P2466" t="s">
        <v>68</v>
      </c>
      <c r="R2466">
        <f>SUMIF(A2466:A7465,"C02465",I2466:I7465)</f>
        <v>14807.41</v>
      </c>
      <c r="S2466" s="1">
        <v>68067.48</v>
      </c>
      <c r="T2466">
        <f t="shared" si="285"/>
        <v>435.512058823529</v>
      </c>
      <c r="U2466">
        <f t="shared" ref="U2466:U2529" si="286">J2466*M2466</f>
        <v>1067.6</v>
      </c>
      <c r="V2466">
        <f t="shared" si="284"/>
        <v>88.9666666666667</v>
      </c>
      <c r="W2466">
        <f t="shared" si="280"/>
        <v>5395.88666666667</v>
      </c>
      <c r="X2466">
        <f t="shared" si="282"/>
        <v>0.684429943810042</v>
      </c>
      <c r="AH2466" t="str">
        <f t="shared" si="283"/>
        <v>3rd Quality</v>
      </c>
      <c r="AJ2466">
        <f>((T2466-X2466)*2)/23.1</f>
        <v>37.6474137558198</v>
      </c>
      <c r="AK2466">
        <f t="shared" si="279"/>
        <v>411123.383529412</v>
      </c>
    </row>
    <row r="2467" spans="1:37">
      <c r="A2467" t="s">
        <v>2533</v>
      </c>
      <c r="B2467">
        <v>19</v>
      </c>
      <c r="C2467" t="s">
        <v>50</v>
      </c>
      <c r="D2467" t="s">
        <v>60</v>
      </c>
      <c r="E2467">
        <v>1249</v>
      </c>
      <c r="F2467">
        <v>85</v>
      </c>
      <c r="G2467">
        <v>3</v>
      </c>
      <c r="H2467">
        <v>1221.09</v>
      </c>
      <c r="I2467">
        <v>3985.11</v>
      </c>
      <c r="J2467">
        <v>26</v>
      </c>
      <c r="K2467">
        <v>1</v>
      </c>
      <c r="L2467">
        <v>27.5</v>
      </c>
      <c r="M2467">
        <v>12.3</v>
      </c>
      <c r="N2467" t="s">
        <v>46</v>
      </c>
      <c r="O2467" t="s">
        <v>47</v>
      </c>
      <c r="P2467" t="s">
        <v>66</v>
      </c>
      <c r="R2467">
        <f>SUMIF(A2467:A7466,"C02466",I2467:I7466)</f>
        <v>3985.11</v>
      </c>
      <c r="S2467" s="1">
        <v>51793.79</v>
      </c>
      <c r="T2467">
        <f t="shared" si="285"/>
        <v>153.273461538462</v>
      </c>
      <c r="U2467">
        <f t="shared" si="286"/>
        <v>319.8</v>
      </c>
      <c r="V2467">
        <f>U2467</f>
        <v>319.8</v>
      </c>
      <c r="W2467">
        <f t="shared" si="280"/>
        <v>1735.73333333333</v>
      </c>
      <c r="X2467">
        <f t="shared" si="282"/>
        <v>1.02285662809457</v>
      </c>
      <c r="AH2467" t="str">
        <f t="shared" si="283"/>
        <v>3rd Quality</v>
      </c>
      <c r="AJ2467">
        <f>((T2467-X2467)*2)/27.5</f>
        <v>11.0727712662085</v>
      </c>
      <c r="AK2467">
        <f t="shared" si="279"/>
        <v>191438.553461538</v>
      </c>
    </row>
    <row r="2468" spans="1:37">
      <c r="A2468" t="s">
        <v>2534</v>
      </c>
      <c r="B2468">
        <v>25</v>
      </c>
      <c r="C2468" t="s">
        <v>50</v>
      </c>
      <c r="D2468" t="s">
        <v>60</v>
      </c>
      <c r="E2468">
        <v>1080</v>
      </c>
      <c r="F2468">
        <v>5</v>
      </c>
      <c r="G2468">
        <v>6</v>
      </c>
      <c r="H2468">
        <v>828.62</v>
      </c>
      <c r="I2468">
        <v>5129.42</v>
      </c>
      <c r="J2468">
        <v>41</v>
      </c>
      <c r="K2468">
        <v>2</v>
      </c>
      <c r="L2468">
        <v>22.4</v>
      </c>
      <c r="M2468">
        <v>19.5</v>
      </c>
      <c r="N2468" t="s">
        <v>78</v>
      </c>
      <c r="O2468" t="s">
        <v>53</v>
      </c>
      <c r="P2468" t="s">
        <v>66</v>
      </c>
      <c r="R2468">
        <f>SUMIF(A2468:A7467,"C02467",I2468:I7467)</f>
        <v>5129.42</v>
      </c>
      <c r="S2468" s="1">
        <v>14422.88</v>
      </c>
      <c r="T2468">
        <f t="shared" si="285"/>
        <v>125.107804878049</v>
      </c>
      <c r="U2468">
        <f t="shared" si="286"/>
        <v>799.5</v>
      </c>
      <c r="V2468">
        <f>U2468</f>
        <v>799.5</v>
      </c>
      <c r="W2468">
        <f t="shared" si="280"/>
        <v>1986.34666666667</v>
      </c>
      <c r="X2468">
        <f t="shared" si="282"/>
        <v>1.3033718713041</v>
      </c>
      <c r="AH2468" t="str">
        <f t="shared" si="283"/>
        <v>3rd Quality</v>
      </c>
      <c r="AJ2468">
        <f>((T2468-X2468)*2)/22.4</f>
        <v>11.0539672327451</v>
      </c>
      <c r="AK2468">
        <f t="shared" si="279"/>
        <v>135116.429268293</v>
      </c>
    </row>
    <row r="2469" spans="1:37">
      <c r="A2469" t="s">
        <v>2535</v>
      </c>
      <c r="B2469">
        <v>32</v>
      </c>
      <c r="C2469" t="s">
        <v>50</v>
      </c>
      <c r="D2469" t="s">
        <v>45</v>
      </c>
      <c r="E2469">
        <v>1079</v>
      </c>
      <c r="F2469">
        <v>17</v>
      </c>
      <c r="G2469">
        <v>4</v>
      </c>
      <c r="H2469">
        <v>15662.24</v>
      </c>
      <c r="I2469">
        <v>68067.48</v>
      </c>
      <c r="J2469">
        <v>23</v>
      </c>
      <c r="K2469">
        <v>0</v>
      </c>
      <c r="L2469">
        <v>6.2</v>
      </c>
      <c r="M2469">
        <v>29.6</v>
      </c>
      <c r="N2469" t="s">
        <v>52</v>
      </c>
      <c r="O2469" t="s">
        <v>75</v>
      </c>
      <c r="P2469" t="s">
        <v>66</v>
      </c>
      <c r="R2469">
        <f>SUMIF(A2469:A7468,"C02468",I2469:I7468)</f>
        <v>68067.48</v>
      </c>
      <c r="S2469" s="1">
        <v>8920.38</v>
      </c>
      <c r="T2469">
        <f t="shared" si="285"/>
        <v>2959.45565217391</v>
      </c>
      <c r="U2469">
        <f t="shared" si="286"/>
        <v>680.8</v>
      </c>
      <c r="V2469">
        <f t="shared" si="284"/>
        <v>56.7333333333333</v>
      </c>
      <c r="W2469">
        <f t="shared" si="280"/>
        <v>27910.24</v>
      </c>
      <c r="X2469">
        <f t="shared" si="282"/>
        <v>0.0688918060251918</v>
      </c>
      <c r="AH2469" t="str">
        <f t="shared" si="283"/>
        <v>1st Quality</v>
      </c>
      <c r="AJ2469">
        <f>((T2469-X2469)*2)/6.2</f>
        <v>954.640890441253</v>
      </c>
      <c r="AK2469">
        <f t="shared" si="279"/>
        <v>3193252.64869565</v>
      </c>
    </row>
    <row r="2470" spans="1:37">
      <c r="A2470" t="s">
        <v>2536</v>
      </c>
      <c r="B2470">
        <v>30</v>
      </c>
      <c r="C2470" t="s">
        <v>44</v>
      </c>
      <c r="D2470" t="s">
        <v>45</v>
      </c>
      <c r="E2470">
        <v>990</v>
      </c>
      <c r="F2470">
        <v>8</v>
      </c>
      <c r="G2470">
        <v>4</v>
      </c>
      <c r="H2470">
        <v>13056.96</v>
      </c>
      <c r="I2470">
        <v>51793.79</v>
      </c>
      <c r="J2470">
        <v>31</v>
      </c>
      <c r="K2470">
        <v>1</v>
      </c>
      <c r="L2470">
        <v>2.3</v>
      </c>
      <c r="M2470">
        <v>18.1</v>
      </c>
      <c r="N2470" t="s">
        <v>81</v>
      </c>
      <c r="O2470" t="s">
        <v>47</v>
      </c>
      <c r="P2470" t="s">
        <v>58</v>
      </c>
      <c r="R2470">
        <f>SUMIF(A2470:A7469,"C02469",I2470:I7469)</f>
        <v>51793.79</v>
      </c>
      <c r="S2470" s="1">
        <v>1542.8</v>
      </c>
      <c r="T2470">
        <f t="shared" si="285"/>
        <v>1670.76741935484</v>
      </c>
      <c r="U2470">
        <f t="shared" si="286"/>
        <v>561.1</v>
      </c>
      <c r="V2470">
        <f>U2470</f>
        <v>561.1</v>
      </c>
      <c r="W2470">
        <f t="shared" si="280"/>
        <v>21617.25</v>
      </c>
      <c r="X2470">
        <f t="shared" si="282"/>
        <v>0.0758216307624439</v>
      </c>
      <c r="AH2470" t="str">
        <f t="shared" si="283"/>
        <v>1st Quality</v>
      </c>
      <c r="AJ2470">
        <f>((T2470-X2470)*2)/2.3</f>
        <v>1452.77530236876</v>
      </c>
      <c r="AK2470">
        <f t="shared" si="279"/>
        <v>1654059.74516129</v>
      </c>
    </row>
    <row r="2471" spans="1:37">
      <c r="A2471" t="s">
        <v>2537</v>
      </c>
      <c r="B2471">
        <v>23</v>
      </c>
      <c r="C2471" t="s">
        <v>50</v>
      </c>
      <c r="D2471" t="s">
        <v>51</v>
      </c>
      <c r="E2471">
        <v>415</v>
      </c>
      <c r="F2471">
        <v>22</v>
      </c>
      <c r="G2471">
        <v>11</v>
      </c>
      <c r="H2471">
        <v>1479.65</v>
      </c>
      <c r="I2471">
        <v>14422.88</v>
      </c>
      <c r="J2471">
        <v>51</v>
      </c>
      <c r="K2471">
        <v>1</v>
      </c>
      <c r="L2471">
        <v>9.8</v>
      </c>
      <c r="M2471">
        <v>55.9</v>
      </c>
      <c r="N2471" t="s">
        <v>81</v>
      </c>
      <c r="O2471" t="s">
        <v>53</v>
      </c>
      <c r="P2471" t="s">
        <v>48</v>
      </c>
      <c r="R2471">
        <f>SUMIF(A2471:A7470,"C02470",I2471:I7470)</f>
        <v>14422.88</v>
      </c>
      <c r="S2471" s="1">
        <v>2155.52</v>
      </c>
      <c r="T2471">
        <f t="shared" si="285"/>
        <v>282.801568627451</v>
      </c>
      <c r="U2471">
        <f t="shared" si="286"/>
        <v>2850.9</v>
      </c>
      <c r="V2471">
        <f>U2471</f>
        <v>2850.9</v>
      </c>
      <c r="W2471">
        <f t="shared" si="280"/>
        <v>5301.17666666667</v>
      </c>
      <c r="X2471">
        <f t="shared" si="282"/>
        <v>0.280471733180144</v>
      </c>
      <c r="AH2471" t="str">
        <f t="shared" si="283"/>
        <v>3rd Quality</v>
      </c>
      <c r="AJ2471">
        <f>((T2471-X2471)*2)/9.8</f>
        <v>57.6573667131165</v>
      </c>
      <c r="AK2471">
        <f t="shared" si="279"/>
        <v>117362.650980392</v>
      </c>
    </row>
    <row r="2472" spans="1:37">
      <c r="A2472" t="s">
        <v>2538</v>
      </c>
      <c r="B2472">
        <v>26</v>
      </c>
      <c r="C2472" t="s">
        <v>50</v>
      </c>
      <c r="D2472" t="s">
        <v>45</v>
      </c>
      <c r="E2472">
        <v>444</v>
      </c>
      <c r="F2472">
        <v>6</v>
      </c>
      <c r="G2472">
        <v>7</v>
      </c>
      <c r="H2472">
        <v>1227.79</v>
      </c>
      <c r="I2472">
        <v>8920.38</v>
      </c>
      <c r="J2472">
        <v>53</v>
      </c>
      <c r="K2472">
        <v>0</v>
      </c>
      <c r="L2472">
        <v>31.1</v>
      </c>
      <c r="M2472">
        <v>55.3</v>
      </c>
      <c r="N2472" t="s">
        <v>46</v>
      </c>
      <c r="O2472" t="s">
        <v>47</v>
      </c>
      <c r="P2472" t="s">
        <v>58</v>
      </c>
      <c r="R2472">
        <f>SUMIF(A2472:A7471,"C02471",I2472:I7471)</f>
        <v>8920.38</v>
      </c>
      <c r="S2472" s="1">
        <v>15967.24</v>
      </c>
      <c r="T2472">
        <f t="shared" si="285"/>
        <v>168.309056603774</v>
      </c>
      <c r="U2472">
        <f t="shared" si="286"/>
        <v>2930.9</v>
      </c>
      <c r="V2472">
        <f>U2472/12</f>
        <v>244.241666666667</v>
      </c>
      <c r="W2472">
        <f t="shared" si="280"/>
        <v>3383.05666666667</v>
      </c>
      <c r="X2472">
        <f t="shared" si="282"/>
        <v>0.361625359385563</v>
      </c>
      <c r="AH2472" t="str">
        <f t="shared" si="283"/>
        <v>3rd Quality</v>
      </c>
      <c r="AJ2472">
        <f>((T2472-X2472)*2)/31.1</f>
        <v>10.8004778935298</v>
      </c>
      <c r="AK2472">
        <f t="shared" si="279"/>
        <v>74729.2211320755</v>
      </c>
    </row>
    <row r="2473" spans="1:37">
      <c r="A2473" t="s">
        <v>2539</v>
      </c>
      <c r="B2473">
        <v>23</v>
      </c>
      <c r="C2473" t="s">
        <v>44</v>
      </c>
      <c r="D2473" t="s">
        <v>60</v>
      </c>
      <c r="E2473">
        <v>452</v>
      </c>
      <c r="F2473">
        <v>102</v>
      </c>
      <c r="G2473">
        <v>1</v>
      </c>
      <c r="H2473">
        <v>1387.61</v>
      </c>
      <c r="I2473">
        <v>1542.8</v>
      </c>
      <c r="J2473">
        <v>18</v>
      </c>
      <c r="K2473">
        <v>0</v>
      </c>
      <c r="L2473">
        <v>12.1</v>
      </c>
      <c r="M2473">
        <v>43.6</v>
      </c>
      <c r="N2473" t="s">
        <v>46</v>
      </c>
      <c r="O2473" t="s">
        <v>53</v>
      </c>
      <c r="P2473" t="s">
        <v>58</v>
      </c>
      <c r="R2473">
        <f>SUMIF(A2473:A7472,"C02472",I2473:I7472)</f>
        <v>1542.8</v>
      </c>
      <c r="S2473" s="1">
        <v>15722.79</v>
      </c>
      <c r="T2473">
        <f t="shared" si="285"/>
        <v>85.7111111111111</v>
      </c>
      <c r="U2473">
        <f t="shared" si="286"/>
        <v>784.8</v>
      </c>
      <c r="V2473">
        <f t="shared" si="284"/>
        <v>65.4</v>
      </c>
      <c r="W2473">
        <f t="shared" si="280"/>
        <v>977.136666666667</v>
      </c>
      <c r="X2473">
        <f t="shared" si="282"/>
        <v>0.325739941337984</v>
      </c>
      <c r="AH2473" t="str">
        <f t="shared" si="283"/>
        <v>3rd Quality</v>
      </c>
      <c r="AJ2473">
        <f>((T2473-X2473)*2)/12.1</f>
        <v>14.1132844908716</v>
      </c>
      <c r="AK2473">
        <f t="shared" si="279"/>
        <v>38741.4222222222</v>
      </c>
    </row>
    <row r="2474" spans="1:37">
      <c r="A2474" t="s">
        <v>2540</v>
      </c>
      <c r="B2474">
        <v>49</v>
      </c>
      <c r="C2474" t="s">
        <v>50</v>
      </c>
      <c r="D2474" t="s">
        <v>51</v>
      </c>
      <c r="E2474">
        <v>666</v>
      </c>
      <c r="F2474">
        <v>57</v>
      </c>
      <c r="G2474">
        <v>4</v>
      </c>
      <c r="H2474">
        <v>488.44</v>
      </c>
      <c r="I2474">
        <v>2155.52</v>
      </c>
      <c r="J2474">
        <v>17</v>
      </c>
      <c r="K2474">
        <v>0</v>
      </c>
      <c r="L2474">
        <v>27.1</v>
      </c>
      <c r="M2474">
        <v>17.9</v>
      </c>
      <c r="N2474" t="s">
        <v>57</v>
      </c>
      <c r="O2474" t="s">
        <v>47</v>
      </c>
      <c r="P2474" t="s">
        <v>58</v>
      </c>
      <c r="R2474">
        <f>SUMIF(A2474:A7473,"C02473",I2474:I7473)</f>
        <v>2155.52</v>
      </c>
      <c r="S2474" s="1">
        <v>179709.9</v>
      </c>
      <c r="T2474">
        <f t="shared" si="285"/>
        <v>126.795294117647</v>
      </c>
      <c r="U2474">
        <f t="shared" si="286"/>
        <v>304.3</v>
      </c>
      <c r="V2474">
        <f t="shared" si="284"/>
        <v>25.3583333333333</v>
      </c>
      <c r="W2474">
        <f t="shared" si="280"/>
        <v>881.653333333333</v>
      </c>
      <c r="X2474">
        <f t="shared" si="282"/>
        <v>1.36352469085251</v>
      </c>
      <c r="AH2474" t="str">
        <f t="shared" si="283"/>
        <v>3rd Quality</v>
      </c>
      <c r="AJ2474">
        <f>((T2474-X2474)*2)/27.1</f>
        <v>9.25695715326897</v>
      </c>
      <c r="AK2474">
        <f t="shared" si="279"/>
        <v>84445.6658823529</v>
      </c>
    </row>
    <row r="2475" spans="1:37">
      <c r="A2475" t="s">
        <v>2541</v>
      </c>
      <c r="B2475">
        <v>48</v>
      </c>
      <c r="C2475" t="s">
        <v>44</v>
      </c>
      <c r="D2475" t="s">
        <v>51</v>
      </c>
      <c r="E2475">
        <v>895</v>
      </c>
      <c r="F2475">
        <v>30</v>
      </c>
      <c r="G2475">
        <v>3</v>
      </c>
      <c r="H2475">
        <v>5807.39</v>
      </c>
      <c r="I2475">
        <v>15967.24</v>
      </c>
      <c r="J2475">
        <v>28</v>
      </c>
      <c r="K2475">
        <v>0</v>
      </c>
      <c r="L2475">
        <v>0</v>
      </c>
      <c r="M2475">
        <v>23.1</v>
      </c>
      <c r="N2475" t="s">
        <v>81</v>
      </c>
      <c r="O2475" t="s">
        <v>53</v>
      </c>
      <c r="P2475" t="s">
        <v>58</v>
      </c>
      <c r="R2475">
        <f>SUMIF(A2475:A7474,"C02474",I2475:I7474)</f>
        <v>15967.24</v>
      </c>
      <c r="S2475" s="1">
        <v>62384.73</v>
      </c>
      <c r="T2475">
        <f t="shared" si="285"/>
        <v>570.258571428571</v>
      </c>
      <c r="U2475">
        <f t="shared" si="286"/>
        <v>646.8</v>
      </c>
      <c r="V2475">
        <f t="shared" si="284"/>
        <v>53.9</v>
      </c>
      <c r="W2475">
        <f t="shared" si="280"/>
        <v>7258.54333333333</v>
      </c>
      <c r="X2475">
        <f t="shared" si="282"/>
        <v>0.154113982356962</v>
      </c>
      <c r="AH2475" t="str">
        <f t="shared" si="283"/>
        <v>3rd Quality</v>
      </c>
      <c r="AJ2475">
        <f>((T2475-X2475)*2)</f>
        <v>1140.20891489243</v>
      </c>
      <c r="AK2475">
        <f t="shared" si="279"/>
        <v>510381.421428571</v>
      </c>
    </row>
    <row r="2476" spans="1:37">
      <c r="A2476" t="s">
        <v>2542</v>
      </c>
      <c r="B2476">
        <v>34</v>
      </c>
      <c r="C2476" t="s">
        <v>50</v>
      </c>
      <c r="D2476" t="s">
        <v>60</v>
      </c>
      <c r="E2476">
        <v>631</v>
      </c>
      <c r="F2476">
        <v>8</v>
      </c>
      <c r="G2476">
        <v>8</v>
      </c>
      <c r="H2476">
        <v>1970.29</v>
      </c>
      <c r="I2476">
        <v>15722.79</v>
      </c>
      <c r="J2476">
        <v>60</v>
      </c>
      <c r="K2476">
        <v>1</v>
      </c>
      <c r="L2476">
        <v>18.3</v>
      </c>
      <c r="M2476">
        <v>54.1</v>
      </c>
      <c r="N2476" t="s">
        <v>46</v>
      </c>
      <c r="O2476" t="s">
        <v>47</v>
      </c>
      <c r="P2476" t="s">
        <v>66</v>
      </c>
      <c r="R2476">
        <f>SUMIF(A2476:A7475,"C02475",I2476:I7475)</f>
        <v>15722.79</v>
      </c>
      <c r="S2476" s="1">
        <v>95651.15</v>
      </c>
      <c r="T2476">
        <f t="shared" si="285"/>
        <v>262.0465</v>
      </c>
      <c r="U2476">
        <f t="shared" si="286"/>
        <v>3246</v>
      </c>
      <c r="V2476">
        <f>U2476</f>
        <v>3246</v>
      </c>
      <c r="W2476">
        <f t="shared" si="280"/>
        <v>5898.02666666667</v>
      </c>
      <c r="X2476">
        <f t="shared" si="282"/>
        <v>0.320257424034025</v>
      </c>
      <c r="AH2476" t="str">
        <f t="shared" si="283"/>
        <v>3rd Quality</v>
      </c>
      <c r="AJ2476">
        <f>((T2476-X2476)*2)/18.3</f>
        <v>28.603960937264</v>
      </c>
      <c r="AK2476">
        <f t="shared" si="279"/>
        <v>165351.3415</v>
      </c>
    </row>
    <row r="2477" spans="1:37">
      <c r="A2477" t="s">
        <v>2543</v>
      </c>
      <c r="B2477">
        <v>38</v>
      </c>
      <c r="C2477" t="s">
        <v>44</v>
      </c>
      <c r="D2477" t="s">
        <v>60</v>
      </c>
      <c r="E2477">
        <v>950</v>
      </c>
      <c r="F2477">
        <v>23</v>
      </c>
      <c r="G2477">
        <v>29</v>
      </c>
      <c r="H2477">
        <v>5687.97</v>
      </c>
      <c r="I2477">
        <v>179709.9</v>
      </c>
      <c r="J2477">
        <v>129</v>
      </c>
      <c r="K2477">
        <v>0</v>
      </c>
      <c r="L2477">
        <v>16</v>
      </c>
      <c r="M2477">
        <v>38.2</v>
      </c>
      <c r="N2477" t="s">
        <v>63</v>
      </c>
      <c r="O2477" t="s">
        <v>75</v>
      </c>
      <c r="P2477" t="s">
        <v>58</v>
      </c>
      <c r="R2477">
        <f>SUMIF(A2477:A7476,"C02476",I2477:I7476)</f>
        <v>179709.9</v>
      </c>
      <c r="S2477" s="1">
        <v>10800.29</v>
      </c>
      <c r="T2477">
        <f t="shared" si="285"/>
        <v>1393.1</v>
      </c>
      <c r="U2477">
        <f t="shared" si="286"/>
        <v>4927.8</v>
      </c>
      <c r="V2477">
        <f t="shared" si="284"/>
        <v>410.65</v>
      </c>
      <c r="W2477">
        <f t="shared" si="280"/>
        <v>61799.6233333333</v>
      </c>
      <c r="X2477">
        <f t="shared" si="282"/>
        <v>0.167019165009661</v>
      </c>
      <c r="AH2477" t="str">
        <f t="shared" si="283"/>
        <v>2nd Quality</v>
      </c>
      <c r="AJ2477">
        <f>((T2477-X2477)*2)/16</f>
        <v>174.116622604374</v>
      </c>
      <c r="AK2477">
        <f t="shared" si="279"/>
        <v>1323445</v>
      </c>
    </row>
    <row r="2478" spans="1:37">
      <c r="A2478" t="s">
        <v>2544</v>
      </c>
      <c r="B2478">
        <v>50</v>
      </c>
      <c r="C2478" t="s">
        <v>50</v>
      </c>
      <c r="D2478" t="s">
        <v>45</v>
      </c>
      <c r="E2478">
        <v>1325</v>
      </c>
      <c r="F2478">
        <v>6</v>
      </c>
      <c r="G2478">
        <v>30</v>
      </c>
      <c r="H2478">
        <v>2122</v>
      </c>
      <c r="I2478">
        <v>62384.73</v>
      </c>
      <c r="J2478">
        <v>187</v>
      </c>
      <c r="K2478">
        <v>3</v>
      </c>
      <c r="L2478">
        <v>15.5</v>
      </c>
      <c r="M2478">
        <v>40.4</v>
      </c>
      <c r="N2478" t="s">
        <v>63</v>
      </c>
      <c r="O2478" t="s">
        <v>47</v>
      </c>
      <c r="P2478" t="s">
        <v>48</v>
      </c>
      <c r="R2478">
        <f>SUMIF(A2478:A7477,"C02477",I2478:I7477)</f>
        <v>62384.73</v>
      </c>
      <c r="S2478" s="1">
        <v>1167.98</v>
      </c>
      <c r="T2478">
        <f t="shared" si="285"/>
        <v>333.608181818182</v>
      </c>
      <c r="U2478">
        <f t="shared" si="286"/>
        <v>7554.8</v>
      </c>
      <c r="V2478">
        <f>U2478</f>
        <v>7554.8</v>
      </c>
      <c r="W2478">
        <f t="shared" si="280"/>
        <v>21502.5766666667</v>
      </c>
      <c r="X2478">
        <f t="shared" si="282"/>
        <v>0.624410933081998</v>
      </c>
      <c r="AH2478" t="str">
        <f t="shared" si="283"/>
        <v>3rd Quality</v>
      </c>
      <c r="AJ2478">
        <f>((T2478-X2478)*2)/15.5</f>
        <v>42.9656478561419</v>
      </c>
      <c r="AK2478">
        <f t="shared" si="279"/>
        <v>442030.840909091</v>
      </c>
    </row>
    <row r="2479" spans="1:37">
      <c r="A2479" t="s">
        <v>2545</v>
      </c>
      <c r="B2479">
        <v>44</v>
      </c>
      <c r="C2479" t="s">
        <v>44</v>
      </c>
      <c r="D2479" t="s">
        <v>60</v>
      </c>
      <c r="E2479">
        <v>1418</v>
      </c>
      <c r="F2479">
        <v>13</v>
      </c>
      <c r="G2479">
        <v>29</v>
      </c>
      <c r="H2479">
        <v>3284</v>
      </c>
      <c r="I2479">
        <v>95651.15</v>
      </c>
      <c r="J2479">
        <v>212</v>
      </c>
      <c r="K2479">
        <v>0</v>
      </c>
      <c r="L2479">
        <v>9.2</v>
      </c>
      <c r="M2479">
        <v>35.5</v>
      </c>
      <c r="N2479" t="s">
        <v>46</v>
      </c>
      <c r="O2479" t="s">
        <v>75</v>
      </c>
      <c r="P2479" t="s">
        <v>58</v>
      </c>
      <c r="R2479">
        <f>SUMIF(A2479:A7478,"C02478",I2479:I7478)</f>
        <v>95651.15</v>
      </c>
      <c r="S2479" s="1">
        <v>48528.87</v>
      </c>
      <c r="T2479">
        <f t="shared" si="285"/>
        <v>451.184669811321</v>
      </c>
      <c r="U2479">
        <f t="shared" si="286"/>
        <v>7526</v>
      </c>
      <c r="V2479">
        <f t="shared" si="284"/>
        <v>627.166666666667</v>
      </c>
      <c r="W2479">
        <f t="shared" si="280"/>
        <v>32978.7166666667</v>
      </c>
      <c r="X2479">
        <f t="shared" si="282"/>
        <v>0.431790499390987</v>
      </c>
      <c r="AH2479" t="str">
        <f t="shared" si="283"/>
        <v>3rd Quality</v>
      </c>
      <c r="AJ2479">
        <f>((T2479-X2479)*2)/9.2</f>
        <v>97.9897563721587</v>
      </c>
      <c r="AK2479">
        <f t="shared" si="279"/>
        <v>639779.861792453</v>
      </c>
    </row>
    <row r="2480" spans="1:37">
      <c r="A2480" t="s">
        <v>2546</v>
      </c>
      <c r="B2480">
        <v>24</v>
      </c>
      <c r="C2480" t="s">
        <v>56</v>
      </c>
      <c r="D2480" t="s">
        <v>45</v>
      </c>
      <c r="E2480">
        <v>1087</v>
      </c>
      <c r="F2480">
        <v>20</v>
      </c>
      <c r="G2480">
        <v>13</v>
      </c>
      <c r="H2480">
        <v>742.16</v>
      </c>
      <c r="I2480">
        <v>10800.29</v>
      </c>
      <c r="J2480">
        <v>71</v>
      </c>
      <c r="K2480">
        <v>3</v>
      </c>
      <c r="L2480">
        <v>17.6</v>
      </c>
      <c r="M2480">
        <v>40.8</v>
      </c>
      <c r="N2480" t="s">
        <v>57</v>
      </c>
      <c r="O2480" t="s">
        <v>53</v>
      </c>
      <c r="P2480" t="s">
        <v>68</v>
      </c>
      <c r="R2480">
        <f>SUMIF(A2480:A7479,"C02479",I2480:I7479)</f>
        <v>10800.29</v>
      </c>
      <c r="S2480" s="1">
        <v>8871.84</v>
      </c>
      <c r="T2480">
        <f t="shared" si="285"/>
        <v>152.11676056338</v>
      </c>
      <c r="U2480">
        <f t="shared" si="286"/>
        <v>2896.8</v>
      </c>
      <c r="V2480">
        <f>U2480</f>
        <v>2896.8</v>
      </c>
      <c r="W2480">
        <f t="shared" si="280"/>
        <v>3847.81666666667</v>
      </c>
      <c r="X2480">
        <f t="shared" si="282"/>
        <v>1.4646437425892</v>
      </c>
      <c r="AH2480" t="str">
        <f t="shared" si="283"/>
        <v>3rd Quality</v>
      </c>
      <c r="AJ2480">
        <f>((T2480-X2480)*2)/17.6</f>
        <v>17.1195587296353</v>
      </c>
      <c r="AK2480">
        <f t="shared" si="279"/>
        <v>165350.918732394</v>
      </c>
    </row>
    <row r="2481" spans="1:37">
      <c r="A2481" t="s">
        <v>2547</v>
      </c>
      <c r="B2481">
        <v>37</v>
      </c>
      <c r="C2481" t="s">
        <v>50</v>
      </c>
      <c r="D2481" t="s">
        <v>51</v>
      </c>
      <c r="E2481">
        <v>523</v>
      </c>
      <c r="F2481">
        <v>220</v>
      </c>
      <c r="G2481">
        <v>1</v>
      </c>
      <c r="H2481">
        <v>1172.87</v>
      </c>
      <c r="I2481">
        <v>1167.98</v>
      </c>
      <c r="J2481">
        <v>13</v>
      </c>
      <c r="K2481">
        <v>0</v>
      </c>
      <c r="L2481">
        <v>17.2</v>
      </c>
      <c r="M2481">
        <v>29.1</v>
      </c>
      <c r="N2481" t="s">
        <v>52</v>
      </c>
      <c r="O2481" t="s">
        <v>47</v>
      </c>
      <c r="P2481" t="s">
        <v>68</v>
      </c>
      <c r="R2481">
        <f>SUMIF(A2481:A7480,"C02480",I2481:I7480)</f>
        <v>1167.98</v>
      </c>
      <c r="S2481" s="1">
        <v>36735.24</v>
      </c>
      <c r="T2481">
        <f t="shared" si="285"/>
        <v>89.8446153846154</v>
      </c>
      <c r="U2481">
        <f t="shared" si="286"/>
        <v>378.3</v>
      </c>
      <c r="V2481">
        <f t="shared" si="284"/>
        <v>31.525</v>
      </c>
      <c r="W2481">
        <f t="shared" si="280"/>
        <v>780.616666666667</v>
      </c>
      <c r="X2481">
        <f t="shared" si="282"/>
        <v>0.445914722006702</v>
      </c>
      <c r="AH2481" t="str">
        <f t="shared" si="283"/>
        <v>3rd Quality</v>
      </c>
      <c r="AJ2481">
        <f>((T2481-X2481)*2)/28</f>
        <v>6.38562147590062</v>
      </c>
      <c r="AK2481">
        <f t="shared" si="279"/>
        <v>46988.7338461538</v>
      </c>
    </row>
    <row r="2482" spans="1:37">
      <c r="A2482" t="s">
        <v>2548</v>
      </c>
      <c r="B2482">
        <v>30</v>
      </c>
      <c r="C2482" t="s">
        <v>101</v>
      </c>
      <c r="D2482" t="s">
        <v>60</v>
      </c>
      <c r="E2482">
        <v>1182</v>
      </c>
      <c r="F2482">
        <v>29</v>
      </c>
      <c r="G2482">
        <v>5</v>
      </c>
      <c r="H2482">
        <v>10485.85</v>
      </c>
      <c r="I2482">
        <v>48528.87</v>
      </c>
      <c r="J2482">
        <v>43</v>
      </c>
      <c r="K2482">
        <v>0</v>
      </c>
      <c r="L2482">
        <v>9.5</v>
      </c>
      <c r="M2482">
        <v>14.1</v>
      </c>
      <c r="N2482" t="s">
        <v>78</v>
      </c>
      <c r="O2482" t="s">
        <v>75</v>
      </c>
      <c r="P2482" t="s">
        <v>58</v>
      </c>
      <c r="R2482">
        <f>SUMIF(A2482:A7481,"C02481",I2482:I7481)</f>
        <v>48528.87</v>
      </c>
      <c r="S2482" s="1">
        <v>23429.54</v>
      </c>
      <c r="T2482">
        <f t="shared" si="285"/>
        <v>1128.57837209302</v>
      </c>
      <c r="U2482">
        <f t="shared" si="286"/>
        <v>606.3</v>
      </c>
      <c r="V2482">
        <f t="shared" si="284"/>
        <v>50.525</v>
      </c>
      <c r="W2482">
        <f t="shared" si="280"/>
        <v>19671.9066666667</v>
      </c>
      <c r="X2482">
        <f t="shared" si="282"/>
        <v>0.112723336687059</v>
      </c>
      <c r="AH2482" t="str">
        <f t="shared" si="283"/>
        <v>1st Quality</v>
      </c>
      <c r="AJ2482">
        <f>((T2482-X2482)*2)/9.5</f>
        <v>237.571715527649</v>
      </c>
      <c r="AK2482">
        <f t="shared" si="279"/>
        <v>1333979.63581395</v>
      </c>
    </row>
    <row r="2483" spans="1:37">
      <c r="A2483" t="s">
        <v>2549</v>
      </c>
      <c r="B2483">
        <v>43</v>
      </c>
      <c r="C2483" t="s">
        <v>44</v>
      </c>
      <c r="D2483" t="s">
        <v>45</v>
      </c>
      <c r="E2483">
        <v>1251</v>
      </c>
      <c r="F2483">
        <v>85</v>
      </c>
      <c r="G2483">
        <v>9</v>
      </c>
      <c r="H2483">
        <v>1108.49</v>
      </c>
      <c r="I2483">
        <v>8871.84</v>
      </c>
      <c r="J2483">
        <v>59</v>
      </c>
      <c r="K2483">
        <v>0</v>
      </c>
      <c r="L2483">
        <v>11.5</v>
      </c>
      <c r="M2483">
        <v>20.9</v>
      </c>
      <c r="N2483" t="s">
        <v>81</v>
      </c>
      <c r="O2483" t="s">
        <v>75</v>
      </c>
      <c r="P2483" t="s">
        <v>58</v>
      </c>
      <c r="R2483">
        <f>SUMIF(A2483:A7482,"C02482",I2483:I7482)</f>
        <v>8871.84</v>
      </c>
      <c r="S2483" s="1">
        <v>2755.05</v>
      </c>
      <c r="T2483">
        <f t="shared" si="285"/>
        <v>150.370169491525</v>
      </c>
      <c r="U2483">
        <f t="shared" si="286"/>
        <v>1233.1</v>
      </c>
      <c r="V2483">
        <f t="shared" si="284"/>
        <v>102.758333333333</v>
      </c>
      <c r="W2483">
        <f t="shared" si="280"/>
        <v>3327.11</v>
      </c>
      <c r="X2483">
        <f t="shared" si="282"/>
        <v>1.12856227841478</v>
      </c>
      <c r="AH2483" t="str">
        <f t="shared" si="283"/>
        <v>3rd Quality</v>
      </c>
      <c r="AJ2483">
        <f>((T2483-X2483)*2)/11.5</f>
        <v>25.9550621240192</v>
      </c>
      <c r="AK2483">
        <f t="shared" si="279"/>
        <v>188113.082033898</v>
      </c>
    </row>
    <row r="2484" spans="1:37">
      <c r="A2484" t="s">
        <v>2550</v>
      </c>
      <c r="B2484">
        <v>18</v>
      </c>
      <c r="C2484" t="s">
        <v>44</v>
      </c>
      <c r="D2484" t="s">
        <v>60</v>
      </c>
      <c r="E2484">
        <v>1225</v>
      </c>
      <c r="F2484">
        <v>8</v>
      </c>
      <c r="G2484">
        <v>24</v>
      </c>
      <c r="H2484">
        <v>1544.96</v>
      </c>
      <c r="I2484">
        <v>36735.24</v>
      </c>
      <c r="J2484">
        <v>125</v>
      </c>
      <c r="K2484">
        <v>3</v>
      </c>
      <c r="L2484">
        <v>10.8</v>
      </c>
      <c r="M2484">
        <v>8.8</v>
      </c>
      <c r="N2484" t="s">
        <v>61</v>
      </c>
      <c r="O2484" t="s">
        <v>75</v>
      </c>
      <c r="P2484" t="s">
        <v>54</v>
      </c>
      <c r="R2484">
        <f>SUMIF(A2484:A7483,"C02483",I2484:I7483)</f>
        <v>36735.24</v>
      </c>
      <c r="S2484" s="1">
        <v>8545.31</v>
      </c>
      <c r="T2484">
        <f t="shared" si="285"/>
        <v>293.88192</v>
      </c>
      <c r="U2484">
        <f t="shared" si="286"/>
        <v>1100</v>
      </c>
      <c r="V2484">
        <f>U2484</f>
        <v>1100</v>
      </c>
      <c r="W2484">
        <f t="shared" si="280"/>
        <v>12760.4</v>
      </c>
      <c r="X2484">
        <f t="shared" si="282"/>
        <v>0.792900787075393</v>
      </c>
      <c r="AH2484" t="str">
        <f t="shared" si="283"/>
        <v>1st Quality</v>
      </c>
      <c r="AJ2484">
        <f>((T2484-X2484)*2)/10.8</f>
        <v>54.2757442986897</v>
      </c>
      <c r="AK2484">
        <f t="shared" si="279"/>
        <v>360005.352</v>
      </c>
    </row>
    <row r="2485" spans="1:37">
      <c r="A2485" t="s">
        <v>2551</v>
      </c>
      <c r="B2485">
        <v>18</v>
      </c>
      <c r="C2485" t="s">
        <v>50</v>
      </c>
      <c r="D2485" t="s">
        <v>51</v>
      </c>
      <c r="E2485">
        <v>1346</v>
      </c>
      <c r="F2485">
        <v>32</v>
      </c>
      <c r="G2485">
        <v>9</v>
      </c>
      <c r="H2485">
        <v>2594.19</v>
      </c>
      <c r="I2485">
        <v>23429.54</v>
      </c>
      <c r="J2485">
        <v>32</v>
      </c>
      <c r="K2485">
        <v>0</v>
      </c>
      <c r="L2485">
        <v>27.4</v>
      </c>
      <c r="M2485">
        <v>29.6</v>
      </c>
      <c r="N2485" t="s">
        <v>81</v>
      </c>
      <c r="O2485" t="s">
        <v>47</v>
      </c>
      <c r="P2485" t="s">
        <v>58</v>
      </c>
      <c r="R2485">
        <f>SUMIF(A2485:A7484,"C02484",I2485:I7484)</f>
        <v>23429.54</v>
      </c>
      <c r="S2485" s="1">
        <v>3195.03</v>
      </c>
      <c r="T2485">
        <f t="shared" si="285"/>
        <v>732.173125</v>
      </c>
      <c r="U2485">
        <f t="shared" si="286"/>
        <v>947.2</v>
      </c>
      <c r="V2485">
        <f t="shared" si="284"/>
        <v>78.9333333333333</v>
      </c>
      <c r="W2485">
        <f t="shared" si="280"/>
        <v>8674.91</v>
      </c>
      <c r="X2485">
        <f t="shared" si="282"/>
        <v>0.518851741776817</v>
      </c>
      <c r="AH2485" t="str">
        <f t="shared" si="283"/>
        <v>2nd Quality</v>
      </c>
      <c r="AJ2485">
        <f>((T2485-X2485)*2)/27.4</f>
        <v>53.4054214057097</v>
      </c>
      <c r="AK2485">
        <f t="shared" si="279"/>
        <v>985505.02625</v>
      </c>
    </row>
    <row r="2486" spans="1:37">
      <c r="A2486" t="s">
        <v>2552</v>
      </c>
      <c r="B2486">
        <v>38</v>
      </c>
      <c r="C2486" t="s">
        <v>44</v>
      </c>
      <c r="D2486" t="s">
        <v>60</v>
      </c>
      <c r="E2486">
        <v>374</v>
      </c>
      <c r="F2486">
        <v>37</v>
      </c>
      <c r="G2486">
        <v>3</v>
      </c>
      <c r="H2486">
        <v>834.27</v>
      </c>
      <c r="I2486">
        <v>2755.05</v>
      </c>
      <c r="J2486">
        <v>12</v>
      </c>
      <c r="K2486">
        <v>0</v>
      </c>
      <c r="L2486">
        <v>28.6</v>
      </c>
      <c r="M2486">
        <v>12.9</v>
      </c>
      <c r="N2486" t="s">
        <v>63</v>
      </c>
      <c r="O2486" t="s">
        <v>47</v>
      </c>
      <c r="P2486" t="s">
        <v>58</v>
      </c>
      <c r="R2486">
        <f>SUMIF(A2486:A7485,"C02485",I2486:I7485)</f>
        <v>2755.05</v>
      </c>
      <c r="S2486" s="1">
        <v>5321.73</v>
      </c>
      <c r="T2486">
        <f t="shared" si="285"/>
        <v>229.5875</v>
      </c>
      <c r="U2486">
        <f t="shared" si="286"/>
        <v>154.8</v>
      </c>
      <c r="V2486">
        <f t="shared" si="284"/>
        <v>12.9</v>
      </c>
      <c r="W2486">
        <f t="shared" si="280"/>
        <v>1196.77333333333</v>
      </c>
      <c r="X2486">
        <f t="shared" si="282"/>
        <v>0.448296115166553</v>
      </c>
      <c r="AH2486" t="str">
        <f t="shared" si="283"/>
        <v>3rd Quality</v>
      </c>
      <c r="AJ2486">
        <f>((T2486-X2486)*2)/28.6</f>
        <v>16.023720551387</v>
      </c>
      <c r="AK2486">
        <f t="shared" si="279"/>
        <v>85865.725</v>
      </c>
    </row>
    <row r="2487" spans="1:37">
      <c r="A2487" t="s">
        <v>2553</v>
      </c>
      <c r="B2487">
        <v>36</v>
      </c>
      <c r="C2487" t="s">
        <v>50</v>
      </c>
      <c r="D2487" t="s">
        <v>60</v>
      </c>
      <c r="E2487">
        <v>781</v>
      </c>
      <c r="F2487">
        <v>6</v>
      </c>
      <c r="G2487">
        <v>9</v>
      </c>
      <c r="H2487">
        <v>887.3</v>
      </c>
      <c r="I2487">
        <v>8545.31</v>
      </c>
      <c r="J2487">
        <v>24</v>
      </c>
      <c r="K2487">
        <v>0</v>
      </c>
      <c r="L2487">
        <v>21.9</v>
      </c>
      <c r="M2487">
        <v>44.6</v>
      </c>
      <c r="N2487" t="s">
        <v>52</v>
      </c>
      <c r="O2487" t="s">
        <v>53</v>
      </c>
      <c r="P2487" t="s">
        <v>66</v>
      </c>
      <c r="R2487">
        <f>SUMIF(A2487:A7486,"C02486",I2487:I7486)</f>
        <v>8545.31</v>
      </c>
      <c r="S2487" s="1">
        <v>57260.5</v>
      </c>
      <c r="T2487">
        <f t="shared" si="285"/>
        <v>356.054583333333</v>
      </c>
      <c r="U2487">
        <f t="shared" si="286"/>
        <v>1070.4</v>
      </c>
      <c r="V2487">
        <f t="shared" si="284"/>
        <v>89.2</v>
      </c>
      <c r="W2487">
        <f t="shared" si="280"/>
        <v>3144.53666666667</v>
      </c>
      <c r="X2487">
        <f t="shared" si="282"/>
        <v>0.880198354558774</v>
      </c>
      <c r="AH2487" t="str">
        <f t="shared" si="283"/>
        <v>3rd Quality</v>
      </c>
      <c r="AJ2487">
        <f>((T2487-X2487)*2)/21.9</f>
        <v>32.4360168930387</v>
      </c>
      <c r="AK2487">
        <f t="shared" si="279"/>
        <v>278078.629583333</v>
      </c>
    </row>
    <row r="2488" spans="1:37">
      <c r="A2488" t="s">
        <v>2554</v>
      </c>
      <c r="B2488">
        <v>39</v>
      </c>
      <c r="C2488" t="s">
        <v>44</v>
      </c>
      <c r="D2488" t="s">
        <v>60</v>
      </c>
      <c r="E2488">
        <v>1013</v>
      </c>
      <c r="F2488">
        <v>118</v>
      </c>
      <c r="G2488">
        <v>4</v>
      </c>
      <c r="H2488">
        <v>892.38</v>
      </c>
      <c r="I2488">
        <v>3195.03</v>
      </c>
      <c r="J2488">
        <v>25</v>
      </c>
      <c r="K2488">
        <v>0</v>
      </c>
      <c r="L2488">
        <v>23.9</v>
      </c>
      <c r="M2488">
        <v>12.8</v>
      </c>
      <c r="N2488" t="s">
        <v>81</v>
      </c>
      <c r="O2488" t="s">
        <v>47</v>
      </c>
      <c r="P2488" t="s">
        <v>68</v>
      </c>
      <c r="R2488">
        <f>SUMIF(A2488:A7487,"C02487",I2488:I7487)</f>
        <v>3195.03</v>
      </c>
      <c r="S2488" s="1">
        <v>29501.23</v>
      </c>
      <c r="T2488">
        <f t="shared" si="285"/>
        <v>127.8012</v>
      </c>
      <c r="U2488">
        <f t="shared" si="286"/>
        <v>320</v>
      </c>
      <c r="V2488">
        <f t="shared" si="284"/>
        <v>26.6666666666667</v>
      </c>
      <c r="W2488">
        <f t="shared" si="280"/>
        <v>1362.80333333333</v>
      </c>
      <c r="X2488">
        <f t="shared" si="282"/>
        <v>1.1351666330487</v>
      </c>
      <c r="AH2488" t="str">
        <f t="shared" si="283"/>
        <v>3rd Quality</v>
      </c>
      <c r="AJ2488">
        <f>((T2488-X2488)*2)/23.9</f>
        <v>10.59966806418</v>
      </c>
      <c r="AK2488">
        <f t="shared" si="279"/>
        <v>129462.6156</v>
      </c>
    </row>
    <row r="2489" spans="1:37">
      <c r="A2489" t="s">
        <v>2555</v>
      </c>
      <c r="B2489">
        <v>24</v>
      </c>
      <c r="C2489" t="s">
        <v>44</v>
      </c>
      <c r="D2489" t="s">
        <v>45</v>
      </c>
      <c r="E2489">
        <v>546</v>
      </c>
      <c r="F2489">
        <v>120</v>
      </c>
      <c r="G2489">
        <v>6</v>
      </c>
      <c r="H2489">
        <v>824.28</v>
      </c>
      <c r="I2489">
        <v>5321.73</v>
      </c>
      <c r="J2489">
        <v>40</v>
      </c>
      <c r="K2489">
        <v>0</v>
      </c>
      <c r="L2489">
        <v>31.1</v>
      </c>
      <c r="M2489">
        <v>23.5</v>
      </c>
      <c r="N2489" t="s">
        <v>81</v>
      </c>
      <c r="O2489" t="s">
        <v>47</v>
      </c>
      <c r="P2489" t="s">
        <v>58</v>
      </c>
      <c r="R2489">
        <f>SUMIF(A2489:A7488,"C02488",I2489:I7488)</f>
        <v>5321.73</v>
      </c>
      <c r="S2489" s="1">
        <v>1937.22</v>
      </c>
      <c r="T2489">
        <f t="shared" si="285"/>
        <v>133.04325</v>
      </c>
      <c r="U2489">
        <f t="shared" si="286"/>
        <v>940</v>
      </c>
      <c r="V2489">
        <f t="shared" si="284"/>
        <v>78.3333333333333</v>
      </c>
      <c r="W2489">
        <f t="shared" si="280"/>
        <v>2049.00333333333</v>
      </c>
      <c r="X2489">
        <f t="shared" si="282"/>
        <v>0.662396273111079</v>
      </c>
      <c r="AH2489" t="str">
        <f t="shared" si="283"/>
        <v>3rd Quality</v>
      </c>
      <c r="AJ2489">
        <f>((T2489-X2489)*2)/31.1</f>
        <v>8.5132381817935</v>
      </c>
      <c r="AK2489">
        <f t="shared" si="279"/>
        <v>72641.6145</v>
      </c>
    </row>
    <row r="2490" spans="1:37">
      <c r="A2490" t="s">
        <v>2556</v>
      </c>
      <c r="B2490">
        <v>18</v>
      </c>
      <c r="C2490" t="s">
        <v>50</v>
      </c>
      <c r="D2490" t="s">
        <v>60</v>
      </c>
      <c r="E2490">
        <v>803</v>
      </c>
      <c r="F2490">
        <v>11</v>
      </c>
      <c r="G2490">
        <v>17</v>
      </c>
      <c r="H2490">
        <v>3756.34</v>
      </c>
      <c r="I2490">
        <v>57260.5</v>
      </c>
      <c r="J2490">
        <v>82</v>
      </c>
      <c r="K2490">
        <v>2</v>
      </c>
      <c r="L2490">
        <v>20.3</v>
      </c>
      <c r="M2490">
        <v>39.9</v>
      </c>
      <c r="N2490" t="s">
        <v>46</v>
      </c>
      <c r="O2490" t="s">
        <v>47</v>
      </c>
      <c r="P2490" t="s">
        <v>58</v>
      </c>
      <c r="R2490">
        <f>SUMIF(A2490:A7489,"C02489",I2490:I7489)</f>
        <v>57260.5</v>
      </c>
      <c r="S2490" s="1">
        <v>19460.66</v>
      </c>
      <c r="T2490">
        <f t="shared" si="285"/>
        <v>698.298780487805</v>
      </c>
      <c r="U2490">
        <f t="shared" si="286"/>
        <v>3271.8</v>
      </c>
      <c r="V2490">
        <f>U2490</f>
        <v>3271.8</v>
      </c>
      <c r="W2490">
        <f t="shared" si="280"/>
        <v>20339.28</v>
      </c>
      <c r="X2490">
        <f t="shared" si="282"/>
        <v>0.213771916280209</v>
      </c>
      <c r="AH2490" t="str">
        <f t="shared" si="283"/>
        <v>2nd Quality</v>
      </c>
      <c r="AJ2490">
        <f>((T2490-X2490)*2)/20.3</f>
        <v>68.7768481351256</v>
      </c>
      <c r="AK2490">
        <f t="shared" si="279"/>
        <v>560733.920731707</v>
      </c>
    </row>
    <row r="2491" spans="1:37">
      <c r="A2491" t="s">
        <v>2557</v>
      </c>
      <c r="B2491">
        <v>28</v>
      </c>
      <c r="C2491" t="s">
        <v>44</v>
      </c>
      <c r="D2491" t="s">
        <v>60</v>
      </c>
      <c r="E2491">
        <v>638</v>
      </c>
      <c r="F2491">
        <v>59</v>
      </c>
      <c r="G2491">
        <v>4</v>
      </c>
      <c r="H2491">
        <v>8349.04</v>
      </c>
      <c r="I2491">
        <v>29501.23</v>
      </c>
      <c r="J2491">
        <v>33</v>
      </c>
      <c r="K2491">
        <v>0</v>
      </c>
      <c r="L2491">
        <v>15.8</v>
      </c>
      <c r="M2491">
        <v>18</v>
      </c>
      <c r="N2491" t="s">
        <v>81</v>
      </c>
      <c r="O2491" t="s">
        <v>47</v>
      </c>
      <c r="P2491" t="s">
        <v>68</v>
      </c>
      <c r="R2491">
        <f>SUMIF(A2491:A7490,"C02490",I2491:I7490)</f>
        <v>29501.23</v>
      </c>
      <c r="S2491" s="1">
        <v>64879.66</v>
      </c>
      <c r="T2491">
        <f t="shared" si="285"/>
        <v>893.976666666667</v>
      </c>
      <c r="U2491">
        <f t="shared" si="286"/>
        <v>594</v>
      </c>
      <c r="V2491">
        <f t="shared" si="284"/>
        <v>49.5</v>
      </c>
      <c r="W2491">
        <f t="shared" si="280"/>
        <v>12617.09</v>
      </c>
      <c r="X2491">
        <f t="shared" si="282"/>
        <v>0.0764159711775246</v>
      </c>
      <c r="AH2491" t="str">
        <f t="shared" si="283"/>
        <v>2nd Quality</v>
      </c>
      <c r="AJ2491">
        <f>((T2491-X2491)*2)/15.8</f>
        <v>113.151930467783</v>
      </c>
      <c r="AK2491">
        <f t="shared" si="279"/>
        <v>570357.113333333</v>
      </c>
    </row>
    <row r="2492" spans="1:37">
      <c r="A2492" t="s">
        <v>2558</v>
      </c>
      <c r="B2492">
        <v>18</v>
      </c>
      <c r="C2492" t="s">
        <v>44</v>
      </c>
      <c r="D2492" t="s">
        <v>60</v>
      </c>
      <c r="E2492">
        <v>607</v>
      </c>
      <c r="F2492">
        <v>208</v>
      </c>
      <c r="G2492">
        <v>1</v>
      </c>
      <c r="H2492">
        <v>1915.63</v>
      </c>
      <c r="I2492">
        <v>1937.22</v>
      </c>
      <c r="J2492">
        <v>8</v>
      </c>
      <c r="K2492">
        <v>0</v>
      </c>
      <c r="L2492">
        <v>13</v>
      </c>
      <c r="M2492">
        <v>21.8</v>
      </c>
      <c r="N2492" t="s">
        <v>61</v>
      </c>
      <c r="O2492" t="s">
        <v>75</v>
      </c>
      <c r="P2492" t="s">
        <v>58</v>
      </c>
      <c r="R2492">
        <f>SUMIF(A2492:A7491,"C02491",I2492:I7491)</f>
        <v>1937.22</v>
      </c>
      <c r="S2492" s="1">
        <v>1293.92</v>
      </c>
      <c r="T2492">
        <f t="shared" si="285"/>
        <v>242.1525</v>
      </c>
      <c r="U2492">
        <f t="shared" si="286"/>
        <v>174.4</v>
      </c>
      <c r="V2492">
        <f t="shared" si="284"/>
        <v>14.5333333333333</v>
      </c>
      <c r="W2492">
        <f t="shared" si="280"/>
        <v>1284.61666666667</v>
      </c>
      <c r="X2492">
        <f t="shared" si="282"/>
        <v>0.316867035909857</v>
      </c>
      <c r="AH2492" t="str">
        <f t="shared" si="283"/>
        <v>3rd Quality</v>
      </c>
      <c r="AJ2492">
        <f>((T2492-X2492)*2)/13</f>
        <v>37.2054819944754</v>
      </c>
      <c r="AK2492">
        <f t="shared" si="279"/>
        <v>146986.5675</v>
      </c>
    </row>
    <row r="2493" spans="1:37">
      <c r="A2493" t="s">
        <v>2559</v>
      </c>
      <c r="B2493">
        <v>21</v>
      </c>
      <c r="C2493" t="s">
        <v>50</v>
      </c>
      <c r="D2493" t="s">
        <v>60</v>
      </c>
      <c r="E2493">
        <v>1093</v>
      </c>
      <c r="F2493">
        <v>25</v>
      </c>
      <c r="G2493">
        <v>10</v>
      </c>
      <c r="H2493">
        <v>1932.25</v>
      </c>
      <c r="I2493">
        <v>19460.66</v>
      </c>
      <c r="J2493">
        <v>55</v>
      </c>
      <c r="K2493">
        <v>3</v>
      </c>
      <c r="L2493">
        <v>19.4</v>
      </c>
      <c r="M2493">
        <v>27.4</v>
      </c>
      <c r="N2493" t="s">
        <v>46</v>
      </c>
      <c r="O2493" t="s">
        <v>47</v>
      </c>
      <c r="P2493" t="s">
        <v>58</v>
      </c>
      <c r="R2493">
        <f>SUMIF(A2493:A7492,"C02492",I2493:I7492)</f>
        <v>19460.66</v>
      </c>
      <c r="S2493" s="1">
        <v>2574.53</v>
      </c>
      <c r="T2493">
        <f t="shared" si="285"/>
        <v>353.830181818182</v>
      </c>
      <c r="U2493">
        <f t="shared" si="286"/>
        <v>1507</v>
      </c>
      <c r="V2493">
        <f>U2493</f>
        <v>1507</v>
      </c>
      <c r="W2493">
        <f t="shared" si="280"/>
        <v>7131.30333333333</v>
      </c>
      <c r="X2493">
        <f t="shared" si="282"/>
        <v>0.565661793246216</v>
      </c>
      <c r="AH2493" t="str">
        <f t="shared" si="283"/>
        <v>2nd Quality</v>
      </c>
      <c r="AJ2493">
        <f>((T2493-X2493)*2)/19.4</f>
        <v>36.4190226829831</v>
      </c>
      <c r="AK2493">
        <f t="shared" si="279"/>
        <v>386736.388727273</v>
      </c>
    </row>
    <row r="2494" spans="1:37">
      <c r="A2494" t="s">
        <v>2560</v>
      </c>
      <c r="B2494">
        <v>43</v>
      </c>
      <c r="C2494" t="s">
        <v>50</v>
      </c>
      <c r="D2494" t="s">
        <v>60</v>
      </c>
      <c r="E2494">
        <v>1096</v>
      </c>
      <c r="F2494">
        <v>11</v>
      </c>
      <c r="G2494">
        <v>35</v>
      </c>
      <c r="H2494">
        <v>1939.13</v>
      </c>
      <c r="I2494">
        <v>64879.66</v>
      </c>
      <c r="J2494">
        <v>257</v>
      </c>
      <c r="K2494">
        <v>4</v>
      </c>
      <c r="L2494">
        <v>18.6</v>
      </c>
      <c r="M2494">
        <v>26.1</v>
      </c>
      <c r="N2494" t="s">
        <v>57</v>
      </c>
      <c r="O2494" t="s">
        <v>47</v>
      </c>
      <c r="P2494" t="s">
        <v>68</v>
      </c>
      <c r="R2494">
        <f>SUMIF(A2494:A7493,"C02493",I2494:I7493)</f>
        <v>64879.66</v>
      </c>
      <c r="S2494" s="1">
        <v>40151.72</v>
      </c>
      <c r="T2494">
        <f t="shared" si="285"/>
        <v>252.450038910506</v>
      </c>
      <c r="U2494">
        <f t="shared" si="286"/>
        <v>6707.7</v>
      </c>
      <c r="V2494">
        <f>U2494</f>
        <v>6707.7</v>
      </c>
      <c r="W2494">
        <f t="shared" si="280"/>
        <v>22273.2633333333</v>
      </c>
      <c r="X2494">
        <f t="shared" si="282"/>
        <v>0.565201920448861</v>
      </c>
      <c r="AH2494" t="str">
        <f t="shared" si="283"/>
        <v>2nd Quality</v>
      </c>
      <c r="AJ2494">
        <f>((T2494-X2494)*2)/18.6</f>
        <v>27.0843910741997</v>
      </c>
      <c r="AK2494">
        <f t="shared" si="279"/>
        <v>276685.242645914</v>
      </c>
    </row>
    <row r="2495" spans="1:37">
      <c r="A2495" t="s">
        <v>2561</v>
      </c>
      <c r="B2495">
        <v>29</v>
      </c>
      <c r="C2495" t="s">
        <v>50</v>
      </c>
      <c r="D2495" t="s">
        <v>45</v>
      </c>
      <c r="E2495">
        <v>446</v>
      </c>
      <c r="F2495">
        <v>182</v>
      </c>
      <c r="G2495">
        <v>1</v>
      </c>
      <c r="H2495">
        <v>1306.29</v>
      </c>
      <c r="I2495">
        <v>1293.92</v>
      </c>
      <c r="J2495">
        <v>13</v>
      </c>
      <c r="K2495">
        <v>0</v>
      </c>
      <c r="L2495">
        <v>21.2</v>
      </c>
      <c r="M2495">
        <v>35.2</v>
      </c>
      <c r="N2495" t="s">
        <v>52</v>
      </c>
      <c r="O2495" t="s">
        <v>47</v>
      </c>
      <c r="P2495" t="s">
        <v>58</v>
      </c>
      <c r="R2495">
        <f>SUMIF(A2495:A7494,"C02494",I2495:I7494)</f>
        <v>1293.92</v>
      </c>
      <c r="S2495" s="1">
        <v>79752.32</v>
      </c>
      <c r="T2495">
        <f t="shared" si="285"/>
        <v>99.5323076923077</v>
      </c>
      <c r="U2495">
        <f t="shared" si="286"/>
        <v>457.6</v>
      </c>
      <c r="V2495">
        <f t="shared" si="284"/>
        <v>38.1333333333333</v>
      </c>
      <c r="W2495">
        <f t="shared" si="280"/>
        <v>867.07</v>
      </c>
      <c r="X2495">
        <f t="shared" si="282"/>
        <v>0.34142495158043</v>
      </c>
      <c r="AH2495" t="str">
        <f t="shared" si="283"/>
        <v>3rd Quality</v>
      </c>
      <c r="AJ2495">
        <f>((T2495-X2495)*2)/21.2</f>
        <v>9.35763044723842</v>
      </c>
      <c r="AK2495">
        <f t="shared" si="279"/>
        <v>44391.4092307692</v>
      </c>
    </row>
    <row r="2496" spans="1:37">
      <c r="A2496" t="s">
        <v>2562</v>
      </c>
      <c r="B2496">
        <v>27</v>
      </c>
      <c r="C2496" t="s">
        <v>44</v>
      </c>
      <c r="D2496" t="s">
        <v>60</v>
      </c>
      <c r="E2496">
        <v>1115</v>
      </c>
      <c r="F2496">
        <v>56</v>
      </c>
      <c r="G2496">
        <v>1</v>
      </c>
      <c r="H2496">
        <v>2338.59</v>
      </c>
      <c r="I2496">
        <v>2574.53</v>
      </c>
      <c r="J2496">
        <v>10</v>
      </c>
      <c r="K2496">
        <v>0</v>
      </c>
      <c r="L2496">
        <v>21</v>
      </c>
      <c r="M2496">
        <v>12.7</v>
      </c>
      <c r="N2496" t="s">
        <v>63</v>
      </c>
      <c r="O2496" t="s">
        <v>47</v>
      </c>
      <c r="P2496" t="s">
        <v>58</v>
      </c>
      <c r="R2496">
        <f>SUMIF(A2496:A7495,"C02495",I2496:I7495)</f>
        <v>2574.53</v>
      </c>
      <c r="S2496" s="1">
        <v>73873.32</v>
      </c>
      <c r="T2496">
        <f t="shared" si="285"/>
        <v>257.453</v>
      </c>
      <c r="U2496">
        <f t="shared" si="286"/>
        <v>127</v>
      </c>
      <c r="V2496">
        <f t="shared" si="284"/>
        <v>10.5833333333333</v>
      </c>
      <c r="W2496">
        <f t="shared" si="280"/>
        <v>1638.04</v>
      </c>
      <c r="X2496">
        <f t="shared" si="282"/>
        <v>0.476783018827584</v>
      </c>
      <c r="AH2496" t="str">
        <f t="shared" si="283"/>
        <v>3rd Quality</v>
      </c>
      <c r="AJ2496">
        <f>((T2496-X2496)*2)/21</f>
        <v>24.4739254267783</v>
      </c>
      <c r="AK2496">
        <f t="shared" si="279"/>
        <v>287060.095</v>
      </c>
    </row>
    <row r="2497" spans="1:37">
      <c r="A2497" t="s">
        <v>2563</v>
      </c>
      <c r="B2497">
        <v>22</v>
      </c>
      <c r="C2497" t="s">
        <v>44</v>
      </c>
      <c r="D2497" t="s">
        <v>45</v>
      </c>
      <c r="E2497">
        <v>1336</v>
      </c>
      <c r="F2497">
        <v>63</v>
      </c>
      <c r="G2497">
        <v>5</v>
      </c>
      <c r="H2497">
        <v>7704.2</v>
      </c>
      <c r="I2497">
        <v>40151.72</v>
      </c>
      <c r="J2497">
        <v>28</v>
      </c>
      <c r="K2497">
        <v>0</v>
      </c>
      <c r="L2497">
        <v>0</v>
      </c>
      <c r="M2497">
        <v>49.4</v>
      </c>
      <c r="N2497" t="s">
        <v>46</v>
      </c>
      <c r="O2497" t="s">
        <v>47</v>
      </c>
      <c r="P2497" t="s">
        <v>68</v>
      </c>
      <c r="R2497">
        <f>SUMIF(A2497:A7496,"C02496",I2497:I7496)</f>
        <v>40151.72</v>
      </c>
      <c r="S2497" s="1">
        <v>2007.12</v>
      </c>
      <c r="T2497">
        <f t="shared" si="285"/>
        <v>1433.99</v>
      </c>
      <c r="U2497">
        <f t="shared" si="286"/>
        <v>1383.2</v>
      </c>
      <c r="V2497">
        <f t="shared" si="284"/>
        <v>115.266666666667</v>
      </c>
      <c r="W2497">
        <f t="shared" si="280"/>
        <v>15952.3066666667</v>
      </c>
      <c r="X2497">
        <f t="shared" si="282"/>
        <v>0.173411905194569</v>
      </c>
      <c r="AH2497" t="str">
        <f t="shared" si="283"/>
        <v>1st Quality</v>
      </c>
      <c r="AJ2497">
        <f>((T2497-X2497)*2)</f>
        <v>2867.63317618961</v>
      </c>
      <c r="AK2497">
        <f t="shared" si="279"/>
        <v>1915810.64</v>
      </c>
    </row>
    <row r="2498" spans="1:37">
      <c r="A2498" t="s">
        <v>2564</v>
      </c>
      <c r="B2498">
        <v>27</v>
      </c>
      <c r="C2498" t="s">
        <v>50</v>
      </c>
      <c r="D2498" t="s">
        <v>60</v>
      </c>
      <c r="E2498">
        <v>414</v>
      </c>
      <c r="F2498">
        <v>17</v>
      </c>
      <c r="G2498">
        <v>9</v>
      </c>
      <c r="H2498">
        <v>9209.69</v>
      </c>
      <c r="I2498">
        <v>79752.32</v>
      </c>
      <c r="J2498">
        <v>42</v>
      </c>
      <c r="K2498">
        <v>0</v>
      </c>
      <c r="L2498">
        <v>12.4</v>
      </c>
      <c r="M2498">
        <v>7.7</v>
      </c>
      <c r="N2498" t="s">
        <v>46</v>
      </c>
      <c r="O2498" t="s">
        <v>75</v>
      </c>
      <c r="P2498" t="s">
        <v>58</v>
      </c>
      <c r="R2498">
        <f>SUMIF(A2498:A7497,"C02497",I2498:I7497)</f>
        <v>79752.32</v>
      </c>
      <c r="S2498" s="1">
        <v>58105.25</v>
      </c>
      <c r="T2498">
        <f t="shared" si="285"/>
        <v>1898.86476190476</v>
      </c>
      <c r="U2498">
        <f t="shared" si="286"/>
        <v>323.4</v>
      </c>
      <c r="V2498">
        <f t="shared" si="284"/>
        <v>26.95</v>
      </c>
      <c r="W2498">
        <f t="shared" si="280"/>
        <v>29654.3366666667</v>
      </c>
      <c r="X2498">
        <f t="shared" si="282"/>
        <v>0.0449526531294756</v>
      </c>
      <c r="AH2498" t="str">
        <f t="shared" si="283"/>
        <v>3rd Quality</v>
      </c>
      <c r="AJ2498">
        <f>((T2498-X2498)*2)/12.4</f>
        <v>306.261259556715</v>
      </c>
      <c r="AK2498">
        <f t="shared" si="279"/>
        <v>786130.011428571</v>
      </c>
    </row>
    <row r="2499" spans="1:37">
      <c r="A2499" t="s">
        <v>2565</v>
      </c>
      <c r="B2499">
        <v>36</v>
      </c>
      <c r="C2499" t="s">
        <v>50</v>
      </c>
      <c r="D2499" t="s">
        <v>60</v>
      </c>
      <c r="E2499">
        <v>1195</v>
      </c>
      <c r="F2499">
        <v>9</v>
      </c>
      <c r="G2499">
        <v>25</v>
      </c>
      <c r="H2499">
        <v>2676.21</v>
      </c>
      <c r="I2499">
        <v>73873.32</v>
      </c>
      <c r="J2499">
        <v>209</v>
      </c>
      <c r="K2499">
        <v>1</v>
      </c>
      <c r="L2499">
        <v>7</v>
      </c>
      <c r="M2499">
        <v>28.8</v>
      </c>
      <c r="N2499" t="s">
        <v>81</v>
      </c>
      <c r="O2499" t="s">
        <v>75</v>
      </c>
      <c r="P2499" t="s">
        <v>58</v>
      </c>
      <c r="R2499">
        <f>SUMIF(A2499:A7498,"C02498",I2499:I7498)</f>
        <v>73873.32</v>
      </c>
      <c r="S2499" s="1">
        <v>44552.91</v>
      </c>
      <c r="T2499">
        <f t="shared" si="285"/>
        <v>353.460861244019</v>
      </c>
      <c r="U2499">
        <f t="shared" si="286"/>
        <v>6019.2</v>
      </c>
      <c r="V2499">
        <f>U2499</f>
        <v>6019.2</v>
      </c>
      <c r="W2499">
        <f t="shared" si="280"/>
        <v>25516.8433333333</v>
      </c>
      <c r="X2499">
        <f t="shared" si="282"/>
        <v>0.446526991529065</v>
      </c>
      <c r="AH2499" t="str">
        <f t="shared" si="283"/>
        <v>2nd Quality</v>
      </c>
      <c r="AJ2499">
        <f>((T2499-X2499)*2)/7</f>
        <v>100.861238357854</v>
      </c>
      <c r="AK2499">
        <f t="shared" ref="AK2499:AK2562" si="287">I2499/J2499*E2499</f>
        <v>422385.729186603</v>
      </c>
    </row>
    <row r="2500" spans="1:37">
      <c r="A2500" t="s">
        <v>2566</v>
      </c>
      <c r="B2500">
        <v>39</v>
      </c>
      <c r="C2500" t="s">
        <v>44</v>
      </c>
      <c r="D2500" t="s">
        <v>60</v>
      </c>
      <c r="E2500">
        <v>1136</v>
      </c>
      <c r="F2500">
        <v>58</v>
      </c>
      <c r="G2500">
        <v>3</v>
      </c>
      <c r="H2500">
        <v>727.92</v>
      </c>
      <c r="I2500">
        <v>2007.12</v>
      </c>
      <c r="J2500">
        <v>10</v>
      </c>
      <c r="K2500">
        <v>0</v>
      </c>
      <c r="L2500">
        <v>30.6</v>
      </c>
      <c r="M2500">
        <v>49.2</v>
      </c>
      <c r="N2500" t="s">
        <v>78</v>
      </c>
      <c r="O2500" t="s">
        <v>75</v>
      </c>
      <c r="P2500" t="s">
        <v>58</v>
      </c>
      <c r="R2500">
        <f>SUMIF(A2500:A7499,"C02499",I2500:I7499)</f>
        <v>2007.12</v>
      </c>
      <c r="S2500" s="1">
        <v>2841.22</v>
      </c>
      <c r="T2500">
        <f t="shared" si="285"/>
        <v>200.712</v>
      </c>
      <c r="U2500">
        <f t="shared" si="286"/>
        <v>492</v>
      </c>
      <c r="V2500">
        <f t="shared" si="284"/>
        <v>41</v>
      </c>
      <c r="W2500">
        <f t="shared" si="280"/>
        <v>912.013333333333</v>
      </c>
      <c r="X2500">
        <f t="shared" si="282"/>
        <v>1.56061105616002</v>
      </c>
      <c r="AH2500" t="str">
        <f t="shared" si="283"/>
        <v>3rd Quality</v>
      </c>
      <c r="AJ2500">
        <f>((T2500-X2500)*2)/30.6</f>
        <v>13.0164306499242</v>
      </c>
      <c r="AK2500">
        <f t="shared" si="287"/>
        <v>228008.832</v>
      </c>
    </row>
    <row r="2501" spans="1:37">
      <c r="A2501" t="s">
        <v>2567</v>
      </c>
      <c r="B2501">
        <v>19</v>
      </c>
      <c r="C2501" t="s">
        <v>44</v>
      </c>
      <c r="D2501" t="s">
        <v>60</v>
      </c>
      <c r="E2501">
        <v>1236</v>
      </c>
      <c r="F2501">
        <v>71</v>
      </c>
      <c r="G2501">
        <v>8</v>
      </c>
      <c r="H2501">
        <v>7877.23</v>
      </c>
      <c r="I2501">
        <v>58105.25</v>
      </c>
      <c r="J2501">
        <v>32</v>
      </c>
      <c r="K2501">
        <v>0</v>
      </c>
      <c r="L2501">
        <v>1.1</v>
      </c>
      <c r="M2501">
        <v>6.9</v>
      </c>
      <c r="N2501" t="s">
        <v>52</v>
      </c>
      <c r="O2501" t="s">
        <v>47</v>
      </c>
      <c r="P2501" t="s">
        <v>48</v>
      </c>
      <c r="R2501">
        <f>SUMIF(A2501:A7500,"C02500",I2501:I7500)</f>
        <v>58105.25</v>
      </c>
      <c r="S2501" s="1">
        <v>2283.36</v>
      </c>
      <c r="T2501">
        <f t="shared" si="285"/>
        <v>1815.7890625</v>
      </c>
      <c r="U2501">
        <f t="shared" si="286"/>
        <v>220.8</v>
      </c>
      <c r="V2501">
        <f t="shared" si="284"/>
        <v>18.4</v>
      </c>
      <c r="W2501">
        <f t="shared" si="280"/>
        <v>21994.4933333333</v>
      </c>
      <c r="X2501">
        <f t="shared" si="282"/>
        <v>0.156907948606299</v>
      </c>
      <c r="AH2501" t="str">
        <f t="shared" si="283"/>
        <v>1st Quality</v>
      </c>
      <c r="AJ2501">
        <f>((T2501-X2501)*2)/1.1</f>
        <v>3301.14937191162</v>
      </c>
      <c r="AK2501">
        <f t="shared" si="287"/>
        <v>2244315.28125</v>
      </c>
    </row>
    <row r="2502" spans="1:37">
      <c r="A2502" t="s">
        <v>2568</v>
      </c>
      <c r="B2502">
        <v>35</v>
      </c>
      <c r="C2502" t="s">
        <v>44</v>
      </c>
      <c r="D2502" t="s">
        <v>60</v>
      </c>
      <c r="E2502">
        <v>1421</v>
      </c>
      <c r="F2502">
        <v>6</v>
      </c>
      <c r="G2502">
        <v>24</v>
      </c>
      <c r="H2502">
        <v>1983.47</v>
      </c>
      <c r="I2502">
        <v>44552.91</v>
      </c>
      <c r="J2502">
        <v>78</v>
      </c>
      <c r="K2502">
        <v>0</v>
      </c>
      <c r="L2502">
        <v>20.5</v>
      </c>
      <c r="M2502">
        <v>46.3</v>
      </c>
      <c r="N2502" t="s">
        <v>78</v>
      </c>
      <c r="O2502" t="s">
        <v>53</v>
      </c>
      <c r="P2502" t="s">
        <v>58</v>
      </c>
      <c r="R2502">
        <f>SUMIF(A2502:A7501,"C02501",I2502:I7501)</f>
        <v>44552.91</v>
      </c>
      <c r="S2502" s="1">
        <v>2275.65</v>
      </c>
      <c r="T2502">
        <f t="shared" si="285"/>
        <v>571.191153846154</v>
      </c>
      <c r="U2502">
        <f t="shared" si="286"/>
        <v>3611.4</v>
      </c>
      <c r="V2502">
        <f t="shared" si="284"/>
        <v>300.95</v>
      </c>
      <c r="W2502">
        <f t="shared" si="280"/>
        <v>15512.46</v>
      </c>
      <c r="X2502">
        <f t="shared" si="282"/>
        <v>0.716421221394828</v>
      </c>
      <c r="AH2502" t="str">
        <f t="shared" si="283"/>
        <v>2nd Quality</v>
      </c>
      <c r="AJ2502">
        <f>((T2502-X2502)*2)/20.5</f>
        <v>55.6560714755863</v>
      </c>
      <c r="AK2502">
        <f t="shared" si="287"/>
        <v>811662.629615385</v>
      </c>
    </row>
    <row r="2503" spans="1:37">
      <c r="A2503" t="s">
        <v>2569</v>
      </c>
      <c r="B2503">
        <v>54</v>
      </c>
      <c r="C2503" t="s">
        <v>44</v>
      </c>
      <c r="D2503" t="s">
        <v>60</v>
      </c>
      <c r="E2503">
        <v>1177</v>
      </c>
      <c r="F2503">
        <v>248</v>
      </c>
      <c r="G2503">
        <v>3</v>
      </c>
      <c r="H2503">
        <v>1012.05</v>
      </c>
      <c r="I2503">
        <v>2841.22</v>
      </c>
      <c r="J2503">
        <v>11</v>
      </c>
      <c r="K2503">
        <v>0</v>
      </c>
      <c r="L2503">
        <v>22.2</v>
      </c>
      <c r="M2503">
        <v>26.6</v>
      </c>
      <c r="N2503" t="s">
        <v>81</v>
      </c>
      <c r="O2503" t="s">
        <v>75</v>
      </c>
      <c r="P2503" t="s">
        <v>68</v>
      </c>
      <c r="R2503">
        <f>SUMIF(A2503:A7502,"C02502",I2503:I7502)</f>
        <v>2841.22</v>
      </c>
      <c r="S2503" s="1">
        <v>23509.83</v>
      </c>
      <c r="T2503">
        <f t="shared" si="285"/>
        <v>258.292727272727</v>
      </c>
      <c r="U2503">
        <f t="shared" si="286"/>
        <v>292.6</v>
      </c>
      <c r="V2503">
        <f t="shared" si="284"/>
        <v>24.3833333333333</v>
      </c>
      <c r="W2503">
        <f t="shared" si="280"/>
        <v>1284.75666666667</v>
      </c>
      <c r="X2503">
        <f t="shared" si="282"/>
        <v>1.16298601847735</v>
      </c>
      <c r="AH2503" t="str">
        <f t="shared" si="283"/>
        <v>3rd Quality</v>
      </c>
      <c r="AJ2503">
        <f>((T2503-X2503)*2)/22.2</f>
        <v>23.1648415544369</v>
      </c>
      <c r="AK2503">
        <f t="shared" si="287"/>
        <v>304010.54</v>
      </c>
    </row>
    <row r="2504" spans="1:37">
      <c r="A2504" t="s">
        <v>2570</v>
      </c>
      <c r="B2504">
        <v>25</v>
      </c>
      <c r="C2504" t="s">
        <v>44</v>
      </c>
      <c r="D2504" t="s">
        <v>45</v>
      </c>
      <c r="E2504">
        <v>761</v>
      </c>
      <c r="F2504">
        <v>111</v>
      </c>
      <c r="G2504">
        <v>1</v>
      </c>
      <c r="H2504">
        <v>2545.44</v>
      </c>
      <c r="I2504">
        <v>2283.36</v>
      </c>
      <c r="J2504">
        <v>13</v>
      </c>
      <c r="K2504">
        <v>0</v>
      </c>
      <c r="L2504">
        <v>30.7</v>
      </c>
      <c r="M2504">
        <v>10.5</v>
      </c>
      <c r="N2504" t="s">
        <v>63</v>
      </c>
      <c r="O2504" t="s">
        <v>47</v>
      </c>
      <c r="P2504" t="s">
        <v>58</v>
      </c>
      <c r="R2504">
        <f>SUMIF(A2504:A7503,"C02503",I2504:I7503)</f>
        <v>2283.36</v>
      </c>
      <c r="S2504" s="1">
        <v>71879.11</v>
      </c>
      <c r="T2504">
        <f t="shared" si="285"/>
        <v>175.643076923077</v>
      </c>
      <c r="U2504">
        <f t="shared" si="286"/>
        <v>136.5</v>
      </c>
      <c r="V2504">
        <f t="shared" si="284"/>
        <v>11.375</v>
      </c>
      <c r="W2504">
        <f t="shared" si="280"/>
        <v>1609.93333333333</v>
      </c>
      <c r="X2504">
        <f t="shared" si="282"/>
        <v>0.298965994091395</v>
      </c>
      <c r="AH2504" t="str">
        <f t="shared" si="283"/>
        <v>3rd Quality</v>
      </c>
      <c r="AJ2504">
        <f>((T2504-X2504)*2)/30.7</f>
        <v>11.4230691158948</v>
      </c>
      <c r="AK2504">
        <f t="shared" si="287"/>
        <v>133664.381538462</v>
      </c>
    </row>
    <row r="2505" spans="1:37">
      <c r="A2505" t="s">
        <v>2571</v>
      </c>
      <c r="B2505">
        <v>38</v>
      </c>
      <c r="C2505" t="s">
        <v>50</v>
      </c>
      <c r="D2505" t="s">
        <v>60</v>
      </c>
      <c r="E2505">
        <v>510</v>
      </c>
      <c r="F2505">
        <v>155</v>
      </c>
      <c r="G2505">
        <v>3</v>
      </c>
      <c r="H2505">
        <v>794.86</v>
      </c>
      <c r="I2505">
        <v>2275.65</v>
      </c>
      <c r="J2505">
        <v>14</v>
      </c>
      <c r="K2505">
        <v>0</v>
      </c>
      <c r="L2505">
        <v>29.2</v>
      </c>
      <c r="M2505">
        <v>8.7</v>
      </c>
      <c r="N2505" t="s">
        <v>61</v>
      </c>
      <c r="O2505" t="s">
        <v>47</v>
      </c>
      <c r="P2505" t="s">
        <v>68</v>
      </c>
      <c r="R2505">
        <f>SUMIF(A2505:A7504,"C02504",I2505:I7504)</f>
        <v>2275.65</v>
      </c>
      <c r="S2505" s="1">
        <v>2498.32</v>
      </c>
      <c r="T2505">
        <f t="shared" si="285"/>
        <v>162.546428571429</v>
      </c>
      <c r="U2505">
        <f t="shared" si="286"/>
        <v>121.8</v>
      </c>
      <c r="V2505">
        <f t="shared" si="284"/>
        <v>10.15</v>
      </c>
      <c r="W2505">
        <f t="shared" ref="W2505:W2568" si="288">(H2505+I2505+1)/3</f>
        <v>1023.83666666667</v>
      </c>
      <c r="X2505">
        <f t="shared" si="282"/>
        <v>0.64162242407468</v>
      </c>
      <c r="AH2505" t="str">
        <f t="shared" si="283"/>
        <v>3rd Quality</v>
      </c>
      <c r="AJ2505">
        <f>((T2505-X2505)*2)/29.2</f>
        <v>11.0893702840654</v>
      </c>
      <c r="AK2505">
        <f t="shared" si="287"/>
        <v>82898.6785714286</v>
      </c>
    </row>
    <row r="2506" spans="1:37">
      <c r="A2506" t="s">
        <v>2572</v>
      </c>
      <c r="B2506">
        <v>30</v>
      </c>
      <c r="C2506" t="s">
        <v>50</v>
      </c>
      <c r="D2506" t="s">
        <v>51</v>
      </c>
      <c r="E2506">
        <v>1357</v>
      </c>
      <c r="F2506">
        <v>31</v>
      </c>
      <c r="G2506">
        <v>12</v>
      </c>
      <c r="H2506">
        <v>1936.54</v>
      </c>
      <c r="I2506">
        <v>23509.83</v>
      </c>
      <c r="J2506">
        <v>83</v>
      </c>
      <c r="K2506">
        <v>1</v>
      </c>
      <c r="L2506">
        <v>20.8</v>
      </c>
      <c r="M2506">
        <v>12.6</v>
      </c>
      <c r="N2506" t="s">
        <v>63</v>
      </c>
      <c r="O2506" t="s">
        <v>47</v>
      </c>
      <c r="P2506" t="s">
        <v>48</v>
      </c>
      <c r="R2506">
        <f>SUMIF(A2506:A7505,"C02505",I2506:I7505)</f>
        <v>23509.83</v>
      </c>
      <c r="S2506" s="1">
        <v>4117.78</v>
      </c>
      <c r="T2506">
        <f t="shared" si="285"/>
        <v>283.250963855422</v>
      </c>
      <c r="U2506">
        <f t="shared" si="286"/>
        <v>1045.8</v>
      </c>
      <c r="V2506">
        <f>U2506</f>
        <v>1045.8</v>
      </c>
      <c r="W2506">
        <f t="shared" si="288"/>
        <v>8482.45666666667</v>
      </c>
      <c r="X2506">
        <f t="shared" si="282"/>
        <v>0.700734299317339</v>
      </c>
      <c r="AH2506" t="str">
        <f t="shared" si="283"/>
        <v>2nd Quality</v>
      </c>
      <c r="AJ2506">
        <f>((T2506-X2506)*2)/20.8</f>
        <v>27.1682913034716</v>
      </c>
      <c r="AK2506">
        <f t="shared" si="287"/>
        <v>384371.557951807</v>
      </c>
    </row>
    <row r="2507" spans="1:37">
      <c r="A2507" t="s">
        <v>2573</v>
      </c>
      <c r="B2507">
        <v>33</v>
      </c>
      <c r="C2507" t="s">
        <v>44</v>
      </c>
      <c r="D2507" t="s">
        <v>60</v>
      </c>
      <c r="E2507">
        <v>1167</v>
      </c>
      <c r="F2507">
        <v>2</v>
      </c>
      <c r="G2507">
        <v>29</v>
      </c>
      <c r="H2507">
        <v>2655.25</v>
      </c>
      <c r="I2507">
        <v>71879.11</v>
      </c>
      <c r="J2507">
        <v>152</v>
      </c>
      <c r="K2507">
        <v>2</v>
      </c>
      <c r="L2507">
        <v>2.8</v>
      </c>
      <c r="M2507">
        <v>13.5</v>
      </c>
      <c r="N2507" t="s">
        <v>81</v>
      </c>
      <c r="O2507" t="s">
        <v>47</v>
      </c>
      <c r="P2507" t="s">
        <v>58</v>
      </c>
      <c r="R2507">
        <f>SUMIF(A2507:A7506,"C02506",I2507:I7506)</f>
        <v>71879.11</v>
      </c>
      <c r="S2507" s="1">
        <v>32881.73</v>
      </c>
      <c r="T2507">
        <f t="shared" si="285"/>
        <v>472.888881578947</v>
      </c>
      <c r="U2507">
        <f t="shared" si="286"/>
        <v>2052</v>
      </c>
      <c r="V2507">
        <f>U2507</f>
        <v>2052</v>
      </c>
      <c r="W2507">
        <f t="shared" si="288"/>
        <v>24845.12</v>
      </c>
      <c r="X2507">
        <f t="shared" si="282"/>
        <v>0.439506637793051</v>
      </c>
      <c r="AH2507" t="str">
        <f t="shared" si="283"/>
        <v>1st Quality</v>
      </c>
      <c r="AJ2507">
        <f>((T2507-X2507)*2)/2.8</f>
        <v>337.463839243681</v>
      </c>
      <c r="AK2507">
        <f t="shared" si="287"/>
        <v>551861.324802632</v>
      </c>
    </row>
    <row r="2508" spans="1:37">
      <c r="A2508" t="s">
        <v>2574</v>
      </c>
      <c r="B2508">
        <v>42</v>
      </c>
      <c r="C2508" t="s">
        <v>44</v>
      </c>
      <c r="D2508" t="s">
        <v>45</v>
      </c>
      <c r="E2508">
        <v>856</v>
      </c>
      <c r="F2508">
        <v>365</v>
      </c>
      <c r="G2508">
        <v>2</v>
      </c>
      <c r="H2508">
        <v>1379.31</v>
      </c>
      <c r="I2508">
        <v>2498.32</v>
      </c>
      <c r="J2508">
        <v>19</v>
      </c>
      <c r="K2508">
        <v>1</v>
      </c>
      <c r="L2508">
        <v>13.3</v>
      </c>
      <c r="M2508">
        <v>26.4</v>
      </c>
      <c r="N2508" t="s">
        <v>52</v>
      </c>
      <c r="O2508" t="s">
        <v>53</v>
      </c>
      <c r="P2508" t="s">
        <v>68</v>
      </c>
      <c r="R2508">
        <f>SUMIF(A2508:A7507,"C02507",I2508:I7507)</f>
        <v>2498.32</v>
      </c>
      <c r="S2508" s="1">
        <v>84928.42</v>
      </c>
      <c r="T2508">
        <f t="shared" si="285"/>
        <v>131.490526315789</v>
      </c>
      <c r="U2508">
        <f t="shared" si="286"/>
        <v>501.6</v>
      </c>
      <c r="V2508">
        <f>U2508</f>
        <v>501.6</v>
      </c>
      <c r="W2508">
        <f t="shared" si="288"/>
        <v>1292.87666666667</v>
      </c>
      <c r="X2508">
        <f t="shared" ref="X2508:X2571" si="289">E2508/H2508</f>
        <v>0.620600155150039</v>
      </c>
      <c r="AH2508" t="str">
        <f t="shared" si="283"/>
        <v>3rd Quality</v>
      </c>
      <c r="AJ2508">
        <f>((T2508-X2508)*2)/13.3</f>
        <v>19.679688144457</v>
      </c>
      <c r="AK2508">
        <f t="shared" si="287"/>
        <v>112555.890526316</v>
      </c>
    </row>
    <row r="2509" spans="1:37">
      <c r="A2509" t="s">
        <v>2575</v>
      </c>
      <c r="B2509">
        <v>37</v>
      </c>
      <c r="C2509" t="s">
        <v>44</v>
      </c>
      <c r="D2509" t="s">
        <v>45</v>
      </c>
      <c r="E2509">
        <v>1023</v>
      </c>
      <c r="F2509">
        <v>103</v>
      </c>
      <c r="G2509">
        <v>2</v>
      </c>
      <c r="H2509">
        <v>1987.13</v>
      </c>
      <c r="I2509">
        <v>4117.78</v>
      </c>
      <c r="J2509">
        <v>16</v>
      </c>
      <c r="K2509">
        <v>0</v>
      </c>
      <c r="L2509">
        <v>15.6</v>
      </c>
      <c r="M2509">
        <v>42.9</v>
      </c>
      <c r="N2509" t="s">
        <v>78</v>
      </c>
      <c r="O2509" t="s">
        <v>75</v>
      </c>
      <c r="P2509" t="s">
        <v>58</v>
      </c>
      <c r="R2509">
        <f>SUMIF(A2509:A7508,"C02508",I2509:I7508)</f>
        <v>4117.78</v>
      </c>
      <c r="S2509" s="1">
        <v>16402.21</v>
      </c>
      <c r="T2509">
        <f t="shared" si="285"/>
        <v>257.36125</v>
      </c>
      <c r="U2509">
        <f t="shared" si="286"/>
        <v>686.4</v>
      </c>
      <c r="V2509">
        <f t="shared" si="284"/>
        <v>57.2</v>
      </c>
      <c r="W2509">
        <f t="shared" si="288"/>
        <v>2035.30333333333</v>
      </c>
      <c r="X2509">
        <f t="shared" si="289"/>
        <v>0.514812820499917</v>
      </c>
      <c r="AH2509" t="str">
        <f t="shared" si="283"/>
        <v>3rd Quality</v>
      </c>
      <c r="AJ2509">
        <f>((T2509-X2509)*2)/15.6</f>
        <v>32.9290304076282</v>
      </c>
      <c r="AK2509">
        <f t="shared" si="287"/>
        <v>263280.55875</v>
      </c>
    </row>
    <row r="2510" spans="1:37">
      <c r="A2510" t="s">
        <v>2576</v>
      </c>
      <c r="B2510">
        <v>40</v>
      </c>
      <c r="C2510" t="s">
        <v>44</v>
      </c>
      <c r="D2510" t="s">
        <v>60</v>
      </c>
      <c r="E2510">
        <v>951</v>
      </c>
      <c r="F2510">
        <v>22</v>
      </c>
      <c r="G2510">
        <v>3</v>
      </c>
      <c r="H2510">
        <v>11175.17</v>
      </c>
      <c r="I2510">
        <v>32881.73</v>
      </c>
      <c r="J2510">
        <v>30</v>
      </c>
      <c r="K2510">
        <v>1</v>
      </c>
      <c r="L2510">
        <v>6.9</v>
      </c>
      <c r="M2510">
        <v>7.6</v>
      </c>
      <c r="N2510" t="s">
        <v>78</v>
      </c>
      <c r="O2510" t="s">
        <v>47</v>
      </c>
      <c r="P2510" t="s">
        <v>58</v>
      </c>
      <c r="R2510">
        <f>SUMIF(A2510:A7509,"C02509",I2510:I7509)</f>
        <v>32881.73</v>
      </c>
      <c r="S2510" s="1">
        <v>7029.68</v>
      </c>
      <c r="T2510">
        <f t="shared" si="285"/>
        <v>1096.05766666667</v>
      </c>
      <c r="U2510">
        <f t="shared" si="286"/>
        <v>228</v>
      </c>
      <c r="V2510">
        <v>22</v>
      </c>
      <c r="W2510">
        <f t="shared" si="288"/>
        <v>14685.9666666667</v>
      </c>
      <c r="X2510">
        <f t="shared" si="289"/>
        <v>0.0850993765642939</v>
      </c>
      <c r="AH2510" t="str">
        <f t="shared" ref="AH2510:AH2573" si="290">IF(AND(W2510&gt;=12550,B2510&lt;=33,E2510&gt;=915),"1st Quality",IF(AND(W2510&gt;=6275,B2510&lt;=43,E2510&gt;=457),"2nd Quality","3rd Quality"))</f>
        <v>2nd Quality</v>
      </c>
      <c r="AJ2510">
        <f>((T2510-X2510)*2)/6.9</f>
        <v>317.673207910176</v>
      </c>
      <c r="AK2510">
        <f t="shared" si="287"/>
        <v>1042350.841</v>
      </c>
    </row>
    <row r="2511" spans="1:37">
      <c r="A2511" t="s">
        <v>2577</v>
      </c>
      <c r="B2511">
        <v>22</v>
      </c>
      <c r="C2511" t="s">
        <v>50</v>
      </c>
      <c r="D2511" t="s">
        <v>60</v>
      </c>
      <c r="E2511">
        <v>425</v>
      </c>
      <c r="F2511">
        <v>36</v>
      </c>
      <c r="G2511">
        <v>9</v>
      </c>
      <c r="H2511">
        <v>9101.54</v>
      </c>
      <c r="I2511">
        <v>84928.42</v>
      </c>
      <c r="J2511">
        <v>61</v>
      </c>
      <c r="K2511">
        <v>2</v>
      </c>
      <c r="L2511">
        <v>9.8</v>
      </c>
      <c r="M2511">
        <v>35.7</v>
      </c>
      <c r="N2511" t="s">
        <v>46</v>
      </c>
      <c r="O2511" t="s">
        <v>47</v>
      </c>
      <c r="P2511" t="s">
        <v>68</v>
      </c>
      <c r="R2511">
        <f>SUMIF(A2511:A7510,"C02510",I2511:I7510)</f>
        <v>84928.42</v>
      </c>
      <c r="S2511" s="1">
        <v>60313.63</v>
      </c>
      <c r="T2511">
        <f t="shared" si="285"/>
        <v>1392.26918032787</v>
      </c>
      <c r="U2511">
        <f t="shared" si="286"/>
        <v>2177.7</v>
      </c>
      <c r="V2511">
        <f>U2511</f>
        <v>2177.7</v>
      </c>
      <c r="W2511">
        <f t="shared" si="288"/>
        <v>31343.6533333333</v>
      </c>
      <c r="X2511">
        <f t="shared" si="289"/>
        <v>0.0466953944057819</v>
      </c>
      <c r="AH2511" t="str">
        <f t="shared" si="290"/>
        <v>3rd Quality</v>
      </c>
      <c r="AJ2511">
        <f>((T2511-X2511)*2)/9.8</f>
        <v>284.127037741523</v>
      </c>
      <c r="AK2511">
        <f t="shared" si="287"/>
        <v>591714.401639344</v>
      </c>
    </row>
    <row r="2512" spans="1:37">
      <c r="A2512" t="s">
        <v>2578</v>
      </c>
      <c r="B2512">
        <v>27</v>
      </c>
      <c r="C2512" t="s">
        <v>50</v>
      </c>
      <c r="D2512" t="s">
        <v>45</v>
      </c>
      <c r="E2512">
        <v>647</v>
      </c>
      <c r="F2512">
        <v>12</v>
      </c>
      <c r="G2512">
        <v>10</v>
      </c>
      <c r="H2512">
        <v>1745.79</v>
      </c>
      <c r="I2512">
        <v>16402.21</v>
      </c>
      <c r="J2512">
        <v>79</v>
      </c>
      <c r="K2512">
        <v>1</v>
      </c>
      <c r="L2512">
        <v>20.5</v>
      </c>
      <c r="M2512">
        <v>54.1</v>
      </c>
      <c r="N2512" t="s">
        <v>81</v>
      </c>
      <c r="O2512" t="s">
        <v>47</v>
      </c>
      <c r="P2512" t="s">
        <v>68</v>
      </c>
      <c r="R2512">
        <f>SUMIF(A2512:A7511,"C02511",I2512:I7511)</f>
        <v>16402.21</v>
      </c>
      <c r="S2512" s="1">
        <v>134930.28</v>
      </c>
      <c r="T2512">
        <f t="shared" si="285"/>
        <v>207.622911392405</v>
      </c>
      <c r="U2512">
        <f t="shared" si="286"/>
        <v>4273.9</v>
      </c>
      <c r="V2512">
        <f>U2512</f>
        <v>4273.9</v>
      </c>
      <c r="W2512">
        <f t="shared" si="288"/>
        <v>6049.66666666667</v>
      </c>
      <c r="X2512">
        <f t="shared" si="289"/>
        <v>0.370605857520091</v>
      </c>
      <c r="AH2512" t="str">
        <f t="shared" si="290"/>
        <v>3rd Quality</v>
      </c>
      <c r="AJ2512">
        <f>((T2512-X2512)*2)/20.5</f>
        <v>20.2197371253546</v>
      </c>
      <c r="AK2512">
        <f t="shared" si="287"/>
        <v>134332.023670886</v>
      </c>
    </row>
    <row r="2513" spans="1:37">
      <c r="A2513" t="s">
        <v>2579</v>
      </c>
      <c r="B2513">
        <v>44</v>
      </c>
      <c r="C2513" t="s">
        <v>50</v>
      </c>
      <c r="D2513" t="s">
        <v>45</v>
      </c>
      <c r="E2513">
        <v>680</v>
      </c>
      <c r="F2513">
        <v>20</v>
      </c>
      <c r="G2513">
        <v>8</v>
      </c>
      <c r="H2513">
        <v>827.83</v>
      </c>
      <c r="I2513">
        <v>7029.68</v>
      </c>
      <c r="J2513">
        <v>46</v>
      </c>
      <c r="K2513">
        <v>1</v>
      </c>
      <c r="L2513">
        <v>25.8</v>
      </c>
      <c r="M2513">
        <v>56.7</v>
      </c>
      <c r="N2513" t="s">
        <v>61</v>
      </c>
      <c r="O2513" t="s">
        <v>75</v>
      </c>
      <c r="P2513" t="s">
        <v>48</v>
      </c>
      <c r="R2513">
        <f>SUMIF(A2513:A7512,"C02512",I2513:I7512)</f>
        <v>7029.68</v>
      </c>
      <c r="S2513" s="1">
        <v>14076.76</v>
      </c>
      <c r="T2513">
        <f t="shared" si="285"/>
        <v>152.819130434783</v>
      </c>
      <c r="U2513">
        <f t="shared" si="286"/>
        <v>2608.2</v>
      </c>
      <c r="V2513">
        <f>U2513</f>
        <v>2608.2</v>
      </c>
      <c r="W2513">
        <f t="shared" si="288"/>
        <v>2619.50333333333</v>
      </c>
      <c r="X2513">
        <f t="shared" si="289"/>
        <v>0.821424688643804</v>
      </c>
      <c r="AH2513" t="str">
        <f t="shared" si="290"/>
        <v>3rd Quality</v>
      </c>
      <c r="AJ2513">
        <f>((T2513-X2513)*2)/25.8</f>
        <v>11.7827678872976</v>
      </c>
      <c r="AK2513">
        <f t="shared" si="287"/>
        <v>103917.008695652</v>
      </c>
    </row>
    <row r="2514" spans="1:37">
      <c r="A2514" t="s">
        <v>2580</v>
      </c>
      <c r="B2514">
        <v>23</v>
      </c>
      <c r="C2514" t="s">
        <v>50</v>
      </c>
      <c r="D2514" t="s">
        <v>60</v>
      </c>
      <c r="E2514">
        <v>1046</v>
      </c>
      <c r="F2514">
        <v>8</v>
      </c>
      <c r="G2514">
        <v>19</v>
      </c>
      <c r="H2514">
        <v>2850.92</v>
      </c>
      <c r="I2514">
        <v>60313.63</v>
      </c>
      <c r="J2514">
        <v>46</v>
      </c>
      <c r="K2514">
        <v>3</v>
      </c>
      <c r="L2514">
        <v>17.3</v>
      </c>
      <c r="M2514">
        <v>32.3</v>
      </c>
      <c r="N2514" t="s">
        <v>81</v>
      </c>
      <c r="O2514" t="s">
        <v>47</v>
      </c>
      <c r="P2514" t="s">
        <v>48</v>
      </c>
      <c r="R2514">
        <f>SUMIF(A2514:A7513,"C02513",I2514:I7513)</f>
        <v>60313.63</v>
      </c>
      <c r="S2514" s="1">
        <v>1242.15</v>
      </c>
      <c r="T2514">
        <f t="shared" si="285"/>
        <v>1311.16586956522</v>
      </c>
      <c r="U2514">
        <f t="shared" si="286"/>
        <v>1485.8</v>
      </c>
      <c r="V2514">
        <f>U2514</f>
        <v>1485.8</v>
      </c>
      <c r="W2514">
        <f t="shared" si="288"/>
        <v>21055.1833333333</v>
      </c>
      <c r="X2514">
        <f t="shared" si="289"/>
        <v>0.36689910625342</v>
      </c>
      <c r="AH2514" t="str">
        <f t="shared" si="290"/>
        <v>1st Quality</v>
      </c>
      <c r="AJ2514">
        <f>((T2514-X2514)*2)/17.3</f>
        <v>151.53745323225</v>
      </c>
      <c r="AK2514">
        <f t="shared" si="287"/>
        <v>1371479.49956522</v>
      </c>
    </row>
    <row r="2515" spans="1:37">
      <c r="A2515" t="s">
        <v>2581</v>
      </c>
      <c r="B2515">
        <v>37</v>
      </c>
      <c r="C2515" t="s">
        <v>44</v>
      </c>
      <c r="D2515" t="s">
        <v>45</v>
      </c>
      <c r="E2515">
        <v>831</v>
      </c>
      <c r="F2515">
        <v>2</v>
      </c>
      <c r="G2515">
        <v>31</v>
      </c>
      <c r="H2515">
        <v>4617.17</v>
      </c>
      <c r="I2515">
        <v>134930.28</v>
      </c>
      <c r="J2515">
        <v>197</v>
      </c>
      <c r="K2515">
        <v>5</v>
      </c>
      <c r="L2515">
        <v>16.4</v>
      </c>
      <c r="M2515">
        <v>36.6</v>
      </c>
      <c r="N2515" t="s">
        <v>78</v>
      </c>
      <c r="O2515" t="s">
        <v>47</v>
      </c>
      <c r="P2515" t="s">
        <v>58</v>
      </c>
      <c r="R2515">
        <f>SUMIF(A2515:A7514,"C02514",I2515:I7514)</f>
        <v>134930.28</v>
      </c>
      <c r="S2515" s="1">
        <v>157255.37</v>
      </c>
      <c r="T2515">
        <f t="shared" si="285"/>
        <v>684.925279187817</v>
      </c>
      <c r="U2515">
        <f t="shared" si="286"/>
        <v>7210.2</v>
      </c>
      <c r="V2515">
        <f>U2515</f>
        <v>7210.2</v>
      </c>
      <c r="W2515">
        <f t="shared" si="288"/>
        <v>46516.15</v>
      </c>
      <c r="X2515">
        <f t="shared" si="289"/>
        <v>0.179980377590602</v>
      </c>
      <c r="AH2515" t="str">
        <f t="shared" si="290"/>
        <v>2nd Quality</v>
      </c>
      <c r="AJ2515">
        <f>((T2515-X2515)*2)/16.4</f>
        <v>83.5055242451496</v>
      </c>
      <c r="AK2515">
        <f t="shared" si="287"/>
        <v>569172.907005076</v>
      </c>
    </row>
    <row r="2516" spans="1:37">
      <c r="A2516" t="s">
        <v>2582</v>
      </c>
      <c r="B2516">
        <v>44</v>
      </c>
      <c r="C2516" t="s">
        <v>50</v>
      </c>
      <c r="D2516" t="s">
        <v>60</v>
      </c>
      <c r="E2516">
        <v>831</v>
      </c>
      <c r="F2516">
        <v>41</v>
      </c>
      <c r="G2516">
        <v>7</v>
      </c>
      <c r="H2516">
        <v>1945.88</v>
      </c>
      <c r="I2516">
        <v>14076.76</v>
      </c>
      <c r="J2516">
        <v>37</v>
      </c>
      <c r="K2516">
        <v>0</v>
      </c>
      <c r="L2516">
        <v>26.4</v>
      </c>
      <c r="M2516">
        <v>30.8</v>
      </c>
      <c r="N2516" t="s">
        <v>78</v>
      </c>
      <c r="O2516" t="s">
        <v>47</v>
      </c>
      <c r="P2516" t="s">
        <v>58</v>
      </c>
      <c r="R2516">
        <f>SUMIF(A2516:A7515,"C02515",I2516:I7515)</f>
        <v>14076.76</v>
      </c>
      <c r="S2516" s="1">
        <v>15582.85</v>
      </c>
      <c r="T2516">
        <f t="shared" si="285"/>
        <v>380.452972972973</v>
      </c>
      <c r="U2516">
        <f t="shared" si="286"/>
        <v>1139.6</v>
      </c>
      <c r="V2516">
        <f>U2516/12</f>
        <v>94.9666666666667</v>
      </c>
      <c r="W2516">
        <f t="shared" si="288"/>
        <v>5341.21333333333</v>
      </c>
      <c r="X2516">
        <f t="shared" si="289"/>
        <v>0.427056139124715</v>
      </c>
      <c r="AH2516" t="str">
        <f t="shared" si="290"/>
        <v>3rd Quality</v>
      </c>
      <c r="AJ2516">
        <f>((T2516-X2516)*2)/26.4</f>
        <v>28.7898421843824</v>
      </c>
      <c r="AK2516">
        <f t="shared" si="287"/>
        <v>316156.420540541</v>
      </c>
    </row>
    <row r="2517" spans="1:37">
      <c r="A2517" t="s">
        <v>2583</v>
      </c>
      <c r="B2517">
        <v>41</v>
      </c>
      <c r="C2517" t="s">
        <v>44</v>
      </c>
      <c r="D2517" t="s">
        <v>45</v>
      </c>
      <c r="E2517">
        <v>962</v>
      </c>
      <c r="F2517">
        <v>29</v>
      </c>
      <c r="G2517">
        <v>1</v>
      </c>
      <c r="H2517">
        <v>1167.86</v>
      </c>
      <c r="I2517">
        <v>1242.15</v>
      </c>
      <c r="J2517">
        <v>11</v>
      </c>
      <c r="K2517">
        <v>0</v>
      </c>
      <c r="L2517">
        <v>32.5</v>
      </c>
      <c r="M2517">
        <v>25.5</v>
      </c>
      <c r="N2517" t="s">
        <v>63</v>
      </c>
      <c r="O2517" t="s">
        <v>47</v>
      </c>
      <c r="P2517" t="s">
        <v>58</v>
      </c>
      <c r="R2517">
        <f>SUMIF(A2517:A7516,"C02516",I2517:I7516)</f>
        <v>1242.15</v>
      </c>
      <c r="S2517" s="1">
        <v>9257.79</v>
      </c>
      <c r="T2517">
        <f t="shared" si="285"/>
        <v>112.922727272727</v>
      </c>
      <c r="U2517">
        <f t="shared" si="286"/>
        <v>280.5</v>
      </c>
      <c r="V2517">
        <f t="shared" ref="V2514:V2577" si="291">U2517/12</f>
        <v>23.375</v>
      </c>
      <c r="W2517">
        <f t="shared" si="288"/>
        <v>803.67</v>
      </c>
      <c r="X2517">
        <f t="shared" si="289"/>
        <v>0.823728871611323</v>
      </c>
      <c r="AH2517" t="str">
        <f t="shared" si="290"/>
        <v>3rd Quality</v>
      </c>
      <c r="AJ2517">
        <f>((T2517-X2517)*2)/32.5</f>
        <v>6.89839990160712</v>
      </c>
      <c r="AK2517">
        <f t="shared" si="287"/>
        <v>108631.663636364</v>
      </c>
    </row>
    <row r="2518" spans="1:37">
      <c r="A2518" t="s">
        <v>2584</v>
      </c>
      <c r="B2518">
        <v>27</v>
      </c>
      <c r="C2518" t="s">
        <v>50</v>
      </c>
      <c r="D2518" t="s">
        <v>60</v>
      </c>
      <c r="E2518">
        <v>1341</v>
      </c>
      <c r="F2518">
        <v>16</v>
      </c>
      <c r="G2518">
        <v>33</v>
      </c>
      <c r="H2518">
        <v>4716.33</v>
      </c>
      <c r="I2518">
        <v>157255.37</v>
      </c>
      <c r="J2518">
        <v>175</v>
      </c>
      <c r="K2518">
        <v>4</v>
      </c>
      <c r="L2518">
        <v>1.6</v>
      </c>
      <c r="M2518">
        <v>61.1</v>
      </c>
      <c r="N2518" t="s">
        <v>81</v>
      </c>
      <c r="O2518" t="s">
        <v>47</v>
      </c>
      <c r="P2518" t="s">
        <v>58</v>
      </c>
      <c r="R2518">
        <f>SUMIF(A2518:A7517,"C02517",I2518:I7517)</f>
        <v>157255.37</v>
      </c>
      <c r="S2518" s="1">
        <v>78060.54</v>
      </c>
      <c r="T2518">
        <f t="shared" ref="T2518:T2581" si="292">I2518/J2518</f>
        <v>898.602114285714</v>
      </c>
      <c r="U2518">
        <f t="shared" si="286"/>
        <v>10692.5</v>
      </c>
      <c r="V2518">
        <f>U2518</f>
        <v>10692.5</v>
      </c>
      <c r="W2518">
        <f t="shared" si="288"/>
        <v>53990.9</v>
      </c>
      <c r="X2518">
        <f t="shared" si="289"/>
        <v>0.284331249085624</v>
      </c>
      <c r="AH2518" t="str">
        <f t="shared" si="290"/>
        <v>1st Quality</v>
      </c>
      <c r="AJ2518">
        <f>((T2518-X2518)*2)/1.6</f>
        <v>1122.89722879579</v>
      </c>
      <c r="AK2518">
        <f t="shared" si="287"/>
        <v>1205025.43525714</v>
      </c>
    </row>
    <row r="2519" spans="1:37">
      <c r="A2519" t="s">
        <v>2585</v>
      </c>
      <c r="B2519">
        <v>31</v>
      </c>
      <c r="C2519" t="s">
        <v>50</v>
      </c>
      <c r="D2519" t="s">
        <v>60</v>
      </c>
      <c r="E2519">
        <v>566</v>
      </c>
      <c r="F2519">
        <v>77</v>
      </c>
      <c r="G2519">
        <v>14</v>
      </c>
      <c r="H2519">
        <v>1171.8</v>
      </c>
      <c r="I2519">
        <v>15582.85</v>
      </c>
      <c r="J2519">
        <v>81</v>
      </c>
      <c r="K2519">
        <v>0</v>
      </c>
      <c r="L2519">
        <v>23.5</v>
      </c>
      <c r="M2519">
        <v>29.3</v>
      </c>
      <c r="N2519" t="s">
        <v>52</v>
      </c>
      <c r="O2519" t="s">
        <v>47</v>
      </c>
      <c r="P2519" t="s">
        <v>58</v>
      </c>
      <c r="R2519">
        <f>SUMIF(A2519:A7518,"C02518",I2519:I7518)</f>
        <v>15582.85</v>
      </c>
      <c r="S2519" s="1">
        <v>129765.32</v>
      </c>
      <c r="T2519">
        <f t="shared" si="292"/>
        <v>192.380864197531</v>
      </c>
      <c r="U2519">
        <f t="shared" si="286"/>
        <v>2373.3</v>
      </c>
      <c r="V2519">
        <f t="shared" si="291"/>
        <v>197.775</v>
      </c>
      <c r="W2519">
        <f t="shared" si="288"/>
        <v>5585.21666666667</v>
      </c>
      <c r="X2519">
        <f t="shared" si="289"/>
        <v>0.483017579791773</v>
      </c>
      <c r="AH2519" t="str">
        <f t="shared" si="290"/>
        <v>3rd Quality</v>
      </c>
      <c r="AJ2519">
        <f>((T2519-X2519)*2)/23.5</f>
        <v>16.3317316270416</v>
      </c>
      <c r="AK2519">
        <f t="shared" si="287"/>
        <v>108887.569135802</v>
      </c>
    </row>
    <row r="2520" spans="1:37">
      <c r="A2520" t="s">
        <v>2586</v>
      </c>
      <c r="B2520">
        <v>37</v>
      </c>
      <c r="C2520" t="s">
        <v>50</v>
      </c>
      <c r="D2520" t="s">
        <v>45</v>
      </c>
      <c r="E2520">
        <v>494</v>
      </c>
      <c r="F2520">
        <v>51</v>
      </c>
      <c r="G2520">
        <v>2</v>
      </c>
      <c r="H2520">
        <v>4969.49</v>
      </c>
      <c r="I2520">
        <v>9257.79</v>
      </c>
      <c r="J2520">
        <v>21</v>
      </c>
      <c r="K2520">
        <v>0</v>
      </c>
      <c r="L2520">
        <v>0</v>
      </c>
      <c r="M2520">
        <v>20.6</v>
      </c>
      <c r="N2520" t="s">
        <v>61</v>
      </c>
      <c r="O2520" t="s">
        <v>47</v>
      </c>
      <c r="P2520" t="s">
        <v>68</v>
      </c>
      <c r="R2520">
        <f>SUMIF(A2520:A7519,"C02519",I2520:I7519)</f>
        <v>9257.79</v>
      </c>
      <c r="S2520" s="1">
        <v>41742.9</v>
      </c>
      <c r="T2520">
        <f t="shared" si="292"/>
        <v>440.847142857143</v>
      </c>
      <c r="U2520">
        <f t="shared" si="286"/>
        <v>432.6</v>
      </c>
      <c r="V2520">
        <f t="shared" si="291"/>
        <v>36.05</v>
      </c>
      <c r="W2520">
        <f t="shared" si="288"/>
        <v>4742.76</v>
      </c>
      <c r="X2520">
        <f t="shared" si="289"/>
        <v>0.0994065789447207</v>
      </c>
      <c r="AH2520" t="str">
        <f t="shared" si="290"/>
        <v>3rd Quality</v>
      </c>
      <c r="AJ2520">
        <f>((T2520-X2520)*2)</f>
        <v>881.495472556397</v>
      </c>
      <c r="AK2520">
        <f t="shared" si="287"/>
        <v>217778.488571429</v>
      </c>
    </row>
    <row r="2521" spans="1:37">
      <c r="A2521" t="s">
        <v>2587</v>
      </c>
      <c r="B2521">
        <v>25</v>
      </c>
      <c r="C2521" t="s">
        <v>50</v>
      </c>
      <c r="D2521" t="s">
        <v>45</v>
      </c>
      <c r="E2521">
        <v>945</v>
      </c>
      <c r="F2521">
        <v>19</v>
      </c>
      <c r="G2521">
        <v>26</v>
      </c>
      <c r="H2521">
        <v>2900.29</v>
      </c>
      <c r="I2521">
        <v>78060.54</v>
      </c>
      <c r="J2521">
        <v>160</v>
      </c>
      <c r="K2521">
        <v>0</v>
      </c>
      <c r="L2521">
        <v>16.1</v>
      </c>
      <c r="M2521">
        <v>44.7</v>
      </c>
      <c r="N2521" t="s">
        <v>57</v>
      </c>
      <c r="O2521" t="s">
        <v>47</v>
      </c>
      <c r="P2521" t="s">
        <v>58</v>
      </c>
      <c r="R2521">
        <f>SUMIF(A2521:A7520,"C02520",I2521:I7520)</f>
        <v>78060.54</v>
      </c>
      <c r="S2521" s="1">
        <v>8967.38</v>
      </c>
      <c r="T2521">
        <f t="shared" si="292"/>
        <v>487.878375</v>
      </c>
      <c r="U2521">
        <f t="shared" si="286"/>
        <v>7152</v>
      </c>
      <c r="V2521">
        <f t="shared" si="291"/>
        <v>596</v>
      </c>
      <c r="W2521">
        <f t="shared" si="288"/>
        <v>26987.2766666667</v>
      </c>
      <c r="X2521">
        <f t="shared" si="289"/>
        <v>0.325829486016916</v>
      </c>
      <c r="AH2521" t="str">
        <f t="shared" si="290"/>
        <v>1st Quality</v>
      </c>
      <c r="AJ2521">
        <f>((T2521-X2521)*2)/16.1</f>
        <v>60.5655336042215</v>
      </c>
      <c r="AK2521">
        <f t="shared" si="287"/>
        <v>461045.064375</v>
      </c>
    </row>
    <row r="2522" spans="1:37">
      <c r="A2522" t="s">
        <v>2588</v>
      </c>
      <c r="B2522">
        <v>24</v>
      </c>
      <c r="C2522" t="s">
        <v>50</v>
      </c>
      <c r="D2522" t="s">
        <v>60</v>
      </c>
      <c r="E2522">
        <v>1304</v>
      </c>
      <c r="F2522">
        <v>8</v>
      </c>
      <c r="G2522">
        <v>32</v>
      </c>
      <c r="H2522">
        <v>4074.83</v>
      </c>
      <c r="I2522">
        <v>129765.32</v>
      </c>
      <c r="J2522">
        <v>233</v>
      </c>
      <c r="K2522">
        <v>2</v>
      </c>
      <c r="L2522">
        <v>11</v>
      </c>
      <c r="M2522">
        <v>47.5</v>
      </c>
      <c r="N2522" t="s">
        <v>63</v>
      </c>
      <c r="O2522" t="s">
        <v>53</v>
      </c>
      <c r="P2522" t="s">
        <v>66</v>
      </c>
      <c r="R2522">
        <f>SUMIF(A2522:A7521,"C02521",I2522:I7521)</f>
        <v>129765.32</v>
      </c>
      <c r="S2522" s="1">
        <v>11677.28</v>
      </c>
      <c r="T2522">
        <f t="shared" si="292"/>
        <v>556.932703862661</v>
      </c>
      <c r="U2522">
        <f t="shared" si="286"/>
        <v>11067.5</v>
      </c>
      <c r="V2522">
        <f>U2522</f>
        <v>11067.5</v>
      </c>
      <c r="W2522">
        <f t="shared" si="288"/>
        <v>44613.7166666667</v>
      </c>
      <c r="X2522">
        <f t="shared" si="289"/>
        <v>0.320013350250195</v>
      </c>
      <c r="AH2522" t="str">
        <f t="shared" si="290"/>
        <v>1st Quality</v>
      </c>
      <c r="AJ2522">
        <f>((T2522-X2522)*2)/11</f>
        <v>101.202307365893</v>
      </c>
      <c r="AK2522">
        <f t="shared" si="287"/>
        <v>726240.24583691</v>
      </c>
    </row>
    <row r="2523" spans="1:37">
      <c r="A2523" t="s">
        <v>2589</v>
      </c>
      <c r="B2523">
        <v>28</v>
      </c>
      <c r="C2523" t="s">
        <v>50</v>
      </c>
      <c r="D2523" t="s">
        <v>45</v>
      </c>
      <c r="E2523">
        <v>1414</v>
      </c>
      <c r="F2523">
        <v>8</v>
      </c>
      <c r="G2523">
        <v>3</v>
      </c>
      <c r="H2523">
        <v>12872.3</v>
      </c>
      <c r="I2523">
        <v>41742.9</v>
      </c>
      <c r="J2523">
        <v>22</v>
      </c>
      <c r="K2523">
        <v>0</v>
      </c>
      <c r="L2523">
        <v>13.9</v>
      </c>
      <c r="M2523">
        <v>25.9</v>
      </c>
      <c r="N2523" t="s">
        <v>78</v>
      </c>
      <c r="O2523" t="s">
        <v>47</v>
      </c>
      <c r="P2523" t="s">
        <v>58</v>
      </c>
      <c r="R2523">
        <f>SUMIF(A2523:A7522,"C02522",I2523:I7522)</f>
        <v>41742.9</v>
      </c>
      <c r="S2523" s="1">
        <v>2368.5</v>
      </c>
      <c r="T2523">
        <f t="shared" si="292"/>
        <v>1897.40454545455</v>
      </c>
      <c r="U2523">
        <f t="shared" si="286"/>
        <v>569.8</v>
      </c>
      <c r="V2523">
        <f t="shared" si="291"/>
        <v>47.4833333333333</v>
      </c>
      <c r="W2523">
        <f t="shared" si="288"/>
        <v>18205.4</v>
      </c>
      <c r="X2523">
        <f t="shared" si="289"/>
        <v>0.109848278862363</v>
      </c>
      <c r="AH2523" t="str">
        <f t="shared" si="290"/>
        <v>1st Quality</v>
      </c>
      <c r="AJ2523">
        <f>((T2523-X2523)*2)/13.9</f>
        <v>272.992042759092</v>
      </c>
      <c r="AK2523">
        <f t="shared" si="287"/>
        <v>2682930.02727273</v>
      </c>
    </row>
    <row r="2524" spans="1:37">
      <c r="A2524" t="s">
        <v>2590</v>
      </c>
      <c r="B2524">
        <v>47</v>
      </c>
      <c r="C2524" t="s">
        <v>44</v>
      </c>
      <c r="D2524" t="s">
        <v>45</v>
      </c>
      <c r="E2524">
        <v>732</v>
      </c>
      <c r="F2524">
        <v>74</v>
      </c>
      <c r="G2524">
        <v>9</v>
      </c>
      <c r="H2524">
        <v>1105.31</v>
      </c>
      <c r="I2524">
        <v>8967.38</v>
      </c>
      <c r="J2524">
        <v>54</v>
      </c>
      <c r="K2524">
        <v>2</v>
      </c>
      <c r="L2524">
        <v>30.2</v>
      </c>
      <c r="M2524">
        <v>1</v>
      </c>
      <c r="N2524" t="s">
        <v>61</v>
      </c>
      <c r="O2524" t="s">
        <v>47</v>
      </c>
      <c r="P2524" t="s">
        <v>68</v>
      </c>
      <c r="R2524">
        <f>SUMIF(A2524:A7523,"C02523",I2524:I7523)</f>
        <v>8967.38</v>
      </c>
      <c r="S2524" s="1">
        <v>75014.45</v>
      </c>
      <c r="T2524">
        <f t="shared" si="292"/>
        <v>166.062592592593</v>
      </c>
      <c r="U2524">
        <f t="shared" si="286"/>
        <v>54</v>
      </c>
      <c r="V2524">
        <f>U2524</f>
        <v>54</v>
      </c>
      <c r="W2524">
        <f t="shared" si="288"/>
        <v>3357.89666666667</v>
      </c>
      <c r="X2524">
        <f t="shared" si="289"/>
        <v>0.662257647175905</v>
      </c>
      <c r="AH2524" t="str">
        <f t="shared" si="290"/>
        <v>3rd Quality</v>
      </c>
      <c r="AJ2524">
        <f>((T2524-X2524)*2)/30.2</f>
        <v>10.9536645659217</v>
      </c>
      <c r="AK2524">
        <f t="shared" si="287"/>
        <v>121557.817777778</v>
      </c>
    </row>
    <row r="2525" spans="1:37">
      <c r="A2525" t="s">
        <v>2591</v>
      </c>
      <c r="B2525">
        <v>19</v>
      </c>
      <c r="C2525" t="s">
        <v>44</v>
      </c>
      <c r="D2525" t="s">
        <v>45</v>
      </c>
      <c r="E2525">
        <v>756</v>
      </c>
      <c r="F2525">
        <v>17</v>
      </c>
      <c r="G2525">
        <v>2</v>
      </c>
      <c r="H2525">
        <v>6576.13</v>
      </c>
      <c r="I2525">
        <v>11677.28</v>
      </c>
      <c r="J2525">
        <v>11</v>
      </c>
      <c r="K2525">
        <v>0</v>
      </c>
      <c r="L2525">
        <v>9.1</v>
      </c>
      <c r="M2525">
        <v>61.5</v>
      </c>
      <c r="N2525" t="s">
        <v>63</v>
      </c>
      <c r="O2525" t="s">
        <v>47</v>
      </c>
      <c r="P2525" t="s">
        <v>66</v>
      </c>
      <c r="R2525">
        <f>SUMIF(A2525:A7524,"C02524",I2525:I7524)</f>
        <v>11677.28</v>
      </c>
      <c r="S2525" s="1">
        <v>854.41</v>
      </c>
      <c r="T2525">
        <f t="shared" si="292"/>
        <v>1061.57090909091</v>
      </c>
      <c r="U2525">
        <f t="shared" si="286"/>
        <v>676.5</v>
      </c>
      <c r="V2525">
        <f t="shared" si="291"/>
        <v>56.375</v>
      </c>
      <c r="W2525">
        <f t="shared" si="288"/>
        <v>6084.80333333333</v>
      </c>
      <c r="X2525">
        <f t="shared" si="289"/>
        <v>0.114961230997562</v>
      </c>
      <c r="AH2525" t="str">
        <f t="shared" si="290"/>
        <v>3rd Quality</v>
      </c>
      <c r="AJ2525">
        <f>((T2525-X2525)*2)/9.1</f>
        <v>233.287021507673</v>
      </c>
      <c r="AK2525">
        <f t="shared" si="287"/>
        <v>802547.607272727</v>
      </c>
    </row>
    <row r="2526" spans="1:37">
      <c r="A2526" t="s">
        <v>2592</v>
      </c>
      <c r="B2526">
        <v>37</v>
      </c>
      <c r="C2526" t="s">
        <v>50</v>
      </c>
      <c r="D2526" t="s">
        <v>60</v>
      </c>
      <c r="E2526">
        <v>1277</v>
      </c>
      <c r="F2526">
        <v>199</v>
      </c>
      <c r="G2526">
        <v>2</v>
      </c>
      <c r="H2526">
        <v>1222.13</v>
      </c>
      <c r="I2526">
        <v>2368.5</v>
      </c>
      <c r="J2526">
        <v>20</v>
      </c>
      <c r="K2526">
        <v>0</v>
      </c>
      <c r="L2526">
        <v>12.3</v>
      </c>
      <c r="M2526">
        <v>9.7</v>
      </c>
      <c r="N2526" t="s">
        <v>46</v>
      </c>
      <c r="O2526" t="s">
        <v>47</v>
      </c>
      <c r="P2526" t="s">
        <v>58</v>
      </c>
      <c r="R2526">
        <f>SUMIF(A2526:A7525,"C02525",I2526:I7525)</f>
        <v>2368.5</v>
      </c>
      <c r="S2526" s="1">
        <v>2525.03</v>
      </c>
      <c r="T2526">
        <f t="shared" si="292"/>
        <v>118.425</v>
      </c>
      <c r="U2526">
        <f t="shared" si="286"/>
        <v>194</v>
      </c>
      <c r="V2526">
        <f t="shared" si="291"/>
        <v>16.1666666666667</v>
      </c>
      <c r="W2526">
        <f t="shared" si="288"/>
        <v>1197.21</v>
      </c>
      <c r="X2526">
        <f t="shared" si="289"/>
        <v>1.04489702404818</v>
      </c>
      <c r="AH2526" t="str">
        <f t="shared" si="290"/>
        <v>3rd Quality</v>
      </c>
      <c r="AJ2526">
        <f>((T2526-X2526)*2)/12.3</f>
        <v>19.0861956058458</v>
      </c>
      <c r="AK2526">
        <f t="shared" si="287"/>
        <v>151228.725</v>
      </c>
    </row>
    <row r="2527" spans="1:37">
      <c r="A2527" t="s">
        <v>2593</v>
      </c>
      <c r="B2527">
        <v>37</v>
      </c>
      <c r="C2527" t="s">
        <v>50</v>
      </c>
      <c r="D2527" t="s">
        <v>60</v>
      </c>
      <c r="E2527">
        <v>535</v>
      </c>
      <c r="F2527">
        <v>4</v>
      </c>
      <c r="G2527">
        <v>29</v>
      </c>
      <c r="H2527">
        <v>2602.72</v>
      </c>
      <c r="I2527">
        <v>75014.45</v>
      </c>
      <c r="J2527">
        <v>99</v>
      </c>
      <c r="K2527">
        <v>0</v>
      </c>
      <c r="L2527">
        <v>0</v>
      </c>
      <c r="M2527">
        <v>49.3</v>
      </c>
      <c r="N2527" t="s">
        <v>52</v>
      </c>
      <c r="O2527" t="s">
        <v>47</v>
      </c>
      <c r="P2527" t="s">
        <v>54</v>
      </c>
      <c r="R2527">
        <f>SUMIF(A2527:A7526,"C02526",I2527:I7526)</f>
        <v>75014.45</v>
      </c>
      <c r="S2527" s="1">
        <v>4418.72</v>
      </c>
      <c r="T2527">
        <f t="shared" si="292"/>
        <v>757.721717171717</v>
      </c>
      <c r="U2527">
        <f t="shared" si="286"/>
        <v>4880.7</v>
      </c>
      <c r="V2527">
        <f t="shared" si="291"/>
        <v>406.725</v>
      </c>
      <c r="W2527">
        <f t="shared" si="288"/>
        <v>25872.7233333333</v>
      </c>
      <c r="X2527">
        <f t="shared" si="289"/>
        <v>0.205554189463331</v>
      </c>
      <c r="AH2527" t="str">
        <f t="shared" si="290"/>
        <v>2nd Quality</v>
      </c>
      <c r="AJ2527">
        <f>((T2527-X2527)*2)</f>
        <v>1515.03232596451</v>
      </c>
      <c r="AK2527">
        <f t="shared" si="287"/>
        <v>405381.118686869</v>
      </c>
    </row>
    <row r="2528" spans="1:37">
      <c r="A2528" t="s">
        <v>2594</v>
      </c>
      <c r="B2528">
        <v>52</v>
      </c>
      <c r="C2528" t="s">
        <v>50</v>
      </c>
      <c r="D2528" t="s">
        <v>45</v>
      </c>
      <c r="E2528">
        <v>765</v>
      </c>
      <c r="F2528">
        <v>80</v>
      </c>
      <c r="G2528">
        <v>1</v>
      </c>
      <c r="H2528">
        <v>826.72</v>
      </c>
      <c r="I2528">
        <v>854.41</v>
      </c>
      <c r="J2528">
        <v>8</v>
      </c>
      <c r="K2528">
        <v>0</v>
      </c>
      <c r="L2528">
        <v>20.8</v>
      </c>
      <c r="M2528">
        <v>21.3</v>
      </c>
      <c r="N2528" t="s">
        <v>81</v>
      </c>
      <c r="O2528" t="s">
        <v>75</v>
      </c>
      <c r="P2528" t="s">
        <v>68</v>
      </c>
      <c r="R2528">
        <f>SUMIF(A2528:A7527,"C02527",I2528:I7527)</f>
        <v>854.41</v>
      </c>
      <c r="S2528" s="1">
        <v>49203.95</v>
      </c>
      <c r="T2528">
        <f t="shared" si="292"/>
        <v>106.80125</v>
      </c>
      <c r="U2528">
        <f t="shared" si="286"/>
        <v>170.4</v>
      </c>
      <c r="V2528">
        <f t="shared" si="291"/>
        <v>14.2</v>
      </c>
      <c r="W2528">
        <f t="shared" si="288"/>
        <v>560.71</v>
      </c>
      <c r="X2528">
        <f t="shared" si="289"/>
        <v>0.925343526224115</v>
      </c>
      <c r="AH2528" t="str">
        <f t="shared" si="290"/>
        <v>3rd Quality</v>
      </c>
      <c r="AJ2528">
        <f>((T2528-X2528)*2)/20.8</f>
        <v>10.1803756224785</v>
      </c>
      <c r="AK2528">
        <f t="shared" si="287"/>
        <v>81702.95625</v>
      </c>
    </row>
    <row r="2529" spans="1:37">
      <c r="A2529" t="s">
        <v>2595</v>
      </c>
      <c r="B2529">
        <v>56</v>
      </c>
      <c r="C2529" t="s">
        <v>44</v>
      </c>
      <c r="D2529" t="s">
        <v>60</v>
      </c>
      <c r="E2529">
        <v>881</v>
      </c>
      <c r="F2529">
        <v>253</v>
      </c>
      <c r="G2529">
        <v>2</v>
      </c>
      <c r="H2529">
        <v>1391.4</v>
      </c>
      <c r="I2529">
        <v>2525.03</v>
      </c>
      <c r="J2529">
        <v>13</v>
      </c>
      <c r="K2529">
        <v>0</v>
      </c>
      <c r="L2529">
        <v>15.8</v>
      </c>
      <c r="M2529">
        <v>16.7</v>
      </c>
      <c r="N2529" t="s">
        <v>63</v>
      </c>
      <c r="O2529" t="s">
        <v>75</v>
      </c>
      <c r="P2529" t="s">
        <v>48</v>
      </c>
      <c r="R2529">
        <f>SUMIF(A2529:A7528,"C02528",I2529:I7528)</f>
        <v>2525.03</v>
      </c>
      <c r="S2529" s="1">
        <v>64422.03</v>
      </c>
      <c r="T2529">
        <f t="shared" si="292"/>
        <v>194.233076923077</v>
      </c>
      <c r="U2529">
        <f t="shared" si="286"/>
        <v>217.1</v>
      </c>
      <c r="V2529">
        <f t="shared" si="291"/>
        <v>18.0916666666667</v>
      </c>
      <c r="W2529">
        <f t="shared" si="288"/>
        <v>1305.81</v>
      </c>
      <c r="X2529">
        <f t="shared" si="289"/>
        <v>0.63317521920368</v>
      </c>
      <c r="AH2529" t="str">
        <f t="shared" si="290"/>
        <v>3rd Quality</v>
      </c>
      <c r="AJ2529">
        <f>((T2529-X2529)*2)/15.8</f>
        <v>24.5063166713764</v>
      </c>
      <c r="AK2529">
        <f t="shared" si="287"/>
        <v>171119.340769231</v>
      </c>
    </row>
    <row r="2530" spans="1:37">
      <c r="A2530" t="s">
        <v>2596</v>
      </c>
      <c r="B2530">
        <v>23</v>
      </c>
      <c r="C2530" t="s">
        <v>50</v>
      </c>
      <c r="D2530" t="s">
        <v>45</v>
      </c>
      <c r="E2530">
        <v>692</v>
      </c>
      <c r="F2530">
        <v>98</v>
      </c>
      <c r="G2530">
        <v>5</v>
      </c>
      <c r="H2530">
        <v>865.61</v>
      </c>
      <c r="I2530">
        <v>4418.72</v>
      </c>
      <c r="J2530">
        <v>50</v>
      </c>
      <c r="K2530">
        <v>2</v>
      </c>
      <c r="L2530">
        <v>34.6</v>
      </c>
      <c r="M2530">
        <v>56.7</v>
      </c>
      <c r="N2530" t="s">
        <v>57</v>
      </c>
      <c r="O2530" t="s">
        <v>47</v>
      </c>
      <c r="P2530" t="s">
        <v>68</v>
      </c>
      <c r="R2530">
        <f>SUMIF(A2530:A7529,"C02529",I2530:I7529)</f>
        <v>4418.72</v>
      </c>
      <c r="S2530" s="1">
        <v>48074.28</v>
      </c>
      <c r="T2530">
        <f t="shared" si="292"/>
        <v>88.3744</v>
      </c>
      <c r="U2530">
        <f t="shared" ref="U2530:U2593" si="293">J2530*M2530</f>
        <v>2835</v>
      </c>
      <c r="V2530">
        <f>U2530</f>
        <v>2835</v>
      </c>
      <c r="W2530">
        <f t="shared" si="288"/>
        <v>1761.77666666667</v>
      </c>
      <c r="X2530">
        <f t="shared" si="289"/>
        <v>0.799436235718164</v>
      </c>
      <c r="AH2530" t="str">
        <f t="shared" si="290"/>
        <v>3rd Quality</v>
      </c>
      <c r="AJ2530">
        <f>((T2530-X2530)*2)/34.6</f>
        <v>5.06213663377352</v>
      </c>
      <c r="AK2530">
        <f t="shared" si="287"/>
        <v>61155.0848</v>
      </c>
    </row>
    <row r="2531" spans="1:37">
      <c r="A2531" t="s">
        <v>2597</v>
      </c>
      <c r="B2531">
        <v>41</v>
      </c>
      <c r="C2531" t="s">
        <v>50</v>
      </c>
      <c r="D2531" t="s">
        <v>45</v>
      </c>
      <c r="E2531">
        <v>861</v>
      </c>
      <c r="F2531">
        <v>6</v>
      </c>
      <c r="G2531">
        <v>5</v>
      </c>
      <c r="H2531">
        <v>9153.13</v>
      </c>
      <c r="I2531">
        <v>49203.95</v>
      </c>
      <c r="J2531">
        <v>15</v>
      </c>
      <c r="K2531">
        <v>1</v>
      </c>
      <c r="L2531">
        <v>10.9</v>
      </c>
      <c r="M2531">
        <v>14.8</v>
      </c>
      <c r="N2531" t="s">
        <v>61</v>
      </c>
      <c r="O2531" t="s">
        <v>47</v>
      </c>
      <c r="P2531" t="s">
        <v>48</v>
      </c>
      <c r="R2531">
        <f>SUMIF(A2531:A7530,"C02530",I2531:I7530)</f>
        <v>49203.95</v>
      </c>
      <c r="S2531" s="1">
        <v>1373.52</v>
      </c>
      <c r="T2531">
        <f t="shared" si="292"/>
        <v>3280.26333333333</v>
      </c>
      <c r="U2531">
        <f t="shared" si="293"/>
        <v>222</v>
      </c>
      <c r="V2531">
        <f>U2531</f>
        <v>222</v>
      </c>
      <c r="W2531">
        <f t="shared" si="288"/>
        <v>19452.6933333333</v>
      </c>
      <c r="X2531">
        <f t="shared" si="289"/>
        <v>0.0940661828248916</v>
      </c>
      <c r="AH2531" t="str">
        <f t="shared" si="290"/>
        <v>2nd Quality</v>
      </c>
      <c r="AJ2531">
        <f>((T2531-X2531)*2)/10.9</f>
        <v>601.865920578074</v>
      </c>
      <c r="AK2531">
        <f t="shared" si="287"/>
        <v>2824306.73</v>
      </c>
    </row>
    <row r="2532" spans="1:37">
      <c r="A2532" t="s">
        <v>2598</v>
      </c>
      <c r="B2532">
        <v>27</v>
      </c>
      <c r="C2532" t="s">
        <v>50</v>
      </c>
      <c r="D2532" t="s">
        <v>51</v>
      </c>
      <c r="E2532">
        <v>1448</v>
      </c>
      <c r="F2532">
        <v>17</v>
      </c>
      <c r="G2532">
        <v>7</v>
      </c>
      <c r="H2532">
        <v>8379.51</v>
      </c>
      <c r="I2532">
        <v>64422.03</v>
      </c>
      <c r="J2532">
        <v>67</v>
      </c>
      <c r="K2532">
        <v>0</v>
      </c>
      <c r="L2532">
        <v>10.2</v>
      </c>
      <c r="M2532">
        <v>50.4</v>
      </c>
      <c r="N2532" t="s">
        <v>52</v>
      </c>
      <c r="O2532" t="s">
        <v>47</v>
      </c>
      <c r="P2532" t="s">
        <v>58</v>
      </c>
      <c r="R2532">
        <f>SUMIF(A2532:A7531,"C02531",I2532:I7531)</f>
        <v>64422.03</v>
      </c>
      <c r="S2532" s="1">
        <v>70992.93</v>
      </c>
      <c r="T2532">
        <f t="shared" si="292"/>
        <v>961.522835820895</v>
      </c>
      <c r="U2532">
        <f t="shared" si="293"/>
        <v>3376.8</v>
      </c>
      <c r="V2532">
        <f t="shared" si="291"/>
        <v>281.4</v>
      </c>
      <c r="W2532">
        <f t="shared" si="288"/>
        <v>24267.5133333333</v>
      </c>
      <c r="X2532">
        <f t="shared" si="289"/>
        <v>0.172802466970026</v>
      </c>
      <c r="AH2532" t="str">
        <f t="shared" si="290"/>
        <v>1st Quality</v>
      </c>
      <c r="AJ2532">
        <f>((T2532-X2532)*2)/10.2</f>
        <v>188.500006539985</v>
      </c>
      <c r="AK2532">
        <f t="shared" si="287"/>
        <v>1392285.06626866</v>
      </c>
    </row>
    <row r="2533" spans="1:37">
      <c r="A2533" t="s">
        <v>2599</v>
      </c>
      <c r="B2533">
        <v>39</v>
      </c>
      <c r="C2533" t="s">
        <v>44</v>
      </c>
      <c r="D2533" t="s">
        <v>45</v>
      </c>
      <c r="E2533">
        <v>1370</v>
      </c>
      <c r="F2533">
        <v>97</v>
      </c>
      <c r="G2533">
        <v>6</v>
      </c>
      <c r="H2533">
        <v>7310.95</v>
      </c>
      <c r="I2533">
        <v>48074.28</v>
      </c>
      <c r="J2533">
        <v>63</v>
      </c>
      <c r="K2533">
        <v>0</v>
      </c>
      <c r="L2533">
        <v>7.7</v>
      </c>
      <c r="M2533">
        <v>32.5</v>
      </c>
      <c r="N2533" t="s">
        <v>46</v>
      </c>
      <c r="O2533" t="s">
        <v>75</v>
      </c>
      <c r="P2533" t="s">
        <v>68</v>
      </c>
      <c r="R2533">
        <f>SUMIF(A2533:A7532,"C02532",I2533:I7532)</f>
        <v>48074.28</v>
      </c>
      <c r="S2533" s="1">
        <v>2242.73</v>
      </c>
      <c r="T2533">
        <f t="shared" si="292"/>
        <v>763.083809523809</v>
      </c>
      <c r="U2533">
        <f t="shared" si="293"/>
        <v>2047.5</v>
      </c>
      <c r="V2533">
        <f t="shared" si="291"/>
        <v>170.625</v>
      </c>
      <c r="W2533">
        <f t="shared" si="288"/>
        <v>18462.0766666667</v>
      </c>
      <c r="X2533">
        <f t="shared" si="289"/>
        <v>0.187390147655229</v>
      </c>
      <c r="AH2533" t="str">
        <f t="shared" si="290"/>
        <v>2nd Quality</v>
      </c>
      <c r="AJ2533">
        <f>((T2533-X2533)*2)/7.7</f>
        <v>198.154914123676</v>
      </c>
      <c r="AK2533">
        <f t="shared" si="287"/>
        <v>1045424.81904762</v>
      </c>
    </row>
    <row r="2534" spans="1:37">
      <c r="A2534" t="s">
        <v>2600</v>
      </c>
      <c r="B2534">
        <v>21</v>
      </c>
      <c r="C2534" t="s">
        <v>44</v>
      </c>
      <c r="D2534" t="s">
        <v>51</v>
      </c>
      <c r="E2534">
        <v>787</v>
      </c>
      <c r="F2534">
        <v>140</v>
      </c>
      <c r="G2534">
        <v>2</v>
      </c>
      <c r="H2534">
        <v>683.73</v>
      </c>
      <c r="I2534">
        <v>1373.52</v>
      </c>
      <c r="J2534">
        <v>16</v>
      </c>
      <c r="K2534">
        <v>0</v>
      </c>
      <c r="L2534">
        <v>17.4</v>
      </c>
      <c r="M2534">
        <v>43.3</v>
      </c>
      <c r="N2534" t="s">
        <v>52</v>
      </c>
      <c r="O2534" t="s">
        <v>47</v>
      </c>
      <c r="P2534" t="s">
        <v>58</v>
      </c>
      <c r="R2534">
        <f>SUMIF(A2534:A7533,"C02533",I2534:I7533)</f>
        <v>1373.52</v>
      </c>
      <c r="S2534" s="1">
        <v>25572.75</v>
      </c>
      <c r="T2534">
        <f t="shared" si="292"/>
        <v>85.845</v>
      </c>
      <c r="U2534">
        <f t="shared" si="293"/>
        <v>692.8</v>
      </c>
      <c r="V2534">
        <f t="shared" si="291"/>
        <v>57.7333333333333</v>
      </c>
      <c r="W2534">
        <f t="shared" si="288"/>
        <v>686.083333333333</v>
      </c>
      <c r="X2534">
        <f t="shared" si="289"/>
        <v>1.15103915288199</v>
      </c>
      <c r="AH2534" t="str">
        <f t="shared" si="290"/>
        <v>3rd Quality</v>
      </c>
      <c r="AJ2534">
        <f>((T2534-X2534)*2)/17.4</f>
        <v>9.73493802840437</v>
      </c>
      <c r="AK2534">
        <f t="shared" si="287"/>
        <v>67560.015</v>
      </c>
    </row>
    <row r="2535" spans="1:37">
      <c r="A2535" t="s">
        <v>2601</v>
      </c>
      <c r="B2535">
        <v>37</v>
      </c>
      <c r="C2535" t="s">
        <v>44</v>
      </c>
      <c r="D2535" t="s">
        <v>60</v>
      </c>
      <c r="E2535">
        <v>874</v>
      </c>
      <c r="F2535">
        <v>5</v>
      </c>
      <c r="G2535">
        <v>25</v>
      </c>
      <c r="H2535">
        <v>2591.41</v>
      </c>
      <c r="I2535">
        <v>70992.93</v>
      </c>
      <c r="J2535">
        <v>84</v>
      </c>
      <c r="K2535">
        <v>1</v>
      </c>
      <c r="L2535">
        <v>17.8</v>
      </c>
      <c r="M2535">
        <v>75.4</v>
      </c>
      <c r="N2535" t="s">
        <v>78</v>
      </c>
      <c r="O2535" t="s">
        <v>53</v>
      </c>
      <c r="P2535" t="s">
        <v>58</v>
      </c>
      <c r="R2535">
        <f>SUMIF(A2535:A7534,"C02534",I2535:I7534)</f>
        <v>70992.93</v>
      </c>
      <c r="S2535" s="1">
        <v>6307.24</v>
      </c>
      <c r="T2535">
        <f t="shared" si="292"/>
        <v>845.153928571429</v>
      </c>
      <c r="U2535">
        <f t="shared" si="293"/>
        <v>6333.6</v>
      </c>
      <c r="V2535">
        <f>U2535</f>
        <v>6333.6</v>
      </c>
      <c r="W2535">
        <f t="shared" si="288"/>
        <v>24528.4466666667</v>
      </c>
      <c r="X2535">
        <f t="shared" si="289"/>
        <v>0.337268128161889</v>
      </c>
      <c r="AH2535" t="str">
        <f t="shared" si="290"/>
        <v>2nd Quality</v>
      </c>
      <c r="AJ2535">
        <f>((T2535-X2535)*2)/17.8</f>
        <v>94.9232202745244</v>
      </c>
      <c r="AK2535">
        <f t="shared" si="287"/>
        <v>738664.533571429</v>
      </c>
    </row>
    <row r="2536" spans="1:37">
      <c r="A2536" t="s">
        <v>2602</v>
      </c>
      <c r="B2536">
        <v>53</v>
      </c>
      <c r="C2536" t="s">
        <v>50</v>
      </c>
      <c r="D2536" t="s">
        <v>60</v>
      </c>
      <c r="E2536">
        <v>1378</v>
      </c>
      <c r="F2536">
        <v>151</v>
      </c>
      <c r="G2536">
        <v>1</v>
      </c>
      <c r="H2536">
        <v>2222.67</v>
      </c>
      <c r="I2536">
        <v>2242.73</v>
      </c>
      <c r="J2536">
        <v>10</v>
      </c>
      <c r="K2536">
        <v>0</v>
      </c>
      <c r="L2536">
        <v>8.2</v>
      </c>
      <c r="M2536">
        <v>29.1</v>
      </c>
      <c r="N2536" t="s">
        <v>81</v>
      </c>
      <c r="O2536" t="s">
        <v>47</v>
      </c>
      <c r="P2536" t="s">
        <v>68</v>
      </c>
      <c r="R2536">
        <f>SUMIF(A2536:A7535,"C02535",I2536:I7535)</f>
        <v>2242.73</v>
      </c>
      <c r="S2536" s="1">
        <v>9430.23</v>
      </c>
      <c r="T2536">
        <f t="shared" si="292"/>
        <v>224.273</v>
      </c>
      <c r="U2536">
        <f t="shared" si="293"/>
        <v>291</v>
      </c>
      <c r="V2536">
        <f t="shared" si="291"/>
        <v>24.25</v>
      </c>
      <c r="W2536">
        <f t="shared" si="288"/>
        <v>1488.8</v>
      </c>
      <c r="X2536">
        <f t="shared" si="289"/>
        <v>0.619975075022383</v>
      </c>
      <c r="AH2536" t="str">
        <f t="shared" si="290"/>
        <v>3rd Quality</v>
      </c>
      <c r="AJ2536">
        <f>((T2536-X2536)*2)/8.2</f>
        <v>54.5495182743848</v>
      </c>
      <c r="AK2536">
        <f t="shared" si="287"/>
        <v>309048.194</v>
      </c>
    </row>
    <row r="2537" spans="1:37">
      <c r="A2537" t="s">
        <v>2603</v>
      </c>
      <c r="B2537">
        <v>21</v>
      </c>
      <c r="C2537" t="s">
        <v>44</v>
      </c>
      <c r="D2537" t="s">
        <v>51</v>
      </c>
      <c r="E2537">
        <v>635</v>
      </c>
      <c r="F2537">
        <v>30</v>
      </c>
      <c r="G2537">
        <v>3</v>
      </c>
      <c r="H2537">
        <v>9496.65</v>
      </c>
      <c r="I2537">
        <v>25572.75</v>
      </c>
      <c r="J2537">
        <v>31</v>
      </c>
      <c r="K2537">
        <v>0</v>
      </c>
      <c r="L2537">
        <v>1.5</v>
      </c>
      <c r="M2537">
        <v>27.2</v>
      </c>
      <c r="N2537" t="s">
        <v>61</v>
      </c>
      <c r="O2537" t="s">
        <v>47</v>
      </c>
      <c r="P2537" t="s">
        <v>48</v>
      </c>
      <c r="R2537">
        <f>SUMIF(A2537:A7536,"C02536",I2537:I7536)</f>
        <v>25572.75</v>
      </c>
      <c r="S2537" s="1">
        <v>82455.39</v>
      </c>
      <c r="T2537">
        <f t="shared" si="292"/>
        <v>824.927419354839</v>
      </c>
      <c r="U2537">
        <f t="shared" si="293"/>
        <v>843.2</v>
      </c>
      <c r="V2537">
        <f t="shared" si="291"/>
        <v>70.2666666666667</v>
      </c>
      <c r="W2537">
        <f t="shared" si="288"/>
        <v>11690.1333333333</v>
      </c>
      <c r="X2537">
        <f t="shared" si="289"/>
        <v>0.06686568421496</v>
      </c>
      <c r="AH2537" t="str">
        <f t="shared" si="290"/>
        <v>2nd Quality</v>
      </c>
      <c r="AJ2537">
        <f>((T2537-X2537)*2)/1.5</f>
        <v>1099.81407156083</v>
      </c>
      <c r="AK2537">
        <f t="shared" si="287"/>
        <v>523828.911290323</v>
      </c>
    </row>
    <row r="2538" spans="1:37">
      <c r="A2538" t="s">
        <v>2604</v>
      </c>
      <c r="B2538">
        <v>44</v>
      </c>
      <c r="C2538" t="s">
        <v>44</v>
      </c>
      <c r="D2538" t="s">
        <v>60</v>
      </c>
      <c r="E2538">
        <v>992</v>
      </c>
      <c r="F2538">
        <v>68</v>
      </c>
      <c r="G2538">
        <v>2</v>
      </c>
      <c r="H2538">
        <v>2831.71</v>
      </c>
      <c r="I2538">
        <v>6307.24</v>
      </c>
      <c r="J2538">
        <v>10</v>
      </c>
      <c r="K2538">
        <v>0</v>
      </c>
      <c r="L2538">
        <v>26.7</v>
      </c>
      <c r="M2538">
        <v>21.9</v>
      </c>
      <c r="N2538" t="s">
        <v>78</v>
      </c>
      <c r="O2538" t="s">
        <v>75</v>
      </c>
      <c r="P2538" t="s">
        <v>48</v>
      </c>
      <c r="R2538">
        <f>SUMIF(A2538:A7537,"C02537",I2538:I7537)</f>
        <v>6307.24</v>
      </c>
      <c r="S2538" s="1">
        <v>30099.53</v>
      </c>
      <c r="T2538">
        <f t="shared" si="292"/>
        <v>630.724</v>
      </c>
      <c r="U2538">
        <f t="shared" si="293"/>
        <v>219</v>
      </c>
      <c r="V2538">
        <f t="shared" si="291"/>
        <v>18.25</v>
      </c>
      <c r="W2538">
        <f t="shared" si="288"/>
        <v>3046.65</v>
      </c>
      <c r="X2538">
        <f t="shared" si="289"/>
        <v>0.350318358871495</v>
      </c>
      <c r="AH2538" t="str">
        <f t="shared" si="290"/>
        <v>3rd Quality</v>
      </c>
      <c r="AJ2538">
        <f>((T2538-X2538)*2)/26.7</f>
        <v>47.219002370122</v>
      </c>
      <c r="AK2538">
        <f t="shared" si="287"/>
        <v>625678.208</v>
      </c>
    </row>
    <row r="2539" spans="1:37">
      <c r="A2539" t="s">
        <v>2605</v>
      </c>
      <c r="B2539">
        <v>40</v>
      </c>
      <c r="C2539" t="s">
        <v>44</v>
      </c>
      <c r="D2539" t="s">
        <v>51</v>
      </c>
      <c r="E2539">
        <v>614</v>
      </c>
      <c r="F2539">
        <v>88</v>
      </c>
      <c r="G2539">
        <v>9</v>
      </c>
      <c r="H2539">
        <v>1189.84</v>
      </c>
      <c r="I2539">
        <v>9430.23</v>
      </c>
      <c r="J2539">
        <v>27</v>
      </c>
      <c r="K2539">
        <v>0</v>
      </c>
      <c r="L2539">
        <v>22.1</v>
      </c>
      <c r="M2539">
        <v>23.6</v>
      </c>
      <c r="N2539" t="s">
        <v>46</v>
      </c>
      <c r="O2539" t="s">
        <v>47</v>
      </c>
      <c r="P2539" t="s">
        <v>48</v>
      </c>
      <c r="R2539">
        <f>SUMIF(A2539:A7538,"C02538",I2539:I7538)</f>
        <v>9430.23</v>
      </c>
      <c r="S2539" s="1">
        <v>42271.27</v>
      </c>
      <c r="T2539">
        <f t="shared" si="292"/>
        <v>349.267777777778</v>
      </c>
      <c r="U2539">
        <f t="shared" si="293"/>
        <v>637.2</v>
      </c>
      <c r="V2539">
        <f t="shared" si="291"/>
        <v>53.1</v>
      </c>
      <c r="W2539">
        <f t="shared" si="288"/>
        <v>3540.35666666667</v>
      </c>
      <c r="X2539">
        <f t="shared" si="289"/>
        <v>0.516035769515229</v>
      </c>
      <c r="AH2539" t="str">
        <f t="shared" si="290"/>
        <v>3rd Quality</v>
      </c>
      <c r="AJ2539">
        <f>((T2539-X2539)*2)/22.1</f>
        <v>31.5612436206573</v>
      </c>
      <c r="AK2539">
        <f t="shared" si="287"/>
        <v>214450.415555556</v>
      </c>
    </row>
    <row r="2540" spans="1:37">
      <c r="A2540" t="s">
        <v>2606</v>
      </c>
      <c r="B2540">
        <v>48</v>
      </c>
      <c r="C2540" t="s">
        <v>50</v>
      </c>
      <c r="D2540" t="s">
        <v>60</v>
      </c>
      <c r="E2540">
        <v>1061</v>
      </c>
      <c r="F2540">
        <v>14</v>
      </c>
      <c r="G2540">
        <v>23</v>
      </c>
      <c r="H2540">
        <v>3779.31</v>
      </c>
      <c r="I2540">
        <v>82455.39</v>
      </c>
      <c r="J2540">
        <v>80</v>
      </c>
      <c r="K2540">
        <v>0</v>
      </c>
      <c r="L2540">
        <v>6.8</v>
      </c>
      <c r="M2540">
        <v>22.2</v>
      </c>
      <c r="N2540" t="s">
        <v>52</v>
      </c>
      <c r="O2540" t="s">
        <v>75</v>
      </c>
      <c r="P2540" t="s">
        <v>58</v>
      </c>
      <c r="R2540">
        <f>SUMIF(A2540:A7539,"C02539",I2540:I7539)</f>
        <v>82455.39</v>
      </c>
      <c r="S2540" s="1">
        <v>9935.88</v>
      </c>
      <c r="T2540">
        <f t="shared" si="292"/>
        <v>1030.692375</v>
      </c>
      <c r="U2540">
        <f t="shared" si="293"/>
        <v>1776</v>
      </c>
      <c r="V2540">
        <f t="shared" si="291"/>
        <v>148</v>
      </c>
      <c r="W2540">
        <f t="shared" si="288"/>
        <v>28745.2333333333</v>
      </c>
      <c r="X2540">
        <f t="shared" si="289"/>
        <v>0.28073907670977</v>
      </c>
      <c r="AH2540" t="str">
        <f t="shared" si="290"/>
        <v>3rd Quality</v>
      </c>
      <c r="AJ2540">
        <f>((T2540-X2540)*2)/6.8</f>
        <v>303.062245859791</v>
      </c>
      <c r="AK2540">
        <f t="shared" si="287"/>
        <v>1093564.609875</v>
      </c>
    </row>
    <row r="2541" spans="1:37">
      <c r="A2541" t="s">
        <v>2607</v>
      </c>
      <c r="B2541">
        <v>36</v>
      </c>
      <c r="C2541" t="s">
        <v>56</v>
      </c>
      <c r="D2541" t="s">
        <v>60</v>
      </c>
      <c r="E2541">
        <v>407</v>
      </c>
      <c r="F2541">
        <v>51</v>
      </c>
      <c r="G2541">
        <v>4</v>
      </c>
      <c r="H2541">
        <v>8444.19</v>
      </c>
      <c r="I2541">
        <v>30099.53</v>
      </c>
      <c r="J2541">
        <v>20</v>
      </c>
      <c r="K2541">
        <v>0</v>
      </c>
      <c r="L2541">
        <v>2.1</v>
      </c>
      <c r="M2541">
        <v>2.8</v>
      </c>
      <c r="N2541" t="s">
        <v>78</v>
      </c>
      <c r="O2541" t="s">
        <v>53</v>
      </c>
      <c r="P2541" t="s">
        <v>58</v>
      </c>
      <c r="R2541">
        <f>SUMIF(A2541:A7540,"C02540",I2541:I7540)</f>
        <v>30099.53</v>
      </c>
      <c r="S2541" s="1">
        <v>28525.53</v>
      </c>
      <c r="T2541">
        <f t="shared" si="292"/>
        <v>1504.9765</v>
      </c>
      <c r="U2541">
        <f t="shared" si="293"/>
        <v>56</v>
      </c>
      <c r="V2541">
        <f t="shared" si="291"/>
        <v>4.66666666666667</v>
      </c>
      <c r="W2541">
        <f t="shared" si="288"/>
        <v>12848.24</v>
      </c>
      <c r="X2541">
        <f t="shared" si="289"/>
        <v>0.0481988207276246</v>
      </c>
      <c r="AH2541" t="str">
        <f t="shared" si="290"/>
        <v>3rd Quality</v>
      </c>
      <c r="AJ2541">
        <f>((T2541-X2541)*2)/2.1</f>
        <v>1433.26504874216</v>
      </c>
      <c r="AK2541">
        <f t="shared" si="287"/>
        <v>612525.4355</v>
      </c>
    </row>
    <row r="2542" spans="1:37">
      <c r="A2542" t="s">
        <v>2608</v>
      </c>
      <c r="B2542">
        <v>36</v>
      </c>
      <c r="C2542" t="s">
        <v>44</v>
      </c>
      <c r="D2542" t="s">
        <v>60</v>
      </c>
      <c r="E2542">
        <v>602</v>
      </c>
      <c r="F2542">
        <v>54</v>
      </c>
      <c r="G2542">
        <v>5</v>
      </c>
      <c r="H2542">
        <v>8366.57</v>
      </c>
      <c r="I2542">
        <v>42271.27</v>
      </c>
      <c r="J2542">
        <v>40</v>
      </c>
      <c r="K2542">
        <v>0</v>
      </c>
      <c r="L2542">
        <v>11.6</v>
      </c>
      <c r="M2542">
        <v>45.2</v>
      </c>
      <c r="N2542" t="s">
        <v>46</v>
      </c>
      <c r="O2542" t="s">
        <v>75</v>
      </c>
      <c r="P2542" t="s">
        <v>58</v>
      </c>
      <c r="R2542">
        <f>SUMIF(A2542:A7541,"C02541",I2542:I7541)</f>
        <v>42271.27</v>
      </c>
      <c r="S2542" s="1">
        <v>5065.7</v>
      </c>
      <c r="T2542">
        <f t="shared" si="292"/>
        <v>1056.78175</v>
      </c>
      <c r="U2542">
        <f t="shared" si="293"/>
        <v>1808</v>
      </c>
      <c r="V2542">
        <f t="shared" si="291"/>
        <v>150.666666666667</v>
      </c>
      <c r="W2542">
        <f t="shared" si="288"/>
        <v>16879.6133333333</v>
      </c>
      <c r="X2542">
        <f t="shared" si="289"/>
        <v>0.0719530225648025</v>
      </c>
      <c r="AH2542" t="str">
        <f t="shared" si="290"/>
        <v>2nd Quality</v>
      </c>
      <c r="AJ2542">
        <f>((T2542-X2542)*2)/11.6</f>
        <v>182.191344306454</v>
      </c>
      <c r="AK2542">
        <f t="shared" si="287"/>
        <v>636182.6135</v>
      </c>
    </row>
    <row r="2543" spans="1:37">
      <c r="A2543" t="s">
        <v>2609</v>
      </c>
      <c r="B2543">
        <v>43</v>
      </c>
      <c r="C2543" t="s">
        <v>50</v>
      </c>
      <c r="D2543" t="s">
        <v>60</v>
      </c>
      <c r="E2543">
        <v>1178</v>
      </c>
      <c r="F2543">
        <v>51</v>
      </c>
      <c r="G2543">
        <v>4</v>
      </c>
      <c r="H2543">
        <v>2444.41</v>
      </c>
      <c r="I2543">
        <v>9935.88</v>
      </c>
      <c r="J2543">
        <v>28</v>
      </c>
      <c r="K2543">
        <v>0</v>
      </c>
      <c r="L2543">
        <v>12.7</v>
      </c>
      <c r="M2543">
        <v>24.5</v>
      </c>
      <c r="N2543" t="s">
        <v>63</v>
      </c>
      <c r="O2543" t="s">
        <v>53</v>
      </c>
      <c r="P2543" t="s">
        <v>58</v>
      </c>
      <c r="R2543">
        <f>SUMIF(A2543:A7542,"C02542",I2543:I7542)</f>
        <v>9935.88</v>
      </c>
      <c r="S2543" s="1">
        <v>28476.44</v>
      </c>
      <c r="T2543">
        <f t="shared" si="292"/>
        <v>354.852857142857</v>
      </c>
      <c r="U2543">
        <f t="shared" si="293"/>
        <v>686</v>
      </c>
      <c r="V2543">
        <f t="shared" si="291"/>
        <v>57.1666666666667</v>
      </c>
      <c r="W2543">
        <f t="shared" si="288"/>
        <v>4127.09666666667</v>
      </c>
      <c r="X2543">
        <f t="shared" si="289"/>
        <v>0.481915881541967</v>
      </c>
      <c r="AH2543" t="str">
        <f t="shared" si="290"/>
        <v>3rd Quality</v>
      </c>
      <c r="AJ2543">
        <f>((T2543-X2543)*2)/12</f>
        <v>59.0618235435525</v>
      </c>
      <c r="AK2543">
        <f t="shared" si="287"/>
        <v>418016.665714286</v>
      </c>
    </row>
    <row r="2544" spans="1:37">
      <c r="A2544" t="s">
        <v>2610</v>
      </c>
      <c r="B2544">
        <v>57</v>
      </c>
      <c r="C2544" t="s">
        <v>44</v>
      </c>
      <c r="D2544" t="s">
        <v>60</v>
      </c>
      <c r="E2544">
        <v>1126</v>
      </c>
      <c r="F2544">
        <v>56</v>
      </c>
      <c r="G2544">
        <v>14</v>
      </c>
      <c r="H2544">
        <v>1972.25</v>
      </c>
      <c r="I2544">
        <v>28525.53</v>
      </c>
      <c r="J2544">
        <v>73</v>
      </c>
      <c r="K2544">
        <v>0</v>
      </c>
      <c r="L2544">
        <v>19.1</v>
      </c>
      <c r="M2544">
        <v>32.5</v>
      </c>
      <c r="N2544" t="s">
        <v>52</v>
      </c>
      <c r="O2544" t="s">
        <v>47</v>
      </c>
      <c r="P2544" t="s">
        <v>68</v>
      </c>
      <c r="R2544">
        <f>SUMIF(A2544:A7543,"C02543",I2544:I7543)</f>
        <v>28525.53</v>
      </c>
      <c r="S2544" s="1">
        <v>12098.01</v>
      </c>
      <c r="T2544">
        <f t="shared" si="292"/>
        <v>390.760684931507</v>
      </c>
      <c r="U2544">
        <f t="shared" si="293"/>
        <v>2372.5</v>
      </c>
      <c r="V2544">
        <f t="shared" si="291"/>
        <v>197.708333333333</v>
      </c>
      <c r="W2544">
        <f t="shared" si="288"/>
        <v>10166.26</v>
      </c>
      <c r="X2544">
        <f t="shared" si="289"/>
        <v>0.57092153631639</v>
      </c>
      <c r="AH2544" t="str">
        <f t="shared" si="290"/>
        <v>3rd Quality</v>
      </c>
      <c r="AJ2544">
        <f t="shared" ref="AJ2544:AJ2565" si="294">((T2544-X2544)*2)/28.4</f>
        <v>27.478152351774</v>
      </c>
      <c r="AK2544">
        <f t="shared" si="287"/>
        <v>439996.531232877</v>
      </c>
    </row>
    <row r="2545" spans="1:37">
      <c r="A2545" t="s">
        <v>2611</v>
      </c>
      <c r="B2545">
        <v>34</v>
      </c>
      <c r="C2545" t="s">
        <v>44</v>
      </c>
      <c r="D2545" t="s">
        <v>60</v>
      </c>
      <c r="E2545">
        <v>662</v>
      </c>
      <c r="F2545">
        <v>85</v>
      </c>
      <c r="G2545">
        <v>8</v>
      </c>
      <c r="H2545">
        <v>693.03</v>
      </c>
      <c r="I2545">
        <v>5065.7</v>
      </c>
      <c r="J2545">
        <v>35</v>
      </c>
      <c r="K2545">
        <v>0</v>
      </c>
      <c r="L2545">
        <v>7.3</v>
      </c>
      <c r="M2545">
        <v>28.8</v>
      </c>
      <c r="N2545" t="s">
        <v>78</v>
      </c>
      <c r="O2545" t="s">
        <v>47</v>
      </c>
      <c r="P2545" t="s">
        <v>68</v>
      </c>
      <c r="R2545">
        <f>SUMIF(A2545:A7544,"C02544",I2545:I7544)</f>
        <v>5065.7</v>
      </c>
      <c r="S2545" s="1">
        <v>2492.75</v>
      </c>
      <c r="T2545">
        <f t="shared" si="292"/>
        <v>144.734285714286</v>
      </c>
      <c r="U2545">
        <f t="shared" si="293"/>
        <v>1008</v>
      </c>
      <c r="V2545">
        <f t="shared" si="291"/>
        <v>84</v>
      </c>
      <c r="W2545">
        <f t="shared" si="288"/>
        <v>1919.91</v>
      </c>
      <c r="X2545">
        <f t="shared" si="289"/>
        <v>0.955225603509228</v>
      </c>
      <c r="AH2545" t="str">
        <f t="shared" si="290"/>
        <v>3rd Quality</v>
      </c>
      <c r="AJ2545">
        <f t="shared" si="294"/>
        <v>10.1252859232941</v>
      </c>
      <c r="AK2545">
        <f t="shared" si="287"/>
        <v>95814.0971428571</v>
      </c>
    </row>
    <row r="2546" spans="1:37">
      <c r="A2546" t="s">
        <v>2612</v>
      </c>
      <c r="B2546">
        <v>38</v>
      </c>
      <c r="C2546" t="s">
        <v>44</v>
      </c>
      <c r="D2546" t="s">
        <v>45</v>
      </c>
      <c r="E2546">
        <v>591</v>
      </c>
      <c r="F2546">
        <v>48</v>
      </c>
      <c r="G2546">
        <v>5</v>
      </c>
      <c r="H2546">
        <v>6441.31</v>
      </c>
      <c r="I2546">
        <v>28476.44</v>
      </c>
      <c r="J2546">
        <v>39</v>
      </c>
      <c r="K2546">
        <v>0</v>
      </c>
      <c r="L2546">
        <v>0</v>
      </c>
      <c r="M2546">
        <v>40.3</v>
      </c>
      <c r="N2546" t="s">
        <v>46</v>
      </c>
      <c r="O2546" t="s">
        <v>47</v>
      </c>
      <c r="P2546" t="s">
        <v>48</v>
      </c>
      <c r="R2546">
        <f>SUMIF(A2546:A7545,"C02545",I2546:I7545)</f>
        <v>28476.44</v>
      </c>
      <c r="S2546" s="1">
        <v>36863.51</v>
      </c>
      <c r="T2546">
        <f t="shared" si="292"/>
        <v>730.165128205128</v>
      </c>
      <c r="U2546">
        <f t="shared" si="293"/>
        <v>1571.7</v>
      </c>
      <c r="V2546">
        <f t="shared" si="291"/>
        <v>130.975</v>
      </c>
      <c r="W2546">
        <f t="shared" si="288"/>
        <v>11639.5833333333</v>
      </c>
      <c r="X2546">
        <f t="shared" si="289"/>
        <v>0.0917515225940065</v>
      </c>
      <c r="AH2546" t="str">
        <f t="shared" si="290"/>
        <v>2nd Quality</v>
      </c>
      <c r="AJ2546">
        <f t="shared" si="294"/>
        <v>51.4136180762348</v>
      </c>
      <c r="AK2546">
        <f t="shared" si="287"/>
        <v>431527.590769231</v>
      </c>
    </row>
    <row r="2547" spans="1:37">
      <c r="A2547" t="s">
        <v>2613</v>
      </c>
      <c r="B2547">
        <v>37</v>
      </c>
      <c r="C2547" t="s">
        <v>44</v>
      </c>
      <c r="D2547" t="s">
        <v>45</v>
      </c>
      <c r="E2547">
        <v>1229</v>
      </c>
      <c r="F2547">
        <v>12</v>
      </c>
      <c r="G2547">
        <v>10</v>
      </c>
      <c r="H2547">
        <v>1281.89</v>
      </c>
      <c r="I2547">
        <v>12098.01</v>
      </c>
      <c r="J2547">
        <v>86</v>
      </c>
      <c r="K2547">
        <v>0</v>
      </c>
      <c r="L2547">
        <v>11.1</v>
      </c>
      <c r="M2547">
        <v>15.9</v>
      </c>
      <c r="N2547" t="s">
        <v>52</v>
      </c>
      <c r="O2547" t="s">
        <v>47</v>
      </c>
      <c r="P2547" t="s">
        <v>68</v>
      </c>
      <c r="R2547">
        <f>SUMIF(A2547:A7546,"C02546",I2547:I7546)</f>
        <v>12098.01</v>
      </c>
      <c r="S2547" s="1">
        <v>13308.09</v>
      </c>
      <c r="T2547">
        <f t="shared" si="292"/>
        <v>140.674534883721</v>
      </c>
      <c r="U2547">
        <f t="shared" si="293"/>
        <v>1367.4</v>
      </c>
      <c r="V2547">
        <f t="shared" si="291"/>
        <v>113.95</v>
      </c>
      <c r="W2547">
        <f t="shared" si="288"/>
        <v>4460.3</v>
      </c>
      <c r="X2547">
        <f t="shared" si="289"/>
        <v>0.958740609568684</v>
      </c>
      <c r="AH2547" t="str">
        <f t="shared" si="290"/>
        <v>3rd Quality</v>
      </c>
      <c r="AJ2547">
        <f t="shared" si="294"/>
        <v>9.83914044184171</v>
      </c>
      <c r="AK2547">
        <f t="shared" si="287"/>
        <v>172889.003372093</v>
      </c>
    </row>
    <row r="2548" spans="1:37">
      <c r="A2548" t="s">
        <v>2614</v>
      </c>
      <c r="B2548">
        <v>20</v>
      </c>
      <c r="C2548" t="s">
        <v>44</v>
      </c>
      <c r="D2548" t="s">
        <v>60</v>
      </c>
      <c r="E2548">
        <v>1439</v>
      </c>
      <c r="F2548">
        <v>365</v>
      </c>
      <c r="G2548">
        <v>2</v>
      </c>
      <c r="H2548">
        <v>1396.72</v>
      </c>
      <c r="I2548">
        <v>2492.75</v>
      </c>
      <c r="J2548">
        <v>17</v>
      </c>
      <c r="K2548">
        <v>0</v>
      </c>
      <c r="L2548">
        <v>22.1</v>
      </c>
      <c r="M2548">
        <v>2.6</v>
      </c>
      <c r="N2548" t="s">
        <v>81</v>
      </c>
      <c r="O2548" t="s">
        <v>47</v>
      </c>
      <c r="P2548" t="s">
        <v>58</v>
      </c>
      <c r="R2548">
        <f>SUMIF(A2548:A7547,"C02547",I2548:I7547)</f>
        <v>2492.75</v>
      </c>
      <c r="S2548" s="1">
        <v>3702.24</v>
      </c>
      <c r="T2548">
        <f t="shared" si="292"/>
        <v>146.632352941176</v>
      </c>
      <c r="U2548">
        <f t="shared" si="293"/>
        <v>44.2</v>
      </c>
      <c r="V2548">
        <f t="shared" si="291"/>
        <v>3.68333333333333</v>
      </c>
      <c r="W2548">
        <f t="shared" si="288"/>
        <v>1296.82333333333</v>
      </c>
      <c r="X2548">
        <f t="shared" si="289"/>
        <v>1.03027092044218</v>
      </c>
      <c r="AH2548" t="str">
        <f t="shared" si="290"/>
        <v>3rd Quality</v>
      </c>
      <c r="AJ2548">
        <f t="shared" si="294"/>
        <v>10.253667747939</v>
      </c>
      <c r="AK2548">
        <f t="shared" si="287"/>
        <v>211003.955882353</v>
      </c>
    </row>
    <row r="2549" spans="1:37">
      <c r="A2549" t="s">
        <v>2615</v>
      </c>
      <c r="B2549">
        <v>26</v>
      </c>
      <c r="C2549" t="s">
        <v>50</v>
      </c>
      <c r="D2549" t="s">
        <v>60</v>
      </c>
      <c r="E2549">
        <v>970</v>
      </c>
      <c r="F2549">
        <v>1</v>
      </c>
      <c r="G2549">
        <v>23</v>
      </c>
      <c r="H2549">
        <v>1803.96</v>
      </c>
      <c r="I2549">
        <v>36863.51</v>
      </c>
      <c r="J2549">
        <v>120</v>
      </c>
      <c r="K2549">
        <v>1</v>
      </c>
      <c r="L2549">
        <v>10.3</v>
      </c>
      <c r="M2549">
        <v>28.3</v>
      </c>
      <c r="N2549" t="s">
        <v>52</v>
      </c>
      <c r="O2549" t="s">
        <v>47</v>
      </c>
      <c r="P2549" t="s">
        <v>68</v>
      </c>
      <c r="R2549">
        <f>SUMIF(A2549:A7548,"C02548",I2549:I7548)</f>
        <v>36863.51</v>
      </c>
      <c r="S2549" s="1">
        <v>32083.93</v>
      </c>
      <c r="T2549">
        <f t="shared" si="292"/>
        <v>307.195916666667</v>
      </c>
      <c r="U2549">
        <f t="shared" si="293"/>
        <v>3396</v>
      </c>
      <c r="V2549">
        <f>U2549</f>
        <v>3396</v>
      </c>
      <c r="W2549">
        <f t="shared" si="288"/>
        <v>12889.49</v>
      </c>
      <c r="X2549">
        <f t="shared" si="289"/>
        <v>0.537705935830063</v>
      </c>
      <c r="AH2549" t="str">
        <f t="shared" si="290"/>
        <v>1st Quality</v>
      </c>
      <c r="AJ2549">
        <f t="shared" si="294"/>
        <v>21.5956486430167</v>
      </c>
      <c r="AK2549">
        <f t="shared" si="287"/>
        <v>297980.039166667</v>
      </c>
    </row>
    <row r="2550" spans="1:37">
      <c r="A2550" t="s">
        <v>2616</v>
      </c>
      <c r="B2550">
        <v>23</v>
      </c>
      <c r="C2550" t="s">
        <v>44</v>
      </c>
      <c r="D2550" t="s">
        <v>60</v>
      </c>
      <c r="E2550">
        <v>1157</v>
      </c>
      <c r="F2550">
        <v>49</v>
      </c>
      <c r="G2550">
        <v>10</v>
      </c>
      <c r="H2550">
        <v>1410.73</v>
      </c>
      <c r="I2550">
        <v>13308.09</v>
      </c>
      <c r="J2550">
        <v>51</v>
      </c>
      <c r="K2550">
        <v>0</v>
      </c>
      <c r="L2550">
        <v>16.3</v>
      </c>
      <c r="M2550">
        <v>45</v>
      </c>
      <c r="N2550" t="s">
        <v>78</v>
      </c>
      <c r="O2550" t="s">
        <v>47</v>
      </c>
      <c r="P2550" t="s">
        <v>58</v>
      </c>
      <c r="R2550">
        <f>SUMIF(A2550:A7549,"C02549",I2550:I7549)</f>
        <v>13308.09</v>
      </c>
      <c r="S2550" s="1">
        <v>12121</v>
      </c>
      <c r="T2550">
        <f t="shared" si="292"/>
        <v>260.942941176471</v>
      </c>
      <c r="U2550">
        <f t="shared" si="293"/>
        <v>2295</v>
      </c>
      <c r="V2550">
        <f t="shared" si="291"/>
        <v>191.25</v>
      </c>
      <c r="W2550">
        <f t="shared" si="288"/>
        <v>4906.60666666667</v>
      </c>
      <c r="X2550">
        <f t="shared" si="289"/>
        <v>0.820142762966691</v>
      </c>
      <c r="AH2550" t="str">
        <f t="shared" si="290"/>
        <v>3rd Quality</v>
      </c>
      <c r="AJ2550">
        <f t="shared" si="294"/>
        <v>18.3185069305285</v>
      </c>
      <c r="AK2550">
        <f t="shared" si="287"/>
        <v>301910.982941176</v>
      </c>
    </row>
    <row r="2551" spans="1:37">
      <c r="A2551" t="s">
        <v>2617</v>
      </c>
      <c r="B2551">
        <v>40</v>
      </c>
      <c r="C2551" t="s">
        <v>44</v>
      </c>
      <c r="D2551" t="s">
        <v>45</v>
      </c>
      <c r="E2551">
        <v>1146</v>
      </c>
      <c r="F2551">
        <v>39</v>
      </c>
      <c r="G2551">
        <v>5</v>
      </c>
      <c r="H2551">
        <v>661.28</v>
      </c>
      <c r="I2551">
        <v>3702.24</v>
      </c>
      <c r="J2551">
        <v>45</v>
      </c>
      <c r="K2551">
        <v>0</v>
      </c>
      <c r="L2551">
        <v>0</v>
      </c>
      <c r="M2551">
        <v>22.7</v>
      </c>
      <c r="N2551" t="s">
        <v>78</v>
      </c>
      <c r="O2551" t="s">
        <v>47</v>
      </c>
      <c r="P2551" t="s">
        <v>68</v>
      </c>
      <c r="R2551">
        <f>SUMIF(A2551:A7550,"C02550",I2551:I7550)</f>
        <v>3702.24</v>
      </c>
      <c r="S2551" s="1">
        <v>38526.84</v>
      </c>
      <c r="T2551">
        <f t="shared" si="292"/>
        <v>82.272</v>
      </c>
      <c r="U2551">
        <f t="shared" si="293"/>
        <v>1021.5</v>
      </c>
      <c r="V2551">
        <f t="shared" si="291"/>
        <v>85.125</v>
      </c>
      <c r="W2551">
        <f t="shared" si="288"/>
        <v>1454.84</v>
      </c>
      <c r="X2551">
        <f t="shared" si="289"/>
        <v>1.73300266150496</v>
      </c>
      <c r="AH2551" t="str">
        <f t="shared" si="290"/>
        <v>3rd Quality</v>
      </c>
      <c r="AJ2551">
        <f t="shared" si="294"/>
        <v>5.67176037595036</v>
      </c>
      <c r="AK2551">
        <f t="shared" si="287"/>
        <v>94283.712</v>
      </c>
    </row>
    <row r="2552" spans="1:37">
      <c r="A2552" t="s">
        <v>2618</v>
      </c>
      <c r="B2552">
        <v>31</v>
      </c>
      <c r="C2552" t="s">
        <v>44</v>
      </c>
      <c r="D2552" t="s">
        <v>60</v>
      </c>
      <c r="E2552">
        <v>1353</v>
      </c>
      <c r="F2552">
        <v>20</v>
      </c>
      <c r="G2552">
        <v>3</v>
      </c>
      <c r="H2552">
        <v>9968.78</v>
      </c>
      <c r="I2552">
        <v>32083.93</v>
      </c>
      <c r="J2552">
        <v>21</v>
      </c>
      <c r="K2552">
        <v>0</v>
      </c>
      <c r="L2552">
        <v>0</v>
      </c>
      <c r="M2552">
        <v>25.8</v>
      </c>
      <c r="N2552" t="s">
        <v>61</v>
      </c>
      <c r="O2552" t="s">
        <v>75</v>
      </c>
      <c r="P2552" t="s">
        <v>48</v>
      </c>
      <c r="R2552">
        <f>SUMIF(A2552:A7551,"C02551",I2552:I7551)</f>
        <v>32083.93</v>
      </c>
      <c r="S2552" s="1">
        <v>1775.3</v>
      </c>
      <c r="T2552">
        <f t="shared" si="292"/>
        <v>1527.80619047619</v>
      </c>
      <c r="U2552">
        <f t="shared" si="293"/>
        <v>541.8</v>
      </c>
      <c r="V2552">
        <f t="shared" si="291"/>
        <v>45.15</v>
      </c>
      <c r="W2552">
        <f t="shared" si="288"/>
        <v>14017.9033333333</v>
      </c>
      <c r="X2552">
        <f t="shared" si="289"/>
        <v>0.135723729483447</v>
      </c>
      <c r="AH2552" t="str">
        <f t="shared" si="290"/>
        <v>1st Quality</v>
      </c>
      <c r="AJ2552">
        <f t="shared" si="294"/>
        <v>107.582427235684</v>
      </c>
      <c r="AK2552">
        <f t="shared" si="287"/>
        <v>2067121.77571429</v>
      </c>
    </row>
    <row r="2553" spans="1:37">
      <c r="A2553" t="s">
        <v>2619</v>
      </c>
      <c r="B2553">
        <v>30</v>
      </c>
      <c r="C2553" t="s">
        <v>44</v>
      </c>
      <c r="D2553" t="s">
        <v>60</v>
      </c>
      <c r="E2553">
        <v>591</v>
      </c>
      <c r="F2553">
        <v>55</v>
      </c>
      <c r="G2553">
        <v>1</v>
      </c>
      <c r="H2553">
        <v>12536.98</v>
      </c>
      <c r="I2553">
        <v>12121</v>
      </c>
      <c r="J2553">
        <v>8</v>
      </c>
      <c r="K2553">
        <v>0</v>
      </c>
      <c r="L2553">
        <v>0</v>
      </c>
      <c r="M2553">
        <v>33.9</v>
      </c>
      <c r="N2553" t="s">
        <v>52</v>
      </c>
      <c r="O2553" t="s">
        <v>47</v>
      </c>
      <c r="P2553" t="s">
        <v>68</v>
      </c>
      <c r="R2553">
        <f>SUMIF(A2553:A7552,"C02552",I2553:I7552)</f>
        <v>12121</v>
      </c>
      <c r="S2553" s="1">
        <v>22411.55</v>
      </c>
      <c r="T2553">
        <f t="shared" si="292"/>
        <v>1515.125</v>
      </c>
      <c r="U2553">
        <f t="shared" si="293"/>
        <v>271.2</v>
      </c>
      <c r="V2553">
        <f t="shared" si="291"/>
        <v>22.6</v>
      </c>
      <c r="W2553">
        <f t="shared" si="288"/>
        <v>8219.66</v>
      </c>
      <c r="X2553">
        <f t="shared" si="289"/>
        <v>0.0471405394281557</v>
      </c>
      <c r="AH2553" t="str">
        <f t="shared" si="290"/>
        <v>2nd Quality</v>
      </c>
      <c r="AJ2553">
        <f t="shared" si="294"/>
        <v>106.695623905674</v>
      </c>
      <c r="AK2553">
        <f t="shared" si="287"/>
        <v>895438.875</v>
      </c>
    </row>
    <row r="2554" spans="1:37">
      <c r="A2554" t="s">
        <v>2620</v>
      </c>
      <c r="B2554">
        <v>39</v>
      </c>
      <c r="C2554" t="s">
        <v>44</v>
      </c>
      <c r="D2554" t="s">
        <v>45</v>
      </c>
      <c r="E2554">
        <v>990</v>
      </c>
      <c r="F2554">
        <v>26</v>
      </c>
      <c r="G2554">
        <v>3</v>
      </c>
      <c r="H2554">
        <v>13235.88</v>
      </c>
      <c r="I2554">
        <v>38526.84</v>
      </c>
      <c r="J2554">
        <v>22</v>
      </c>
      <c r="K2554">
        <v>0</v>
      </c>
      <c r="L2554">
        <v>3.5</v>
      </c>
      <c r="M2554">
        <v>64.8</v>
      </c>
      <c r="N2554" t="s">
        <v>78</v>
      </c>
      <c r="O2554" t="s">
        <v>47</v>
      </c>
      <c r="P2554" t="s">
        <v>58</v>
      </c>
      <c r="R2554">
        <f>SUMIF(A2554:A7553,"C02553",I2554:I7553)</f>
        <v>38526.84</v>
      </c>
      <c r="S2554" s="1">
        <v>4168.54</v>
      </c>
      <c r="T2554">
        <f t="shared" si="292"/>
        <v>1751.22</v>
      </c>
      <c r="U2554">
        <f t="shared" si="293"/>
        <v>1425.6</v>
      </c>
      <c r="V2554">
        <f t="shared" si="291"/>
        <v>118.8</v>
      </c>
      <c r="W2554">
        <f t="shared" si="288"/>
        <v>17254.5733333333</v>
      </c>
      <c r="X2554">
        <f t="shared" si="289"/>
        <v>0.0747966889999003</v>
      </c>
      <c r="AH2554" t="str">
        <f t="shared" si="290"/>
        <v>2nd Quality</v>
      </c>
      <c r="AJ2554">
        <f t="shared" si="294"/>
        <v>123.320084740211</v>
      </c>
      <c r="AK2554">
        <f t="shared" si="287"/>
        <v>1733707.8</v>
      </c>
    </row>
    <row r="2555" spans="1:37">
      <c r="A2555" t="s">
        <v>2621</v>
      </c>
      <c r="B2555">
        <v>24</v>
      </c>
      <c r="C2555" t="s">
        <v>101</v>
      </c>
      <c r="D2555" t="s">
        <v>60</v>
      </c>
      <c r="E2555">
        <v>539</v>
      </c>
      <c r="F2555">
        <v>301</v>
      </c>
      <c r="G2555">
        <v>1</v>
      </c>
      <c r="H2555">
        <v>1609.28</v>
      </c>
      <c r="I2555">
        <v>1775.3</v>
      </c>
      <c r="J2555">
        <v>11</v>
      </c>
      <c r="K2555">
        <v>0</v>
      </c>
      <c r="L2555">
        <v>22.3</v>
      </c>
      <c r="M2555">
        <v>22.3</v>
      </c>
      <c r="N2555" t="s">
        <v>63</v>
      </c>
      <c r="O2555" t="s">
        <v>75</v>
      </c>
      <c r="P2555" t="s">
        <v>68</v>
      </c>
      <c r="R2555">
        <f>SUMIF(A2555:A7554,"C02554",I2555:I7554)</f>
        <v>1775.3</v>
      </c>
      <c r="S2555" s="1">
        <v>143971.29</v>
      </c>
      <c r="T2555">
        <f t="shared" si="292"/>
        <v>161.390909090909</v>
      </c>
      <c r="U2555">
        <f t="shared" si="293"/>
        <v>245.3</v>
      </c>
      <c r="V2555">
        <f t="shared" si="291"/>
        <v>20.4416666666667</v>
      </c>
      <c r="W2555">
        <f t="shared" si="288"/>
        <v>1128.52666666667</v>
      </c>
      <c r="X2555">
        <f t="shared" si="289"/>
        <v>0.334932392125671</v>
      </c>
      <c r="AH2555" t="str">
        <f t="shared" si="290"/>
        <v>3rd Quality</v>
      </c>
      <c r="AJ2555">
        <f t="shared" si="294"/>
        <v>11.3419701900552</v>
      </c>
      <c r="AK2555">
        <f t="shared" si="287"/>
        <v>86989.7</v>
      </c>
    </row>
    <row r="2556" spans="1:37">
      <c r="A2556" t="s">
        <v>2622</v>
      </c>
      <c r="B2556">
        <v>32</v>
      </c>
      <c r="C2556" t="s">
        <v>50</v>
      </c>
      <c r="D2556" t="s">
        <v>45</v>
      </c>
      <c r="E2556">
        <v>733</v>
      </c>
      <c r="F2556">
        <v>11</v>
      </c>
      <c r="G2556">
        <v>9</v>
      </c>
      <c r="H2556">
        <v>2396.99</v>
      </c>
      <c r="I2556">
        <v>22411.55</v>
      </c>
      <c r="J2556">
        <v>80</v>
      </c>
      <c r="K2556">
        <v>1</v>
      </c>
      <c r="L2556">
        <v>11.9</v>
      </c>
      <c r="M2556">
        <v>30.8</v>
      </c>
      <c r="N2556" t="s">
        <v>52</v>
      </c>
      <c r="O2556" t="s">
        <v>75</v>
      </c>
      <c r="P2556" t="s">
        <v>58</v>
      </c>
      <c r="R2556">
        <f>SUMIF(A2556:A7555,"C02555",I2556:I7555)</f>
        <v>22411.55</v>
      </c>
      <c r="S2556" s="1">
        <v>3758.12</v>
      </c>
      <c r="T2556">
        <f t="shared" si="292"/>
        <v>280.144375</v>
      </c>
      <c r="U2556">
        <f t="shared" si="293"/>
        <v>2464</v>
      </c>
      <c r="V2556">
        <f>U2556</f>
        <v>2464</v>
      </c>
      <c r="W2556">
        <f t="shared" si="288"/>
        <v>8269.84666666667</v>
      </c>
      <c r="X2556">
        <f t="shared" si="289"/>
        <v>0.305800191072971</v>
      </c>
      <c r="AH2556" t="str">
        <f t="shared" si="290"/>
        <v>2nd Quality</v>
      </c>
      <c r="AJ2556">
        <f t="shared" si="294"/>
        <v>19.7069418879526</v>
      </c>
      <c r="AK2556">
        <f t="shared" si="287"/>
        <v>205345.826875</v>
      </c>
    </row>
    <row r="2557" spans="1:37">
      <c r="A2557" t="s">
        <v>2623</v>
      </c>
      <c r="B2557">
        <v>43</v>
      </c>
      <c r="C2557" t="s">
        <v>44</v>
      </c>
      <c r="D2557" t="s">
        <v>51</v>
      </c>
      <c r="E2557">
        <v>826</v>
      </c>
      <c r="F2557">
        <v>195</v>
      </c>
      <c r="G2557">
        <v>4</v>
      </c>
      <c r="H2557">
        <v>964.16</v>
      </c>
      <c r="I2557">
        <v>4168.54</v>
      </c>
      <c r="J2557">
        <v>41</v>
      </c>
      <c r="K2557">
        <v>0</v>
      </c>
      <c r="L2557">
        <v>19.5</v>
      </c>
      <c r="M2557">
        <v>40.3</v>
      </c>
      <c r="N2557" t="s">
        <v>57</v>
      </c>
      <c r="O2557" t="s">
        <v>47</v>
      </c>
      <c r="P2557" t="s">
        <v>58</v>
      </c>
      <c r="R2557">
        <f>SUMIF(A2557:A7556,"C02556",I2557:I7556)</f>
        <v>4168.54</v>
      </c>
      <c r="S2557" s="1">
        <v>19146.15</v>
      </c>
      <c r="T2557">
        <f t="shared" si="292"/>
        <v>101.671707317073</v>
      </c>
      <c r="U2557">
        <f t="shared" si="293"/>
        <v>1652.3</v>
      </c>
      <c r="V2557">
        <f t="shared" si="291"/>
        <v>137.691666666667</v>
      </c>
      <c r="W2557">
        <f t="shared" si="288"/>
        <v>1711.23333333333</v>
      </c>
      <c r="X2557">
        <f t="shared" si="289"/>
        <v>0.856704281447063</v>
      </c>
      <c r="AH2557" t="str">
        <f t="shared" si="290"/>
        <v>3rd Quality</v>
      </c>
      <c r="AJ2557">
        <f t="shared" si="294"/>
        <v>7.09964810110042</v>
      </c>
      <c r="AK2557">
        <f t="shared" si="287"/>
        <v>83980.8302439024</v>
      </c>
    </row>
    <row r="2558" spans="1:37">
      <c r="A2558" t="s">
        <v>2624</v>
      </c>
      <c r="B2558">
        <v>35</v>
      </c>
      <c r="C2558" t="s">
        <v>44</v>
      </c>
      <c r="D2558" t="s">
        <v>60</v>
      </c>
      <c r="E2558">
        <v>1387</v>
      </c>
      <c r="F2558">
        <v>20</v>
      </c>
      <c r="G2558">
        <v>30</v>
      </c>
      <c r="H2558">
        <v>4413.04</v>
      </c>
      <c r="I2558">
        <v>143971.29</v>
      </c>
      <c r="J2558">
        <v>160</v>
      </c>
      <c r="K2558">
        <v>1</v>
      </c>
      <c r="L2558">
        <v>0</v>
      </c>
      <c r="M2558">
        <v>43.7</v>
      </c>
      <c r="N2558" t="s">
        <v>81</v>
      </c>
      <c r="O2558" t="s">
        <v>75</v>
      </c>
      <c r="P2558" t="s">
        <v>58</v>
      </c>
      <c r="R2558">
        <f>SUMIF(A2558:A7557,"C02557",I2558:I7557)</f>
        <v>143971.29</v>
      </c>
      <c r="S2558" s="1">
        <v>72447.13</v>
      </c>
      <c r="T2558">
        <f t="shared" si="292"/>
        <v>899.8205625</v>
      </c>
      <c r="U2558">
        <f t="shared" si="293"/>
        <v>6992</v>
      </c>
      <c r="V2558">
        <f>U2558</f>
        <v>6992</v>
      </c>
      <c r="W2558">
        <f t="shared" si="288"/>
        <v>49461.7766666667</v>
      </c>
      <c r="X2558">
        <f t="shared" si="289"/>
        <v>0.314295814223302</v>
      </c>
      <c r="AH2558" t="str">
        <f t="shared" si="290"/>
        <v>2nd Quality</v>
      </c>
      <c r="AJ2558">
        <f t="shared" si="294"/>
        <v>63.345511738435</v>
      </c>
      <c r="AK2558">
        <f t="shared" si="287"/>
        <v>1248051.1201875</v>
      </c>
    </row>
    <row r="2559" spans="1:37">
      <c r="A2559" t="s">
        <v>2625</v>
      </c>
      <c r="B2559">
        <v>43</v>
      </c>
      <c r="C2559" t="s">
        <v>44</v>
      </c>
      <c r="D2559" t="s">
        <v>51</v>
      </c>
      <c r="E2559">
        <v>759</v>
      </c>
      <c r="F2559">
        <v>36</v>
      </c>
      <c r="G2559">
        <v>4</v>
      </c>
      <c r="H2559">
        <v>1020.53</v>
      </c>
      <c r="I2559">
        <v>3758.12</v>
      </c>
      <c r="J2559">
        <v>22</v>
      </c>
      <c r="K2559">
        <v>1</v>
      </c>
      <c r="L2559">
        <v>22</v>
      </c>
      <c r="M2559">
        <v>24.7</v>
      </c>
      <c r="N2559" t="s">
        <v>61</v>
      </c>
      <c r="O2559" t="s">
        <v>75</v>
      </c>
      <c r="P2559" t="s">
        <v>68</v>
      </c>
      <c r="R2559">
        <f>SUMIF(A2559:A7558,"C02558",I2559:I7558)</f>
        <v>3758.12</v>
      </c>
      <c r="S2559" s="1">
        <v>88438.59</v>
      </c>
      <c r="T2559">
        <f t="shared" si="292"/>
        <v>170.823636363636</v>
      </c>
      <c r="U2559">
        <f t="shared" si="293"/>
        <v>543.4</v>
      </c>
      <c r="V2559">
        <f>U2559</f>
        <v>543.4</v>
      </c>
      <c r="W2559">
        <f t="shared" si="288"/>
        <v>1593.21666666667</v>
      </c>
      <c r="X2559">
        <f t="shared" si="289"/>
        <v>0.7437311984949</v>
      </c>
      <c r="AH2559" t="str">
        <f t="shared" si="290"/>
        <v>3rd Quality</v>
      </c>
      <c r="AJ2559">
        <f t="shared" si="294"/>
        <v>11.9774581102212</v>
      </c>
      <c r="AK2559">
        <f t="shared" si="287"/>
        <v>129655.14</v>
      </c>
    </row>
    <row r="2560" spans="1:37">
      <c r="A2560" t="s">
        <v>2626</v>
      </c>
      <c r="B2560">
        <v>18</v>
      </c>
      <c r="C2560" t="s">
        <v>44</v>
      </c>
      <c r="D2560" t="s">
        <v>60</v>
      </c>
      <c r="E2560">
        <v>398</v>
      </c>
      <c r="F2560">
        <v>16</v>
      </c>
      <c r="G2560">
        <v>9</v>
      </c>
      <c r="H2560">
        <v>2406.87</v>
      </c>
      <c r="I2560">
        <v>19146.15</v>
      </c>
      <c r="J2560">
        <v>31</v>
      </c>
      <c r="K2560">
        <v>2</v>
      </c>
      <c r="L2560">
        <v>6.8</v>
      </c>
      <c r="M2560">
        <v>35</v>
      </c>
      <c r="N2560" t="s">
        <v>81</v>
      </c>
      <c r="O2560" t="s">
        <v>47</v>
      </c>
      <c r="P2560" t="s">
        <v>54</v>
      </c>
      <c r="R2560">
        <f>SUMIF(A2560:A7559,"C02559",I2560:I7559)</f>
        <v>19146.15</v>
      </c>
      <c r="S2560" s="1">
        <v>1563.8</v>
      </c>
      <c r="T2560">
        <f t="shared" si="292"/>
        <v>617.617741935484</v>
      </c>
      <c r="U2560">
        <f t="shared" si="293"/>
        <v>1085</v>
      </c>
      <c r="V2560">
        <f>U2560</f>
        <v>1085</v>
      </c>
      <c r="W2560">
        <f t="shared" si="288"/>
        <v>7184.67333333333</v>
      </c>
      <c r="X2560">
        <f t="shared" si="289"/>
        <v>0.165359990360925</v>
      </c>
      <c r="AH2560" t="str">
        <f t="shared" si="290"/>
        <v>3rd Quality</v>
      </c>
      <c r="AJ2560">
        <f t="shared" si="294"/>
        <v>43.4825621088115</v>
      </c>
      <c r="AK2560">
        <f t="shared" si="287"/>
        <v>245811.861290323</v>
      </c>
    </row>
    <row r="2561" spans="1:37">
      <c r="A2561" t="s">
        <v>2627</v>
      </c>
      <c r="B2561">
        <v>36</v>
      </c>
      <c r="C2561" t="s">
        <v>50</v>
      </c>
      <c r="D2561" t="s">
        <v>45</v>
      </c>
      <c r="E2561">
        <v>922</v>
      </c>
      <c r="F2561">
        <v>22</v>
      </c>
      <c r="G2561">
        <v>24</v>
      </c>
      <c r="H2561">
        <v>3196.41</v>
      </c>
      <c r="I2561">
        <v>72447.13</v>
      </c>
      <c r="J2561">
        <v>105</v>
      </c>
      <c r="K2561">
        <v>4</v>
      </c>
      <c r="L2561">
        <v>0</v>
      </c>
      <c r="M2561">
        <v>39.3</v>
      </c>
      <c r="N2561" t="s">
        <v>52</v>
      </c>
      <c r="O2561" t="s">
        <v>47</v>
      </c>
      <c r="P2561" t="s">
        <v>58</v>
      </c>
      <c r="R2561">
        <f>SUMIF(A2561:A7560,"C02560",I2561:I7560)</f>
        <v>72447.13</v>
      </c>
      <c r="S2561" s="1">
        <v>2683.11</v>
      </c>
      <c r="T2561">
        <f t="shared" si="292"/>
        <v>689.972666666667</v>
      </c>
      <c r="U2561">
        <f t="shared" si="293"/>
        <v>4126.5</v>
      </c>
      <c r="V2561">
        <f>U2561</f>
        <v>4126.5</v>
      </c>
      <c r="W2561">
        <f t="shared" si="288"/>
        <v>25214.8466666667</v>
      </c>
      <c r="X2561">
        <f t="shared" si="289"/>
        <v>0.288448603276801</v>
      </c>
      <c r="AH2561" t="str">
        <f t="shared" si="290"/>
        <v>2nd Quality</v>
      </c>
      <c r="AJ2561">
        <f t="shared" si="294"/>
        <v>48.5693111312247</v>
      </c>
      <c r="AK2561">
        <f t="shared" si="287"/>
        <v>636154.798666667</v>
      </c>
    </row>
    <row r="2562" spans="1:37">
      <c r="A2562" t="s">
        <v>2628</v>
      </c>
      <c r="B2562">
        <v>34</v>
      </c>
      <c r="C2562" t="s">
        <v>44</v>
      </c>
      <c r="D2562" t="s">
        <v>45</v>
      </c>
      <c r="E2562">
        <v>833</v>
      </c>
      <c r="F2562">
        <v>5</v>
      </c>
      <c r="G2562">
        <v>5</v>
      </c>
      <c r="H2562">
        <v>17295.82</v>
      </c>
      <c r="I2562">
        <v>88438.59</v>
      </c>
      <c r="J2562">
        <v>15</v>
      </c>
      <c r="K2562">
        <v>1</v>
      </c>
      <c r="L2562">
        <v>9.3</v>
      </c>
      <c r="M2562">
        <v>13.4</v>
      </c>
      <c r="N2562" t="s">
        <v>63</v>
      </c>
      <c r="O2562" t="s">
        <v>47</v>
      </c>
      <c r="P2562" t="s">
        <v>68</v>
      </c>
      <c r="R2562">
        <f>SUMIF(A2562:A7561,"C02561",I2562:I7561)</f>
        <v>88438.59</v>
      </c>
      <c r="S2562" s="1">
        <v>84103.61</v>
      </c>
      <c r="T2562">
        <f t="shared" si="292"/>
        <v>5895.906</v>
      </c>
      <c r="U2562">
        <f t="shared" si="293"/>
        <v>201</v>
      </c>
      <c r="V2562">
        <f>U2562</f>
        <v>201</v>
      </c>
      <c r="W2562">
        <f t="shared" si="288"/>
        <v>35245.1366666667</v>
      </c>
      <c r="X2562">
        <f t="shared" si="289"/>
        <v>0.0481619258294779</v>
      </c>
      <c r="AH2562" t="str">
        <f t="shared" si="290"/>
        <v>2nd Quality</v>
      </c>
      <c r="AJ2562">
        <f t="shared" si="294"/>
        <v>415.201256202406</v>
      </c>
      <c r="AK2562">
        <f t="shared" si="287"/>
        <v>4911289.698</v>
      </c>
    </row>
    <row r="2563" spans="1:37">
      <c r="A2563" t="s">
        <v>2629</v>
      </c>
      <c r="B2563">
        <v>39</v>
      </c>
      <c r="C2563" t="s">
        <v>50</v>
      </c>
      <c r="D2563" t="s">
        <v>45</v>
      </c>
      <c r="E2563">
        <v>1186</v>
      </c>
      <c r="F2563">
        <v>98</v>
      </c>
      <c r="G2563">
        <v>1</v>
      </c>
      <c r="H2563">
        <v>1424.16</v>
      </c>
      <c r="I2563">
        <v>1563.8</v>
      </c>
      <c r="J2563">
        <v>18</v>
      </c>
      <c r="K2563">
        <v>0</v>
      </c>
      <c r="L2563">
        <v>39.7</v>
      </c>
      <c r="M2563">
        <v>42.1</v>
      </c>
      <c r="N2563" t="s">
        <v>81</v>
      </c>
      <c r="O2563" t="s">
        <v>75</v>
      </c>
      <c r="P2563" t="s">
        <v>58</v>
      </c>
      <c r="R2563">
        <f>SUMIF(A2563:A7562,"C02562",I2563:I7562)</f>
        <v>1563.8</v>
      </c>
      <c r="S2563" s="1">
        <v>36869.96</v>
      </c>
      <c r="T2563">
        <f t="shared" si="292"/>
        <v>86.8777777777778</v>
      </c>
      <c r="U2563">
        <f t="shared" si="293"/>
        <v>757.8</v>
      </c>
      <c r="V2563">
        <f>U2563/12</f>
        <v>63.15</v>
      </c>
      <c r="W2563">
        <f t="shared" si="288"/>
        <v>996.32</v>
      </c>
      <c r="X2563">
        <f t="shared" si="289"/>
        <v>0.832771598696776</v>
      </c>
      <c r="AH2563" t="str">
        <f t="shared" si="290"/>
        <v>3rd Quality</v>
      </c>
      <c r="AJ2563">
        <f t="shared" si="294"/>
        <v>6.05950747740007</v>
      </c>
      <c r="AK2563">
        <f t="shared" ref="AK2563:AK2626" si="295">I2563/J2563*E2563</f>
        <v>103037.044444444</v>
      </c>
    </row>
    <row r="2564" spans="1:37">
      <c r="A2564" t="s">
        <v>2630</v>
      </c>
      <c r="B2564">
        <v>19</v>
      </c>
      <c r="C2564" t="s">
        <v>101</v>
      </c>
      <c r="D2564" t="s">
        <v>60</v>
      </c>
      <c r="E2564">
        <v>373</v>
      </c>
      <c r="F2564">
        <v>74</v>
      </c>
      <c r="G2564">
        <v>3</v>
      </c>
      <c r="H2564">
        <v>937.43</v>
      </c>
      <c r="I2564">
        <v>2683.11</v>
      </c>
      <c r="J2564">
        <v>11</v>
      </c>
      <c r="K2564">
        <v>0</v>
      </c>
      <c r="L2564">
        <v>29.4</v>
      </c>
      <c r="M2564">
        <v>66.5</v>
      </c>
      <c r="N2564" t="s">
        <v>52</v>
      </c>
      <c r="O2564" t="s">
        <v>53</v>
      </c>
      <c r="P2564" t="s">
        <v>66</v>
      </c>
      <c r="R2564">
        <f>SUMIF(A2564:A7563,"C02563",I2564:I7563)</f>
        <v>2683.11</v>
      </c>
      <c r="S2564" s="1">
        <v>7178.86</v>
      </c>
      <c r="T2564">
        <f t="shared" si="292"/>
        <v>243.919090909091</v>
      </c>
      <c r="U2564">
        <f t="shared" si="293"/>
        <v>731.5</v>
      </c>
      <c r="V2564">
        <f t="shared" si="291"/>
        <v>60.9583333333333</v>
      </c>
      <c r="W2564">
        <f t="shared" si="288"/>
        <v>1207.18</v>
      </c>
      <c r="X2564">
        <f t="shared" si="289"/>
        <v>0.397896376262761</v>
      </c>
      <c r="AH2564" t="str">
        <f t="shared" si="290"/>
        <v>3rd Quality</v>
      </c>
      <c r="AJ2564">
        <f t="shared" si="294"/>
        <v>17.149379896678</v>
      </c>
      <c r="AK2564">
        <f t="shared" si="295"/>
        <v>90981.8209090909</v>
      </c>
    </row>
    <row r="2565" spans="1:37">
      <c r="A2565" t="s">
        <v>2631</v>
      </c>
      <c r="B2565">
        <v>27</v>
      </c>
      <c r="C2565" t="s">
        <v>44</v>
      </c>
      <c r="D2565" t="s">
        <v>45</v>
      </c>
      <c r="E2565">
        <v>1361</v>
      </c>
      <c r="F2565">
        <v>40</v>
      </c>
      <c r="G2565">
        <v>7</v>
      </c>
      <c r="H2565">
        <v>11083.45</v>
      </c>
      <c r="I2565">
        <v>84103.61</v>
      </c>
      <c r="J2565">
        <v>29</v>
      </c>
      <c r="K2565">
        <v>0</v>
      </c>
      <c r="L2565">
        <v>3.8</v>
      </c>
      <c r="M2565">
        <v>49.7</v>
      </c>
      <c r="N2565" t="s">
        <v>52</v>
      </c>
      <c r="O2565" t="s">
        <v>53</v>
      </c>
      <c r="P2565" t="s">
        <v>58</v>
      </c>
      <c r="R2565">
        <f>SUMIF(A2565:A7564,"C02564",I2565:I7564)</f>
        <v>84103.61</v>
      </c>
      <c r="S2565" s="1">
        <v>118171.61</v>
      </c>
      <c r="T2565">
        <f t="shared" si="292"/>
        <v>2900.12448275862</v>
      </c>
      <c r="U2565">
        <f t="shared" si="293"/>
        <v>1441.3</v>
      </c>
      <c r="V2565">
        <f t="shared" si="291"/>
        <v>120.108333333333</v>
      </c>
      <c r="W2565">
        <f t="shared" si="288"/>
        <v>31729.3533333333</v>
      </c>
      <c r="X2565">
        <f t="shared" si="289"/>
        <v>0.122795699894888</v>
      </c>
      <c r="AH2565" t="str">
        <f t="shared" si="290"/>
        <v>1st Quality</v>
      </c>
      <c r="AJ2565">
        <f t="shared" si="294"/>
        <v>204.225470919629</v>
      </c>
      <c r="AK2565">
        <f t="shared" si="295"/>
        <v>3947069.42103448</v>
      </c>
    </row>
    <row r="2566" spans="1:37">
      <c r="A2566" t="s">
        <v>2632</v>
      </c>
      <c r="B2566">
        <v>21</v>
      </c>
      <c r="C2566" t="s">
        <v>50</v>
      </c>
      <c r="D2566" t="s">
        <v>51</v>
      </c>
      <c r="E2566">
        <v>1177</v>
      </c>
      <c r="F2566">
        <v>23</v>
      </c>
      <c r="G2566">
        <v>4</v>
      </c>
      <c r="H2566">
        <v>8872.14</v>
      </c>
      <c r="I2566">
        <v>36869.96</v>
      </c>
      <c r="J2566">
        <v>22</v>
      </c>
      <c r="K2566">
        <v>1</v>
      </c>
      <c r="L2566">
        <v>21.2</v>
      </c>
      <c r="M2566">
        <v>39.4</v>
      </c>
      <c r="N2566" t="s">
        <v>78</v>
      </c>
      <c r="O2566" t="s">
        <v>47</v>
      </c>
      <c r="P2566" t="s">
        <v>68</v>
      </c>
      <c r="R2566">
        <f>SUMIF(A2566:A7565,"C02565",I2566:I7565)</f>
        <v>36869.96</v>
      </c>
      <c r="S2566" s="1">
        <v>82861.84</v>
      </c>
      <c r="T2566">
        <f t="shared" si="292"/>
        <v>1675.90727272727</v>
      </c>
      <c r="U2566">
        <f t="shared" si="293"/>
        <v>866.8</v>
      </c>
      <c r="V2566">
        <f>U2566</f>
        <v>866.8</v>
      </c>
      <c r="W2566">
        <f t="shared" si="288"/>
        <v>15247.7</v>
      </c>
      <c r="X2566">
        <f t="shared" si="289"/>
        <v>0.132662469257699</v>
      </c>
      <c r="AH2566" t="str">
        <f t="shared" si="290"/>
        <v>1st Quality</v>
      </c>
      <c r="AJ2566">
        <f>((T2566-X2566)*2)/21.2</f>
        <v>158.091944363963</v>
      </c>
      <c r="AK2566">
        <f t="shared" si="295"/>
        <v>1972542.86</v>
      </c>
    </row>
    <row r="2567" spans="1:37">
      <c r="A2567" t="s">
        <v>2633</v>
      </c>
      <c r="B2567">
        <v>29</v>
      </c>
      <c r="C2567" t="s">
        <v>44</v>
      </c>
      <c r="D2567" t="s">
        <v>45</v>
      </c>
      <c r="E2567">
        <v>1018</v>
      </c>
      <c r="F2567">
        <v>67</v>
      </c>
      <c r="G2567">
        <v>7</v>
      </c>
      <c r="H2567">
        <v>988.88</v>
      </c>
      <c r="I2567">
        <v>7178.86</v>
      </c>
      <c r="J2567">
        <v>51</v>
      </c>
      <c r="K2567">
        <v>1</v>
      </c>
      <c r="L2567">
        <v>18.3</v>
      </c>
      <c r="M2567">
        <v>50.8</v>
      </c>
      <c r="N2567" t="s">
        <v>57</v>
      </c>
      <c r="O2567" t="s">
        <v>75</v>
      </c>
      <c r="P2567" t="s">
        <v>68</v>
      </c>
      <c r="R2567">
        <f>SUMIF(A2567:A7566,"C02566",I2567:I7566)</f>
        <v>7178.86</v>
      </c>
      <c r="S2567" s="1">
        <v>32097.38</v>
      </c>
      <c r="T2567">
        <f t="shared" si="292"/>
        <v>140.761960784314</v>
      </c>
      <c r="U2567">
        <f t="shared" si="293"/>
        <v>2590.8</v>
      </c>
      <c r="V2567">
        <f>U2567</f>
        <v>2590.8</v>
      </c>
      <c r="W2567">
        <f t="shared" si="288"/>
        <v>2722.91333333333</v>
      </c>
      <c r="X2567">
        <f t="shared" si="289"/>
        <v>1.02944745570747</v>
      </c>
      <c r="AH2567" t="str">
        <f t="shared" si="290"/>
        <v>3rd Quality</v>
      </c>
      <c r="AJ2567">
        <f>((T2567-X2567)*2)/18.3</f>
        <v>15.2713129320881</v>
      </c>
      <c r="AK2567">
        <f t="shared" si="295"/>
        <v>143295.676078431</v>
      </c>
    </row>
    <row r="2568" spans="1:37">
      <c r="A2568" t="s">
        <v>2634</v>
      </c>
      <c r="B2568">
        <v>56</v>
      </c>
      <c r="C2568" t="s">
        <v>44</v>
      </c>
      <c r="D2568" t="s">
        <v>45</v>
      </c>
      <c r="E2568">
        <v>1308</v>
      </c>
      <c r="F2568">
        <v>3</v>
      </c>
      <c r="G2568">
        <v>28</v>
      </c>
      <c r="H2568">
        <v>4012.15</v>
      </c>
      <c r="I2568">
        <v>118171.61</v>
      </c>
      <c r="J2568">
        <v>114</v>
      </c>
      <c r="K2568">
        <v>2</v>
      </c>
      <c r="L2568">
        <v>5.4</v>
      </c>
      <c r="M2568">
        <v>63.5</v>
      </c>
      <c r="N2568" t="s">
        <v>57</v>
      </c>
      <c r="O2568" t="s">
        <v>47</v>
      </c>
      <c r="P2568" t="s">
        <v>58</v>
      </c>
      <c r="R2568">
        <f>SUMIF(A2568:A7567,"C02567",I2568:I7567)</f>
        <v>118171.61</v>
      </c>
      <c r="S2568" s="1">
        <v>1763.31</v>
      </c>
      <c r="T2568">
        <f t="shared" si="292"/>
        <v>1036.59307017544</v>
      </c>
      <c r="U2568">
        <f t="shared" si="293"/>
        <v>7239</v>
      </c>
      <c r="V2568">
        <f>U2568</f>
        <v>7239</v>
      </c>
      <c r="W2568">
        <f t="shared" si="288"/>
        <v>40728.2533333333</v>
      </c>
      <c r="X2568">
        <f t="shared" si="289"/>
        <v>0.326009745398352</v>
      </c>
      <c r="AH2568" t="str">
        <f t="shared" si="290"/>
        <v>3rd Quality</v>
      </c>
      <c r="AJ2568">
        <f>((T2568-X2568)*2)/5.4</f>
        <v>383.80261497409</v>
      </c>
      <c r="AK2568">
        <f t="shared" si="295"/>
        <v>1355863.73578947</v>
      </c>
    </row>
    <row r="2569" spans="1:37">
      <c r="A2569" t="s">
        <v>2635</v>
      </c>
      <c r="B2569">
        <v>30</v>
      </c>
      <c r="C2569" t="s">
        <v>50</v>
      </c>
      <c r="D2569" t="s">
        <v>60</v>
      </c>
      <c r="E2569">
        <v>616</v>
      </c>
      <c r="F2569">
        <v>22</v>
      </c>
      <c r="G2569">
        <v>21</v>
      </c>
      <c r="H2569">
        <v>3934.91</v>
      </c>
      <c r="I2569">
        <v>82861.84</v>
      </c>
      <c r="J2569">
        <v>172</v>
      </c>
      <c r="K2569">
        <v>1</v>
      </c>
      <c r="L2569">
        <v>5.2</v>
      </c>
      <c r="M2569">
        <v>49.6</v>
      </c>
      <c r="N2569" t="s">
        <v>57</v>
      </c>
      <c r="O2569" t="s">
        <v>47</v>
      </c>
      <c r="P2569" t="s">
        <v>58</v>
      </c>
      <c r="R2569">
        <f>SUMIF(A2569:A7568,"C02568",I2569:I7568)</f>
        <v>82861.84</v>
      </c>
      <c r="S2569" s="1">
        <v>140922.35</v>
      </c>
      <c r="T2569">
        <f t="shared" si="292"/>
        <v>481.75488372093</v>
      </c>
      <c r="U2569">
        <f t="shared" si="293"/>
        <v>8531.2</v>
      </c>
      <c r="V2569">
        <f>U2569</f>
        <v>8531.2</v>
      </c>
      <c r="W2569">
        <f t="shared" ref="W2569:W2632" si="296">(H2569+I2569+1)/3</f>
        <v>28932.5833333333</v>
      </c>
      <c r="X2569">
        <f t="shared" si="289"/>
        <v>0.156547417857079</v>
      </c>
      <c r="AH2569" t="str">
        <f t="shared" si="290"/>
        <v>2nd Quality</v>
      </c>
      <c r="AJ2569">
        <f>((T2569-X2569)*2)/5.2</f>
        <v>185.230129347336</v>
      </c>
      <c r="AK2569">
        <f t="shared" si="295"/>
        <v>296761.008372093</v>
      </c>
    </row>
    <row r="2570" spans="1:37">
      <c r="A2570" t="s">
        <v>2636</v>
      </c>
      <c r="B2570">
        <v>23</v>
      </c>
      <c r="C2570" t="s">
        <v>50</v>
      </c>
      <c r="D2570" t="s">
        <v>60</v>
      </c>
      <c r="E2570">
        <v>806</v>
      </c>
      <c r="F2570">
        <v>27</v>
      </c>
      <c r="G2570">
        <v>6</v>
      </c>
      <c r="H2570">
        <v>5135.6</v>
      </c>
      <c r="I2570">
        <v>32097.38</v>
      </c>
      <c r="J2570">
        <v>30</v>
      </c>
      <c r="K2570">
        <v>0</v>
      </c>
      <c r="L2570">
        <v>16.5</v>
      </c>
      <c r="M2570">
        <v>16.8</v>
      </c>
      <c r="N2570" t="s">
        <v>63</v>
      </c>
      <c r="O2570" t="s">
        <v>53</v>
      </c>
      <c r="P2570" t="s">
        <v>48</v>
      </c>
      <c r="R2570">
        <f>SUMIF(A2570:A7569,"C02569",I2570:I7569)</f>
        <v>32097.38</v>
      </c>
      <c r="S2570" s="1">
        <v>88485.42</v>
      </c>
      <c r="T2570">
        <f t="shared" si="292"/>
        <v>1069.91266666667</v>
      </c>
      <c r="U2570">
        <f t="shared" si="293"/>
        <v>504</v>
      </c>
      <c r="V2570">
        <f t="shared" si="291"/>
        <v>42</v>
      </c>
      <c r="W2570">
        <f t="shared" si="296"/>
        <v>12411.3266666667</v>
      </c>
      <c r="X2570">
        <f t="shared" si="289"/>
        <v>0.156943687203053</v>
      </c>
      <c r="AH2570" t="str">
        <f t="shared" si="290"/>
        <v>2nd Quality</v>
      </c>
      <c r="AJ2570">
        <f>((T2570-X2570)*2)/16.5</f>
        <v>129.667360361148</v>
      </c>
      <c r="AK2570">
        <f t="shared" si="295"/>
        <v>862349.609333333</v>
      </c>
    </row>
    <row r="2571" spans="1:37">
      <c r="A2571" t="s">
        <v>2637</v>
      </c>
      <c r="B2571">
        <v>19</v>
      </c>
      <c r="C2571" t="s">
        <v>44</v>
      </c>
      <c r="D2571" t="s">
        <v>45</v>
      </c>
      <c r="E2571">
        <v>692</v>
      </c>
      <c r="F2571">
        <v>136</v>
      </c>
      <c r="G2571">
        <v>1</v>
      </c>
      <c r="H2571">
        <v>1647.36</v>
      </c>
      <c r="I2571">
        <v>1763.31</v>
      </c>
      <c r="J2571">
        <v>13</v>
      </c>
      <c r="K2571">
        <v>0</v>
      </c>
      <c r="L2571">
        <v>20.8</v>
      </c>
      <c r="M2571">
        <v>52.2</v>
      </c>
      <c r="N2571" t="s">
        <v>46</v>
      </c>
      <c r="O2571" t="s">
        <v>47</v>
      </c>
      <c r="P2571" t="s">
        <v>68</v>
      </c>
      <c r="R2571">
        <f>SUMIF(A2571:A7570,"C02570",I2571:I7570)</f>
        <v>1763.31</v>
      </c>
      <c r="S2571" s="1">
        <v>3367.79</v>
      </c>
      <c r="T2571">
        <f t="shared" si="292"/>
        <v>135.639230769231</v>
      </c>
      <c r="U2571">
        <f t="shared" si="293"/>
        <v>678.6</v>
      </c>
      <c r="V2571">
        <f t="shared" si="291"/>
        <v>56.55</v>
      </c>
      <c r="W2571">
        <f t="shared" si="296"/>
        <v>1137.22333333333</v>
      </c>
      <c r="X2571">
        <f t="shared" si="289"/>
        <v>0.420066045066045</v>
      </c>
      <c r="AH2571" t="str">
        <f t="shared" si="290"/>
        <v>3rd Quality</v>
      </c>
      <c r="AJ2571">
        <f>((T2571-X2571)*2)/20.8</f>
        <v>13.0018427619389</v>
      </c>
      <c r="AK2571">
        <f t="shared" si="295"/>
        <v>93862.3476923077</v>
      </c>
    </row>
    <row r="2572" spans="1:37">
      <c r="A2572" t="s">
        <v>2638</v>
      </c>
      <c r="B2572">
        <v>25</v>
      </c>
      <c r="C2572" t="s">
        <v>44</v>
      </c>
      <c r="D2572" t="s">
        <v>45</v>
      </c>
      <c r="E2572">
        <v>670</v>
      </c>
      <c r="F2572">
        <v>13</v>
      </c>
      <c r="G2572">
        <v>31</v>
      </c>
      <c r="H2572">
        <v>4450.41</v>
      </c>
      <c r="I2572">
        <v>140922.35</v>
      </c>
      <c r="J2572">
        <v>161</v>
      </c>
      <c r="K2572">
        <v>1</v>
      </c>
      <c r="L2572">
        <v>12.7</v>
      </c>
      <c r="M2572">
        <v>16.8</v>
      </c>
      <c r="N2572" t="s">
        <v>52</v>
      </c>
      <c r="O2572" t="s">
        <v>47</v>
      </c>
      <c r="P2572" t="s">
        <v>48</v>
      </c>
      <c r="R2572">
        <f>SUMIF(A2572:A7571,"C02571",I2572:I7571)</f>
        <v>140922.35</v>
      </c>
      <c r="S2572" s="1">
        <v>1954.66</v>
      </c>
      <c r="T2572">
        <f t="shared" si="292"/>
        <v>875.294099378882</v>
      </c>
      <c r="U2572">
        <f t="shared" si="293"/>
        <v>2704.8</v>
      </c>
      <c r="V2572">
        <f>U2572</f>
        <v>2704.8</v>
      </c>
      <c r="W2572">
        <f t="shared" si="296"/>
        <v>48457.92</v>
      </c>
      <c r="X2572">
        <f t="shared" ref="X2572:X2635" si="297">E2572/H2572</f>
        <v>0.150547927044924</v>
      </c>
      <c r="AH2572" t="str">
        <f t="shared" si="290"/>
        <v>2nd Quality</v>
      </c>
      <c r="AJ2572">
        <f>((T2572-X2572)*2)/12.7</f>
        <v>137.8178821184</v>
      </c>
      <c r="AK2572">
        <f t="shared" si="295"/>
        <v>586447.046583851</v>
      </c>
    </row>
    <row r="2573" spans="1:37">
      <c r="A2573" t="s">
        <v>2639</v>
      </c>
      <c r="B2573">
        <v>31</v>
      </c>
      <c r="C2573" t="s">
        <v>44</v>
      </c>
      <c r="D2573" t="s">
        <v>60</v>
      </c>
      <c r="E2573">
        <v>1358</v>
      </c>
      <c r="F2573">
        <v>53</v>
      </c>
      <c r="G2573">
        <v>6</v>
      </c>
      <c r="H2573">
        <v>16581.24</v>
      </c>
      <c r="I2573">
        <v>88485.42</v>
      </c>
      <c r="J2573">
        <v>24</v>
      </c>
      <c r="K2573">
        <v>1</v>
      </c>
      <c r="L2573">
        <v>8.3</v>
      </c>
      <c r="M2573">
        <v>2.7</v>
      </c>
      <c r="N2573" t="s">
        <v>46</v>
      </c>
      <c r="O2573" t="s">
        <v>47</v>
      </c>
      <c r="P2573" t="s">
        <v>68</v>
      </c>
      <c r="R2573">
        <f>SUMIF(A2573:A7572,"C02572",I2573:I7572)</f>
        <v>88485.42</v>
      </c>
      <c r="S2573" s="1">
        <v>20810.77</v>
      </c>
      <c r="T2573">
        <f t="shared" si="292"/>
        <v>3686.8925</v>
      </c>
      <c r="U2573">
        <f t="shared" si="293"/>
        <v>64.8</v>
      </c>
      <c r="V2573">
        <f>U2573</f>
        <v>64.8</v>
      </c>
      <c r="W2573">
        <f t="shared" si="296"/>
        <v>35022.5533333333</v>
      </c>
      <c r="X2573">
        <f t="shared" si="297"/>
        <v>0.0818997855407678</v>
      </c>
      <c r="AH2573" t="str">
        <f t="shared" si="290"/>
        <v>1st Quality</v>
      </c>
      <c r="AJ2573">
        <f>((T2573-X2573)*2)/8.3</f>
        <v>888.388096437219</v>
      </c>
      <c r="AK2573">
        <f t="shared" si="295"/>
        <v>5006800.015</v>
      </c>
    </row>
    <row r="2574" spans="1:37">
      <c r="A2574" t="s">
        <v>2640</v>
      </c>
      <c r="B2574">
        <v>41</v>
      </c>
      <c r="C2574" t="s">
        <v>50</v>
      </c>
      <c r="D2574" t="s">
        <v>60</v>
      </c>
      <c r="E2574">
        <v>1356</v>
      </c>
      <c r="F2574">
        <v>79</v>
      </c>
      <c r="G2574">
        <v>3</v>
      </c>
      <c r="H2574">
        <v>1119.75</v>
      </c>
      <c r="I2574">
        <v>3367.79</v>
      </c>
      <c r="J2574">
        <v>27</v>
      </c>
      <c r="K2574">
        <v>0</v>
      </c>
      <c r="L2574">
        <v>25.8</v>
      </c>
      <c r="M2574">
        <v>25.1</v>
      </c>
      <c r="N2574" t="s">
        <v>57</v>
      </c>
      <c r="O2574" t="s">
        <v>47</v>
      </c>
      <c r="P2574" t="s">
        <v>58</v>
      </c>
      <c r="R2574">
        <f>SUMIF(A2574:A7573,"C02573",I2574:I7573)</f>
        <v>3367.79</v>
      </c>
      <c r="S2574" s="1">
        <v>22021.44</v>
      </c>
      <c r="T2574">
        <f t="shared" si="292"/>
        <v>124.732962962963</v>
      </c>
      <c r="U2574">
        <f t="shared" si="293"/>
        <v>677.7</v>
      </c>
      <c r="V2574">
        <f t="shared" si="291"/>
        <v>56.475</v>
      </c>
      <c r="W2574">
        <f t="shared" si="296"/>
        <v>1496.18</v>
      </c>
      <c r="X2574">
        <f t="shared" si="297"/>
        <v>1.21098459477562</v>
      </c>
      <c r="AH2574" t="str">
        <f t="shared" ref="AH2574:AH2637" si="298">IF(AND(W2574&gt;=12550,B2574&lt;=33,E2574&gt;=915),"1st Quality",IF(AND(W2574&gt;=6275,B2574&lt;=43,E2574&gt;=457),"2nd Quality","3rd Quality"))</f>
        <v>3rd Quality</v>
      </c>
      <c r="AJ2574">
        <f>((T2574-X2574)*2)/25.8</f>
        <v>9.5753471603246</v>
      </c>
      <c r="AK2574">
        <f t="shared" si="295"/>
        <v>169137.897777778</v>
      </c>
    </row>
    <row r="2575" spans="1:37">
      <c r="A2575" t="s">
        <v>2641</v>
      </c>
      <c r="B2575">
        <v>39</v>
      </c>
      <c r="C2575" t="s">
        <v>44</v>
      </c>
      <c r="D2575" t="s">
        <v>45</v>
      </c>
      <c r="E2575">
        <v>598</v>
      </c>
      <c r="F2575">
        <v>85</v>
      </c>
      <c r="G2575">
        <v>4</v>
      </c>
      <c r="H2575">
        <v>477.55</v>
      </c>
      <c r="I2575">
        <v>1954.66</v>
      </c>
      <c r="J2575">
        <v>38</v>
      </c>
      <c r="K2575">
        <v>0</v>
      </c>
      <c r="L2575">
        <v>26.7</v>
      </c>
      <c r="M2575">
        <v>31.7</v>
      </c>
      <c r="N2575" t="s">
        <v>61</v>
      </c>
      <c r="O2575" t="s">
        <v>75</v>
      </c>
      <c r="P2575" t="s">
        <v>58</v>
      </c>
      <c r="R2575">
        <f>SUMIF(A2575:A7574,"C02574",I2575:I7574)</f>
        <v>1954.66</v>
      </c>
      <c r="S2575" s="1">
        <v>1289.63</v>
      </c>
      <c r="T2575">
        <f t="shared" si="292"/>
        <v>51.4384210526316</v>
      </c>
      <c r="U2575">
        <f t="shared" si="293"/>
        <v>1204.6</v>
      </c>
      <c r="V2575">
        <f t="shared" si="291"/>
        <v>100.383333333333</v>
      </c>
      <c r="W2575">
        <f t="shared" si="296"/>
        <v>811.07</v>
      </c>
      <c r="X2575">
        <f t="shared" si="297"/>
        <v>1.25222489791645</v>
      </c>
      <c r="AH2575" t="str">
        <f t="shared" si="298"/>
        <v>3rd Quality</v>
      </c>
      <c r="AJ2575">
        <f>((T2575-X2575)*2)/26.7</f>
        <v>3.75926562956668</v>
      </c>
      <c r="AK2575">
        <f t="shared" si="295"/>
        <v>30760.1757894737</v>
      </c>
    </row>
    <row r="2576" spans="1:37">
      <c r="A2576" t="s">
        <v>2642</v>
      </c>
      <c r="B2576">
        <v>41</v>
      </c>
      <c r="C2576" t="s">
        <v>50</v>
      </c>
      <c r="D2576" t="s">
        <v>51</v>
      </c>
      <c r="E2576">
        <v>642</v>
      </c>
      <c r="F2576">
        <v>15</v>
      </c>
      <c r="G2576">
        <v>3</v>
      </c>
      <c r="H2576">
        <v>6363.65</v>
      </c>
      <c r="I2576">
        <v>20810.77</v>
      </c>
      <c r="J2576">
        <v>17</v>
      </c>
      <c r="K2576">
        <v>0</v>
      </c>
      <c r="L2576">
        <v>0</v>
      </c>
      <c r="M2576">
        <v>61.5</v>
      </c>
      <c r="N2576" t="s">
        <v>78</v>
      </c>
      <c r="O2576" t="s">
        <v>53</v>
      </c>
      <c r="P2576" t="s">
        <v>58</v>
      </c>
      <c r="R2576">
        <f>SUMIF(A2576:A7575,"C02575",I2576:I7575)</f>
        <v>20810.77</v>
      </c>
      <c r="S2576" s="1">
        <v>1307</v>
      </c>
      <c r="T2576">
        <f t="shared" si="292"/>
        <v>1224.16294117647</v>
      </c>
      <c r="U2576">
        <f t="shared" si="293"/>
        <v>1045.5</v>
      </c>
      <c r="V2576">
        <f t="shared" si="291"/>
        <v>87.125</v>
      </c>
      <c r="W2576">
        <f t="shared" si="296"/>
        <v>9058.47333333333</v>
      </c>
      <c r="X2576">
        <f t="shared" si="297"/>
        <v>0.100885498102504</v>
      </c>
      <c r="AH2576" t="str">
        <f t="shared" si="298"/>
        <v>2nd Quality</v>
      </c>
      <c r="AJ2576">
        <f>((T2576-X2576)*2)</f>
        <v>2448.12411135673</v>
      </c>
      <c r="AK2576">
        <f t="shared" si="295"/>
        <v>785912.608235294</v>
      </c>
    </row>
    <row r="2577" spans="1:37">
      <c r="A2577" t="s">
        <v>2643</v>
      </c>
      <c r="B2577">
        <v>46</v>
      </c>
      <c r="C2577" t="s">
        <v>50</v>
      </c>
      <c r="D2577" t="s">
        <v>60</v>
      </c>
      <c r="E2577">
        <v>473</v>
      </c>
      <c r="F2577">
        <v>4</v>
      </c>
      <c r="G2577">
        <v>3</v>
      </c>
      <c r="H2577">
        <v>8329.58</v>
      </c>
      <c r="I2577">
        <v>22021.44</v>
      </c>
      <c r="J2577">
        <v>32</v>
      </c>
      <c r="K2577">
        <v>0</v>
      </c>
      <c r="L2577">
        <v>3.2</v>
      </c>
      <c r="M2577">
        <v>38.2</v>
      </c>
      <c r="N2577" t="s">
        <v>52</v>
      </c>
      <c r="O2577" t="s">
        <v>47</v>
      </c>
      <c r="P2577" t="s">
        <v>68</v>
      </c>
      <c r="R2577">
        <f>SUMIF(A2577:A7576,"C02576",I2577:I7576)</f>
        <v>22021.44</v>
      </c>
      <c r="S2577" s="1">
        <v>164242.7</v>
      </c>
      <c r="T2577">
        <f t="shared" si="292"/>
        <v>688.17</v>
      </c>
      <c r="U2577">
        <f t="shared" si="293"/>
        <v>1222.4</v>
      </c>
      <c r="V2577">
        <f t="shared" si="291"/>
        <v>101.866666666667</v>
      </c>
      <c r="W2577">
        <f t="shared" si="296"/>
        <v>10117.34</v>
      </c>
      <c r="X2577">
        <f t="shared" si="297"/>
        <v>0.0567855762235311</v>
      </c>
      <c r="AH2577" t="str">
        <f t="shared" si="298"/>
        <v>3rd Quality</v>
      </c>
      <c r="AJ2577">
        <f>((T2577-X2577)*2)/3.2</f>
        <v>430.07075901486</v>
      </c>
      <c r="AK2577">
        <f t="shared" si="295"/>
        <v>325504.41</v>
      </c>
    </row>
    <row r="2578" spans="1:37">
      <c r="A2578" t="s">
        <v>2644</v>
      </c>
      <c r="B2578">
        <v>41</v>
      </c>
      <c r="C2578" t="s">
        <v>50</v>
      </c>
      <c r="D2578" t="s">
        <v>60</v>
      </c>
      <c r="E2578">
        <v>538</v>
      </c>
      <c r="F2578">
        <v>58</v>
      </c>
      <c r="G2578">
        <v>1</v>
      </c>
      <c r="H2578">
        <v>1446.33</v>
      </c>
      <c r="I2578">
        <v>1289.63</v>
      </c>
      <c r="J2578">
        <v>16</v>
      </c>
      <c r="K2578">
        <v>0</v>
      </c>
      <c r="L2578">
        <v>31</v>
      </c>
      <c r="M2578">
        <v>67.7</v>
      </c>
      <c r="N2578" t="s">
        <v>46</v>
      </c>
      <c r="O2578" t="s">
        <v>53</v>
      </c>
      <c r="P2578" t="s">
        <v>58</v>
      </c>
      <c r="R2578">
        <f>SUMIF(A2578:A7577,"C02577",I2578:I7577)</f>
        <v>1289.63</v>
      </c>
      <c r="S2578" s="1">
        <v>1336.52</v>
      </c>
      <c r="T2578">
        <f t="shared" si="292"/>
        <v>80.601875</v>
      </c>
      <c r="U2578">
        <f t="shared" si="293"/>
        <v>1083.2</v>
      </c>
      <c r="V2578">
        <f t="shared" ref="V2578:V2641" si="299">U2578/12</f>
        <v>90.2666666666667</v>
      </c>
      <c r="W2578">
        <f t="shared" si="296"/>
        <v>912.32</v>
      </c>
      <c r="X2578">
        <f t="shared" si="297"/>
        <v>0.371975966757241</v>
      </c>
      <c r="AH2578" t="str">
        <f t="shared" si="298"/>
        <v>3rd Quality</v>
      </c>
      <c r="AJ2578">
        <f>((T2578-X2578)*2)/31</f>
        <v>5.17612251827373</v>
      </c>
      <c r="AK2578">
        <f t="shared" si="295"/>
        <v>43363.80875</v>
      </c>
    </row>
    <row r="2579" spans="1:37">
      <c r="A2579" t="s">
        <v>2645</v>
      </c>
      <c r="B2579">
        <v>43</v>
      </c>
      <c r="C2579" t="s">
        <v>44</v>
      </c>
      <c r="D2579" t="s">
        <v>51</v>
      </c>
      <c r="E2579">
        <v>1374</v>
      </c>
      <c r="F2579">
        <v>95</v>
      </c>
      <c r="G2579">
        <v>2</v>
      </c>
      <c r="H2579">
        <v>674.89</v>
      </c>
      <c r="I2579">
        <v>1307</v>
      </c>
      <c r="J2579">
        <v>22</v>
      </c>
      <c r="K2579">
        <v>0</v>
      </c>
      <c r="L2579">
        <v>27.6</v>
      </c>
      <c r="M2579">
        <v>18.3</v>
      </c>
      <c r="N2579" t="s">
        <v>52</v>
      </c>
      <c r="O2579" t="s">
        <v>47</v>
      </c>
      <c r="P2579" t="s">
        <v>58</v>
      </c>
      <c r="R2579">
        <f>SUMIF(A2579:A7578,"C02578",I2579:I7578)</f>
        <v>1307</v>
      </c>
      <c r="S2579" s="1">
        <v>85899.1</v>
      </c>
      <c r="T2579">
        <f t="shared" si="292"/>
        <v>59.4090909090909</v>
      </c>
      <c r="U2579">
        <f t="shared" si="293"/>
        <v>402.6</v>
      </c>
      <c r="V2579">
        <f t="shared" si="299"/>
        <v>33.55</v>
      </c>
      <c r="W2579">
        <f t="shared" si="296"/>
        <v>660.963333333333</v>
      </c>
      <c r="X2579">
        <f t="shared" si="297"/>
        <v>2.03588732978708</v>
      </c>
      <c r="AH2579" t="str">
        <f t="shared" si="298"/>
        <v>3rd Quality</v>
      </c>
      <c r="AJ2579">
        <f>((T2579-X2579)*2)/27.6</f>
        <v>4.15747852023941</v>
      </c>
      <c r="AK2579">
        <f t="shared" si="295"/>
        <v>81628.0909090909</v>
      </c>
    </row>
    <row r="2580" spans="1:37">
      <c r="A2580" t="s">
        <v>2646</v>
      </c>
      <c r="B2580">
        <v>62</v>
      </c>
      <c r="C2580" t="s">
        <v>44</v>
      </c>
      <c r="D2580" t="s">
        <v>45</v>
      </c>
      <c r="E2580">
        <v>579</v>
      </c>
      <c r="F2580">
        <v>7</v>
      </c>
      <c r="G2580">
        <v>32</v>
      </c>
      <c r="H2580">
        <v>4784.68</v>
      </c>
      <c r="I2580">
        <v>164242.7</v>
      </c>
      <c r="J2580">
        <v>226</v>
      </c>
      <c r="K2580">
        <v>2</v>
      </c>
      <c r="L2580">
        <v>14.7</v>
      </c>
      <c r="M2580">
        <v>18.9</v>
      </c>
      <c r="N2580" t="s">
        <v>57</v>
      </c>
      <c r="O2580" t="s">
        <v>47</v>
      </c>
      <c r="P2580" t="s">
        <v>58</v>
      </c>
      <c r="R2580">
        <f>SUMIF(A2580:A7579,"C02579",I2580:I7579)</f>
        <v>164242.7</v>
      </c>
      <c r="S2580" s="1">
        <v>1866.79</v>
      </c>
      <c r="T2580">
        <f t="shared" si="292"/>
        <v>726.737610619469</v>
      </c>
      <c r="U2580">
        <f t="shared" si="293"/>
        <v>4271.4</v>
      </c>
      <c r="V2580">
        <f>U2580</f>
        <v>4271.4</v>
      </c>
      <c r="W2580">
        <f t="shared" si="296"/>
        <v>56342.7933333333</v>
      </c>
      <c r="X2580">
        <f t="shared" si="297"/>
        <v>0.121011227501108</v>
      </c>
      <c r="AH2580" t="str">
        <f t="shared" si="298"/>
        <v>3rd Quality</v>
      </c>
      <c r="AJ2580">
        <f>((T2580-X2580)*2)/14.7</f>
        <v>98.8594012778188</v>
      </c>
      <c r="AK2580">
        <f t="shared" si="295"/>
        <v>420781.076548673</v>
      </c>
    </row>
    <row r="2581" spans="1:37">
      <c r="A2581" t="s">
        <v>2647</v>
      </c>
      <c r="B2581">
        <v>39</v>
      </c>
      <c r="C2581" t="s">
        <v>44</v>
      </c>
      <c r="D2581" t="s">
        <v>51</v>
      </c>
      <c r="E2581">
        <v>399</v>
      </c>
      <c r="F2581">
        <v>156</v>
      </c>
      <c r="G2581">
        <v>1</v>
      </c>
      <c r="H2581">
        <v>1341.57</v>
      </c>
      <c r="I2581">
        <v>1336.52</v>
      </c>
      <c r="J2581">
        <v>18</v>
      </c>
      <c r="K2581">
        <v>0</v>
      </c>
      <c r="L2581">
        <v>18.8</v>
      </c>
      <c r="M2581">
        <v>12.4</v>
      </c>
      <c r="N2581" t="s">
        <v>46</v>
      </c>
      <c r="O2581" t="s">
        <v>47</v>
      </c>
      <c r="P2581" t="s">
        <v>48</v>
      </c>
      <c r="R2581">
        <f>SUMIF(A2581:A7580,"C02580",I2581:I7580)</f>
        <v>1336.52</v>
      </c>
      <c r="S2581" s="1">
        <v>68445.76</v>
      </c>
      <c r="T2581">
        <f t="shared" si="292"/>
        <v>74.2511111111111</v>
      </c>
      <c r="U2581">
        <f t="shared" si="293"/>
        <v>223.2</v>
      </c>
      <c r="V2581">
        <f t="shared" si="299"/>
        <v>18.6</v>
      </c>
      <c r="W2581">
        <f t="shared" si="296"/>
        <v>893.03</v>
      </c>
      <c r="X2581">
        <f t="shared" si="297"/>
        <v>0.297412732842863</v>
      </c>
      <c r="AH2581" t="str">
        <f t="shared" si="298"/>
        <v>3rd Quality</v>
      </c>
      <c r="AJ2581">
        <f>((T2581-X2581)*2)/18.8</f>
        <v>7.86741472109237</v>
      </c>
      <c r="AK2581">
        <f t="shared" si="295"/>
        <v>29626.1933333333</v>
      </c>
    </row>
    <row r="2582" spans="1:37">
      <c r="A2582" t="s">
        <v>2648</v>
      </c>
      <c r="B2582">
        <v>34</v>
      </c>
      <c r="C2582" t="s">
        <v>44</v>
      </c>
      <c r="D2582" t="s">
        <v>51</v>
      </c>
      <c r="E2582">
        <v>1324</v>
      </c>
      <c r="F2582">
        <v>3</v>
      </c>
      <c r="G2582">
        <v>23</v>
      </c>
      <c r="H2582">
        <v>3917.86</v>
      </c>
      <c r="I2582">
        <v>85899.1</v>
      </c>
      <c r="J2582">
        <v>104</v>
      </c>
      <c r="K2582">
        <v>1</v>
      </c>
      <c r="L2582">
        <v>10.3</v>
      </c>
      <c r="M2582">
        <v>30.6</v>
      </c>
      <c r="N2582" t="s">
        <v>46</v>
      </c>
      <c r="O2582" t="s">
        <v>53</v>
      </c>
      <c r="P2582" t="s">
        <v>58</v>
      </c>
      <c r="R2582">
        <f>SUMIF(A2582:A7581,"C02581",I2582:I7581)</f>
        <v>85899.1</v>
      </c>
      <c r="S2582" s="1">
        <v>44486.99</v>
      </c>
      <c r="T2582">
        <f t="shared" ref="T2582:T2645" si="300">I2582/J2582</f>
        <v>825.952884615385</v>
      </c>
      <c r="U2582">
        <f t="shared" si="293"/>
        <v>3182.4</v>
      </c>
      <c r="V2582">
        <f>U2582</f>
        <v>3182.4</v>
      </c>
      <c r="W2582">
        <f t="shared" si="296"/>
        <v>29939.32</v>
      </c>
      <c r="X2582">
        <f t="shared" si="297"/>
        <v>0.337939589469762</v>
      </c>
      <c r="AH2582" t="str">
        <f t="shared" si="298"/>
        <v>2nd Quality</v>
      </c>
      <c r="AJ2582">
        <f>((T2582-X2582)*2)/10.3</f>
        <v>160.31358155843</v>
      </c>
      <c r="AK2582">
        <f t="shared" si="295"/>
        <v>1093561.61923077</v>
      </c>
    </row>
    <row r="2583" spans="1:37">
      <c r="A2583" t="s">
        <v>2649</v>
      </c>
      <c r="B2583">
        <v>34</v>
      </c>
      <c r="C2583" t="s">
        <v>50</v>
      </c>
      <c r="D2583" t="s">
        <v>45</v>
      </c>
      <c r="E2583">
        <v>1187</v>
      </c>
      <c r="F2583">
        <v>38</v>
      </c>
      <c r="G2583">
        <v>3</v>
      </c>
      <c r="H2583">
        <v>594.68</v>
      </c>
      <c r="I2583">
        <v>1866.79</v>
      </c>
      <c r="J2583">
        <v>31</v>
      </c>
      <c r="K2583">
        <v>0</v>
      </c>
      <c r="L2583">
        <v>22.9</v>
      </c>
      <c r="M2583">
        <v>3.3</v>
      </c>
      <c r="N2583" t="s">
        <v>61</v>
      </c>
      <c r="O2583" t="s">
        <v>53</v>
      </c>
      <c r="P2583" t="s">
        <v>58</v>
      </c>
      <c r="R2583">
        <f>SUMIF(A2583:A7582,"C02582",I2583:I7582)</f>
        <v>1866.79</v>
      </c>
      <c r="S2583" s="1">
        <v>119727.87</v>
      </c>
      <c r="T2583">
        <f t="shared" si="300"/>
        <v>60.2190322580645</v>
      </c>
      <c r="U2583">
        <f t="shared" si="293"/>
        <v>102.3</v>
      </c>
      <c r="V2583">
        <f t="shared" si="299"/>
        <v>8.525</v>
      </c>
      <c r="W2583">
        <f t="shared" si="296"/>
        <v>820.823333333333</v>
      </c>
      <c r="X2583">
        <f t="shared" si="297"/>
        <v>1.99603147911482</v>
      </c>
      <c r="AH2583" t="str">
        <f t="shared" si="298"/>
        <v>3rd Quality</v>
      </c>
      <c r="AJ2583">
        <f>((T2583-X2583)*2)/22.9</f>
        <v>5.08497823396941</v>
      </c>
      <c r="AK2583">
        <f t="shared" si="295"/>
        <v>71479.9912903226</v>
      </c>
    </row>
    <row r="2584" spans="1:37">
      <c r="A2584" t="s">
        <v>2650</v>
      </c>
      <c r="B2584">
        <v>29</v>
      </c>
      <c r="C2584" t="s">
        <v>44</v>
      </c>
      <c r="D2584" t="s">
        <v>60</v>
      </c>
      <c r="E2584">
        <v>1146</v>
      </c>
      <c r="F2584">
        <v>3</v>
      </c>
      <c r="G2584">
        <v>23</v>
      </c>
      <c r="H2584">
        <v>2972.79</v>
      </c>
      <c r="I2584">
        <v>68445.76</v>
      </c>
      <c r="J2584">
        <v>124</v>
      </c>
      <c r="K2584">
        <v>2</v>
      </c>
      <c r="L2584">
        <v>0.4</v>
      </c>
      <c r="M2584">
        <v>64.7</v>
      </c>
      <c r="N2584" t="s">
        <v>78</v>
      </c>
      <c r="O2584" t="s">
        <v>47</v>
      </c>
      <c r="P2584" t="s">
        <v>68</v>
      </c>
      <c r="R2584">
        <f>SUMIF(A2584:A7583,"C02583",I2584:I7583)</f>
        <v>68445.76</v>
      </c>
      <c r="S2584" s="1">
        <v>12019.88</v>
      </c>
      <c r="T2584">
        <f t="shared" si="300"/>
        <v>551.981935483871</v>
      </c>
      <c r="U2584">
        <f t="shared" si="293"/>
        <v>8022.8</v>
      </c>
      <c r="V2584">
        <f>U2584</f>
        <v>8022.8</v>
      </c>
      <c r="W2584">
        <f t="shared" si="296"/>
        <v>23806.5166666667</v>
      </c>
      <c r="X2584">
        <f t="shared" si="297"/>
        <v>0.385496452827142</v>
      </c>
      <c r="AH2584" t="str">
        <f t="shared" si="298"/>
        <v>1st Quality</v>
      </c>
      <c r="AJ2584">
        <f>((T2584-X2584)*2)/0.4</f>
        <v>2757.98219515522</v>
      </c>
      <c r="AK2584">
        <f t="shared" si="295"/>
        <v>632571.298064516</v>
      </c>
    </row>
    <row r="2585" spans="1:37">
      <c r="A2585" t="s">
        <v>2651</v>
      </c>
      <c r="B2585">
        <v>24</v>
      </c>
      <c r="C2585" t="s">
        <v>44</v>
      </c>
      <c r="D2585" t="s">
        <v>60</v>
      </c>
      <c r="E2585">
        <v>528</v>
      </c>
      <c r="F2585">
        <v>10</v>
      </c>
      <c r="G2585">
        <v>21</v>
      </c>
      <c r="H2585">
        <v>2081.6</v>
      </c>
      <c r="I2585">
        <v>44486.99</v>
      </c>
      <c r="J2585">
        <v>114</v>
      </c>
      <c r="K2585">
        <v>2</v>
      </c>
      <c r="L2585">
        <v>1.1</v>
      </c>
      <c r="M2585">
        <v>45.1</v>
      </c>
      <c r="N2585" t="s">
        <v>81</v>
      </c>
      <c r="O2585" t="s">
        <v>47</v>
      </c>
      <c r="P2585" t="s">
        <v>58</v>
      </c>
      <c r="R2585">
        <f>SUMIF(A2585:A7584,"C02584",I2585:I7584)</f>
        <v>44486.99</v>
      </c>
      <c r="S2585" s="1">
        <v>3313.58</v>
      </c>
      <c r="T2585">
        <f t="shared" si="300"/>
        <v>390.236754385965</v>
      </c>
      <c r="U2585">
        <f t="shared" si="293"/>
        <v>5141.4</v>
      </c>
      <c r="V2585">
        <f>U2585</f>
        <v>5141.4</v>
      </c>
      <c r="W2585">
        <f t="shared" si="296"/>
        <v>15523.1966666667</v>
      </c>
      <c r="X2585">
        <f t="shared" si="297"/>
        <v>0.253651037663336</v>
      </c>
      <c r="AH2585" t="str">
        <f t="shared" si="298"/>
        <v>2nd Quality</v>
      </c>
      <c r="AJ2585">
        <f>((T2585-X2585)*2)/1.1</f>
        <v>709.060187906003</v>
      </c>
      <c r="AK2585">
        <f t="shared" si="295"/>
        <v>206045.006315789</v>
      </c>
    </row>
    <row r="2586" spans="1:37">
      <c r="A2586" t="s">
        <v>2652</v>
      </c>
      <c r="B2586">
        <v>18</v>
      </c>
      <c r="C2586" t="s">
        <v>44</v>
      </c>
      <c r="D2586" t="s">
        <v>45</v>
      </c>
      <c r="E2586">
        <v>390</v>
      </c>
      <c r="F2586">
        <v>14</v>
      </c>
      <c r="G2586">
        <v>22</v>
      </c>
      <c r="H2586">
        <v>5537.42</v>
      </c>
      <c r="I2586">
        <v>119727.87</v>
      </c>
      <c r="J2586">
        <v>182</v>
      </c>
      <c r="K2586">
        <v>2</v>
      </c>
      <c r="L2586">
        <v>16.6</v>
      </c>
      <c r="M2586">
        <v>27.8</v>
      </c>
      <c r="N2586" t="s">
        <v>57</v>
      </c>
      <c r="O2586" t="s">
        <v>47</v>
      </c>
      <c r="P2586" t="s">
        <v>58</v>
      </c>
      <c r="R2586">
        <f>SUMIF(A2586:A7585,"C02585",I2586:I7585)</f>
        <v>119727.87</v>
      </c>
      <c r="S2586" s="1">
        <v>27334.46</v>
      </c>
      <c r="T2586">
        <f t="shared" si="300"/>
        <v>657.84543956044</v>
      </c>
      <c r="U2586">
        <f t="shared" si="293"/>
        <v>5059.6</v>
      </c>
      <c r="V2586">
        <f>U2586</f>
        <v>5059.6</v>
      </c>
      <c r="W2586">
        <f t="shared" si="296"/>
        <v>41755.43</v>
      </c>
      <c r="X2586">
        <f t="shared" si="297"/>
        <v>0.0704299114027832</v>
      </c>
      <c r="AH2586" t="str">
        <f t="shared" si="298"/>
        <v>3rd Quality</v>
      </c>
      <c r="AJ2586">
        <f>((T2586-X2586)*2)/16.6</f>
        <v>79.2500011625346</v>
      </c>
      <c r="AK2586">
        <f t="shared" si="295"/>
        <v>256559.721428571</v>
      </c>
    </row>
    <row r="2587" spans="1:37">
      <c r="A2587" t="s">
        <v>2653</v>
      </c>
      <c r="B2587">
        <v>63</v>
      </c>
      <c r="C2587" t="s">
        <v>44</v>
      </c>
      <c r="D2587" t="s">
        <v>45</v>
      </c>
      <c r="E2587">
        <v>1097</v>
      </c>
      <c r="F2587">
        <v>38</v>
      </c>
      <c r="G2587">
        <v>11</v>
      </c>
      <c r="H2587">
        <v>1036.72</v>
      </c>
      <c r="I2587">
        <v>12019.88</v>
      </c>
      <c r="J2587">
        <v>42</v>
      </c>
      <c r="K2587">
        <v>1</v>
      </c>
      <c r="L2587">
        <v>9.9</v>
      </c>
      <c r="M2587">
        <v>5.6</v>
      </c>
      <c r="N2587" t="s">
        <v>61</v>
      </c>
      <c r="O2587" t="s">
        <v>53</v>
      </c>
      <c r="P2587" t="s">
        <v>48</v>
      </c>
      <c r="R2587">
        <f>SUMIF(A2587:A7586,"C02586",I2587:I7586)</f>
        <v>12019.88</v>
      </c>
      <c r="S2587" s="1">
        <v>10913.8</v>
      </c>
      <c r="T2587">
        <f t="shared" si="300"/>
        <v>286.187619047619</v>
      </c>
      <c r="U2587">
        <f t="shared" si="293"/>
        <v>235.2</v>
      </c>
      <c r="V2587">
        <f>U2587</f>
        <v>235.2</v>
      </c>
      <c r="W2587">
        <f t="shared" si="296"/>
        <v>4352.53333333333</v>
      </c>
      <c r="X2587">
        <f t="shared" si="297"/>
        <v>1.0581449185894</v>
      </c>
      <c r="AH2587" t="str">
        <f t="shared" si="298"/>
        <v>3rd Quality</v>
      </c>
      <c r="AJ2587">
        <f>((T2587-X2587)*2)/9.9</f>
        <v>57.6019139654605</v>
      </c>
      <c r="AK2587">
        <f t="shared" si="295"/>
        <v>313947.818095238</v>
      </c>
    </row>
    <row r="2588" spans="1:37">
      <c r="A2588" t="s">
        <v>2654</v>
      </c>
      <c r="B2588">
        <v>25</v>
      </c>
      <c r="C2588" t="s">
        <v>50</v>
      </c>
      <c r="D2588" t="s">
        <v>60</v>
      </c>
      <c r="E2588">
        <v>976</v>
      </c>
      <c r="F2588">
        <v>51</v>
      </c>
      <c r="G2588">
        <v>5</v>
      </c>
      <c r="H2588">
        <v>749.9</v>
      </c>
      <c r="I2588">
        <v>3313.58</v>
      </c>
      <c r="J2588">
        <v>14</v>
      </c>
      <c r="K2588">
        <v>0</v>
      </c>
      <c r="L2588">
        <v>23.3</v>
      </c>
      <c r="M2588">
        <v>23.9</v>
      </c>
      <c r="N2588" t="s">
        <v>63</v>
      </c>
      <c r="O2588" t="s">
        <v>75</v>
      </c>
      <c r="P2588" t="s">
        <v>68</v>
      </c>
      <c r="R2588">
        <f>SUMIF(A2588:A7587,"C02587",I2588:I7587)</f>
        <v>3313.58</v>
      </c>
      <c r="S2588" s="1">
        <v>8043.74</v>
      </c>
      <c r="T2588">
        <f t="shared" si="300"/>
        <v>236.684285714286</v>
      </c>
      <c r="U2588">
        <f t="shared" si="293"/>
        <v>334.6</v>
      </c>
      <c r="V2588">
        <f t="shared" si="299"/>
        <v>27.8833333333333</v>
      </c>
      <c r="W2588">
        <f t="shared" si="296"/>
        <v>1354.82666666667</v>
      </c>
      <c r="X2588">
        <f t="shared" si="297"/>
        <v>1.30150686758234</v>
      </c>
      <c r="AH2588" t="str">
        <f t="shared" si="298"/>
        <v>3rd Quality</v>
      </c>
      <c r="AJ2588">
        <f>((T2588-X2588)*2)/23.3</f>
        <v>20.2045303731076</v>
      </c>
      <c r="AK2588">
        <f t="shared" si="295"/>
        <v>231003.862857143</v>
      </c>
    </row>
    <row r="2589" spans="1:37">
      <c r="A2589" t="s">
        <v>2655</v>
      </c>
      <c r="B2589">
        <v>43</v>
      </c>
      <c r="C2589" t="s">
        <v>44</v>
      </c>
      <c r="D2589" t="s">
        <v>45</v>
      </c>
      <c r="E2589">
        <v>573</v>
      </c>
      <c r="F2589">
        <v>4</v>
      </c>
      <c r="G2589">
        <v>18</v>
      </c>
      <c r="H2589">
        <v>1724.87</v>
      </c>
      <c r="I2589">
        <v>27334.46</v>
      </c>
      <c r="J2589">
        <v>40</v>
      </c>
      <c r="K2589">
        <v>2</v>
      </c>
      <c r="L2589">
        <v>10.3</v>
      </c>
      <c r="M2589">
        <v>17.1</v>
      </c>
      <c r="N2589" t="s">
        <v>57</v>
      </c>
      <c r="O2589" t="s">
        <v>47</v>
      </c>
      <c r="P2589" t="s">
        <v>54</v>
      </c>
      <c r="R2589">
        <f>SUMIF(A2589:A7588,"C02588",I2589:I7588)</f>
        <v>27334.46</v>
      </c>
      <c r="S2589" s="1">
        <v>3135.36</v>
      </c>
      <c r="T2589">
        <f t="shared" si="300"/>
        <v>683.3615</v>
      </c>
      <c r="U2589">
        <f t="shared" si="293"/>
        <v>684</v>
      </c>
      <c r="V2589">
        <f>U2589</f>
        <v>684</v>
      </c>
      <c r="W2589">
        <f t="shared" si="296"/>
        <v>9686.77666666667</v>
      </c>
      <c r="X2589">
        <f t="shared" si="297"/>
        <v>0.332198948326541</v>
      </c>
      <c r="AH2589" t="str">
        <f t="shared" si="298"/>
        <v>2nd Quality</v>
      </c>
      <c r="AJ2589">
        <f>((T2589-X2589)*2)/10.3</f>
        <v>132.627048747898</v>
      </c>
      <c r="AK2589">
        <f t="shared" si="295"/>
        <v>391566.1395</v>
      </c>
    </row>
    <row r="2590" spans="1:37">
      <c r="A2590" t="s">
        <v>2656</v>
      </c>
      <c r="B2590">
        <v>35</v>
      </c>
      <c r="C2590" t="s">
        <v>50</v>
      </c>
      <c r="D2590" t="s">
        <v>45</v>
      </c>
      <c r="E2590">
        <v>864</v>
      </c>
      <c r="F2590">
        <v>34</v>
      </c>
      <c r="G2590">
        <v>8</v>
      </c>
      <c r="H2590">
        <v>1306.88</v>
      </c>
      <c r="I2590">
        <v>10913.8</v>
      </c>
      <c r="J2590">
        <v>41</v>
      </c>
      <c r="K2590">
        <v>0</v>
      </c>
      <c r="L2590">
        <v>17.2</v>
      </c>
      <c r="M2590">
        <v>16.9</v>
      </c>
      <c r="N2590" t="s">
        <v>61</v>
      </c>
      <c r="O2590" t="s">
        <v>47</v>
      </c>
      <c r="P2590" t="s">
        <v>58</v>
      </c>
      <c r="R2590">
        <f>SUMIF(A2590:A7589,"C02589",I2590:I7589)</f>
        <v>10913.8</v>
      </c>
      <c r="S2590" s="1">
        <v>1504.82</v>
      </c>
      <c r="T2590">
        <f t="shared" si="300"/>
        <v>266.190243902439</v>
      </c>
      <c r="U2590">
        <f t="shared" si="293"/>
        <v>692.9</v>
      </c>
      <c r="V2590">
        <f t="shared" si="299"/>
        <v>57.7416666666667</v>
      </c>
      <c r="W2590">
        <f t="shared" si="296"/>
        <v>4073.89333333333</v>
      </c>
      <c r="X2590">
        <f t="shared" si="297"/>
        <v>0.661116552399608</v>
      </c>
      <c r="AH2590" t="str">
        <f t="shared" si="298"/>
        <v>3rd Quality</v>
      </c>
      <c r="AJ2590">
        <f>((T2590-X2590)*2)/17.2</f>
        <v>30.8754799244232</v>
      </c>
      <c r="AK2590">
        <f t="shared" si="295"/>
        <v>229988.370731707</v>
      </c>
    </row>
    <row r="2591" spans="1:37">
      <c r="A2591" t="s">
        <v>2657</v>
      </c>
      <c r="B2591">
        <v>33</v>
      </c>
      <c r="C2591" t="s">
        <v>44</v>
      </c>
      <c r="D2591" t="s">
        <v>60</v>
      </c>
      <c r="E2591">
        <v>1348</v>
      </c>
      <c r="F2591">
        <v>23</v>
      </c>
      <c r="G2591">
        <v>8</v>
      </c>
      <c r="H2591">
        <v>1134.33</v>
      </c>
      <c r="I2591">
        <v>8043.74</v>
      </c>
      <c r="J2591">
        <v>28</v>
      </c>
      <c r="K2591">
        <v>0</v>
      </c>
      <c r="L2591">
        <v>21.7</v>
      </c>
      <c r="M2591">
        <v>32.2</v>
      </c>
      <c r="N2591" t="s">
        <v>61</v>
      </c>
      <c r="O2591" t="s">
        <v>75</v>
      </c>
      <c r="P2591" t="s">
        <v>58</v>
      </c>
      <c r="R2591">
        <f>SUMIF(A2591:A7590,"C02590",I2591:I7590)</f>
        <v>8043.74</v>
      </c>
      <c r="S2591" s="1">
        <v>106401.23</v>
      </c>
      <c r="T2591">
        <f t="shared" si="300"/>
        <v>287.276428571429</v>
      </c>
      <c r="U2591">
        <f t="shared" si="293"/>
        <v>901.6</v>
      </c>
      <c r="V2591">
        <f t="shared" si="299"/>
        <v>75.1333333333333</v>
      </c>
      <c r="W2591">
        <f t="shared" si="296"/>
        <v>3059.69</v>
      </c>
      <c r="X2591">
        <f t="shared" si="297"/>
        <v>1.1883667010482</v>
      </c>
      <c r="AH2591" t="str">
        <f t="shared" si="298"/>
        <v>3rd Quality</v>
      </c>
      <c r="AJ2591">
        <f>((T2591-X2591)*2)/21.7</f>
        <v>26.3675633060259</v>
      </c>
      <c r="AK2591">
        <f t="shared" si="295"/>
        <v>387248.625714286</v>
      </c>
    </row>
    <row r="2592" spans="1:37">
      <c r="A2592" t="s">
        <v>2658</v>
      </c>
      <c r="B2592">
        <v>37</v>
      </c>
      <c r="C2592" t="s">
        <v>50</v>
      </c>
      <c r="D2592" t="s">
        <v>60</v>
      </c>
      <c r="E2592">
        <v>1356</v>
      </c>
      <c r="F2592">
        <v>80</v>
      </c>
      <c r="G2592">
        <v>3</v>
      </c>
      <c r="H2592">
        <v>1087.62</v>
      </c>
      <c r="I2592">
        <v>3135.36</v>
      </c>
      <c r="J2592">
        <v>33</v>
      </c>
      <c r="K2592">
        <v>0</v>
      </c>
      <c r="L2592">
        <v>30.2</v>
      </c>
      <c r="M2592">
        <v>26.1</v>
      </c>
      <c r="N2592" t="s">
        <v>52</v>
      </c>
      <c r="O2592" t="s">
        <v>53</v>
      </c>
      <c r="P2592" t="s">
        <v>66</v>
      </c>
      <c r="R2592">
        <f>SUMIF(A2592:A7591,"C02591",I2592:I7591)</f>
        <v>3135.36</v>
      </c>
      <c r="S2592" s="1">
        <v>61839.99</v>
      </c>
      <c r="T2592">
        <f t="shared" si="300"/>
        <v>95.0109090909091</v>
      </c>
      <c r="U2592">
        <f t="shared" si="293"/>
        <v>861.3</v>
      </c>
      <c r="V2592">
        <f t="shared" si="299"/>
        <v>71.775</v>
      </c>
      <c r="W2592">
        <f t="shared" si="296"/>
        <v>1407.99333333333</v>
      </c>
      <c r="X2592">
        <f t="shared" si="297"/>
        <v>1.24675897831963</v>
      </c>
      <c r="AH2592" t="str">
        <f t="shared" si="298"/>
        <v>3rd Quality</v>
      </c>
      <c r="AJ2592">
        <f>((T2592-X2592)*2)/30.2</f>
        <v>6.20954636507215</v>
      </c>
      <c r="AK2592">
        <f t="shared" si="295"/>
        <v>128834.792727273</v>
      </c>
    </row>
    <row r="2593" spans="1:37">
      <c r="A2593" t="s">
        <v>2659</v>
      </c>
      <c r="B2593">
        <v>35</v>
      </c>
      <c r="C2593" t="s">
        <v>44</v>
      </c>
      <c r="D2593" t="s">
        <v>60</v>
      </c>
      <c r="E2593">
        <v>424</v>
      </c>
      <c r="F2593">
        <v>47</v>
      </c>
      <c r="G2593">
        <v>1</v>
      </c>
      <c r="H2593">
        <v>1554.7</v>
      </c>
      <c r="I2593">
        <v>1504.82</v>
      </c>
      <c r="J2593">
        <v>5</v>
      </c>
      <c r="K2593">
        <v>0</v>
      </c>
      <c r="L2593">
        <v>8.9</v>
      </c>
      <c r="M2593">
        <v>41.5</v>
      </c>
      <c r="N2593" t="s">
        <v>78</v>
      </c>
      <c r="O2593" t="s">
        <v>47</v>
      </c>
      <c r="P2593" t="s">
        <v>68</v>
      </c>
      <c r="R2593">
        <f>SUMIF(A2593:A7592,"C02592",I2593:I7592)</f>
        <v>1504.82</v>
      </c>
      <c r="S2593" s="1">
        <v>21480.65</v>
      </c>
      <c r="T2593">
        <f t="shared" si="300"/>
        <v>300.964</v>
      </c>
      <c r="U2593">
        <f t="shared" si="293"/>
        <v>207.5</v>
      </c>
      <c r="V2593">
        <f t="shared" si="299"/>
        <v>17.2916666666667</v>
      </c>
      <c r="W2593">
        <f t="shared" si="296"/>
        <v>1020.17333333333</v>
      </c>
      <c r="X2593">
        <f t="shared" si="297"/>
        <v>0.272721425355374</v>
      </c>
      <c r="AH2593" t="str">
        <f t="shared" si="298"/>
        <v>3rd Quality</v>
      </c>
      <c r="AJ2593">
        <f>((T2593-X2593)*2)/8.9</f>
        <v>67.5710738369988</v>
      </c>
      <c r="AK2593">
        <f t="shared" si="295"/>
        <v>127608.736</v>
      </c>
    </row>
    <row r="2594" spans="1:37">
      <c r="A2594" t="s">
        <v>2660</v>
      </c>
      <c r="B2594">
        <v>18</v>
      </c>
      <c r="C2594" t="s">
        <v>50</v>
      </c>
      <c r="D2594" t="s">
        <v>45</v>
      </c>
      <c r="E2594">
        <v>406</v>
      </c>
      <c r="F2594">
        <v>9</v>
      </c>
      <c r="G2594">
        <v>7</v>
      </c>
      <c r="H2594">
        <v>14796.03</v>
      </c>
      <c r="I2594">
        <v>106401.23</v>
      </c>
      <c r="J2594">
        <v>55</v>
      </c>
      <c r="K2594">
        <v>0</v>
      </c>
      <c r="L2594">
        <v>0.5</v>
      </c>
      <c r="M2594">
        <v>24.7</v>
      </c>
      <c r="N2594" t="s">
        <v>63</v>
      </c>
      <c r="O2594" t="s">
        <v>53</v>
      </c>
      <c r="P2594" t="s">
        <v>66</v>
      </c>
      <c r="R2594">
        <f>SUMIF(A2594:A7593,"C02593",I2594:I7593)</f>
        <v>106401.23</v>
      </c>
      <c r="S2594" s="1">
        <v>1121.25</v>
      </c>
      <c r="T2594">
        <f t="shared" si="300"/>
        <v>1934.56781818182</v>
      </c>
      <c r="U2594">
        <f t="shared" ref="U2594:U2657" si="301">J2594*M2594</f>
        <v>1358.5</v>
      </c>
      <c r="V2594">
        <f t="shared" si="299"/>
        <v>113.208333333333</v>
      </c>
      <c r="W2594">
        <f t="shared" si="296"/>
        <v>40399.42</v>
      </c>
      <c r="X2594">
        <f t="shared" si="297"/>
        <v>0.027439792971493</v>
      </c>
      <c r="AH2594" t="str">
        <f t="shared" si="298"/>
        <v>3rd Quality</v>
      </c>
      <c r="AJ2594">
        <f>((T2594-X2594)*2)/0.5</f>
        <v>7738.16151355539</v>
      </c>
      <c r="AK2594">
        <f t="shared" si="295"/>
        <v>785434.534181818</v>
      </c>
    </row>
    <row r="2595" spans="1:37">
      <c r="A2595" t="s">
        <v>2661</v>
      </c>
      <c r="B2595">
        <v>36</v>
      </c>
      <c r="C2595" t="s">
        <v>44</v>
      </c>
      <c r="D2595" t="s">
        <v>60</v>
      </c>
      <c r="E2595">
        <v>702</v>
      </c>
      <c r="F2595">
        <v>10</v>
      </c>
      <c r="G2595">
        <v>21</v>
      </c>
      <c r="H2595">
        <v>2764.04</v>
      </c>
      <c r="I2595">
        <v>61839.99</v>
      </c>
      <c r="J2595">
        <v>70</v>
      </c>
      <c r="K2595">
        <v>1</v>
      </c>
      <c r="L2595">
        <v>8.1</v>
      </c>
      <c r="M2595">
        <v>27</v>
      </c>
      <c r="N2595" t="s">
        <v>57</v>
      </c>
      <c r="O2595" t="s">
        <v>47</v>
      </c>
      <c r="P2595" t="s">
        <v>48</v>
      </c>
      <c r="R2595">
        <f>SUMIF(A2595:A7594,"C02594",I2595:I7594)</f>
        <v>61839.99</v>
      </c>
      <c r="S2595" s="1">
        <v>46505.4</v>
      </c>
      <c r="T2595">
        <f t="shared" si="300"/>
        <v>883.428428571429</v>
      </c>
      <c r="U2595">
        <f t="shared" si="301"/>
        <v>1890</v>
      </c>
      <c r="V2595">
        <f>U2595</f>
        <v>1890</v>
      </c>
      <c r="W2595">
        <f t="shared" si="296"/>
        <v>21535.01</v>
      </c>
      <c r="X2595">
        <f t="shared" si="297"/>
        <v>0.253976064022228</v>
      </c>
      <c r="AH2595" t="str">
        <f t="shared" si="298"/>
        <v>2nd Quality</v>
      </c>
      <c r="AJ2595">
        <f>((T2595-X2595)*2)/8.1</f>
        <v>218.067766051212</v>
      </c>
      <c r="AK2595">
        <f t="shared" si="295"/>
        <v>620166.756857143</v>
      </c>
    </row>
    <row r="2596" spans="1:37">
      <c r="A2596" t="s">
        <v>2662</v>
      </c>
      <c r="B2596">
        <v>42</v>
      </c>
      <c r="C2596" t="s">
        <v>44</v>
      </c>
      <c r="D2596" t="s">
        <v>45</v>
      </c>
      <c r="E2596">
        <v>1188</v>
      </c>
      <c r="F2596">
        <v>18</v>
      </c>
      <c r="G2596">
        <v>10</v>
      </c>
      <c r="H2596">
        <v>1994.05</v>
      </c>
      <c r="I2596">
        <v>21480.65</v>
      </c>
      <c r="J2596">
        <v>80</v>
      </c>
      <c r="K2596">
        <v>0</v>
      </c>
      <c r="L2596">
        <v>21.3</v>
      </c>
      <c r="M2596">
        <v>40.8</v>
      </c>
      <c r="N2596" t="s">
        <v>61</v>
      </c>
      <c r="O2596" t="s">
        <v>47</v>
      </c>
      <c r="P2596" t="s">
        <v>58</v>
      </c>
      <c r="R2596">
        <f>SUMIF(A2596:A7595,"C02595",I2596:I7595)</f>
        <v>21480.65</v>
      </c>
      <c r="S2596" s="1">
        <v>7708.74</v>
      </c>
      <c r="T2596">
        <f t="shared" si="300"/>
        <v>268.508125</v>
      </c>
      <c r="U2596">
        <f t="shared" si="301"/>
        <v>3264</v>
      </c>
      <c r="V2596">
        <f>U2596/12</f>
        <v>272</v>
      </c>
      <c r="W2596">
        <f t="shared" si="296"/>
        <v>7825.23333333333</v>
      </c>
      <c r="X2596">
        <f t="shared" si="297"/>
        <v>0.595772422958301</v>
      </c>
      <c r="AH2596" t="str">
        <f t="shared" si="298"/>
        <v>2nd Quality</v>
      </c>
      <c r="AJ2596">
        <f>((T2596-X2596)*2)/21.3</f>
        <v>25.1560894438537</v>
      </c>
      <c r="AK2596">
        <f t="shared" si="295"/>
        <v>318987.6525</v>
      </c>
    </row>
    <row r="2597" spans="1:37">
      <c r="A2597" t="s">
        <v>2663</v>
      </c>
      <c r="B2597">
        <v>41</v>
      </c>
      <c r="C2597" t="s">
        <v>50</v>
      </c>
      <c r="D2597" t="s">
        <v>45</v>
      </c>
      <c r="E2597">
        <v>1224</v>
      </c>
      <c r="F2597">
        <v>111</v>
      </c>
      <c r="G2597">
        <v>1</v>
      </c>
      <c r="H2597">
        <v>1183.71</v>
      </c>
      <c r="I2597">
        <v>1121.25</v>
      </c>
      <c r="J2597">
        <v>9</v>
      </c>
      <c r="K2597">
        <v>0</v>
      </c>
      <c r="L2597">
        <v>7</v>
      </c>
      <c r="M2597">
        <v>23.7</v>
      </c>
      <c r="N2597" t="s">
        <v>57</v>
      </c>
      <c r="O2597" t="s">
        <v>47</v>
      </c>
      <c r="P2597" t="s">
        <v>58</v>
      </c>
      <c r="R2597">
        <f>SUMIF(A2597:A7596,"C02596",I2597:I7596)</f>
        <v>1121.25</v>
      </c>
      <c r="S2597" s="1">
        <v>985.84</v>
      </c>
      <c r="T2597">
        <f t="shared" si="300"/>
        <v>124.583333333333</v>
      </c>
      <c r="U2597">
        <f t="shared" si="301"/>
        <v>213.3</v>
      </c>
      <c r="V2597">
        <f t="shared" si="299"/>
        <v>17.775</v>
      </c>
      <c r="W2597">
        <f t="shared" si="296"/>
        <v>768.653333333333</v>
      </c>
      <c r="X2597">
        <f t="shared" si="297"/>
        <v>1.0340370529944</v>
      </c>
      <c r="AH2597" t="str">
        <f t="shared" si="298"/>
        <v>3rd Quality</v>
      </c>
      <c r="AJ2597">
        <f>((T2597-X2597)*2)/7</f>
        <v>35.2997989372396</v>
      </c>
      <c r="AK2597">
        <f t="shared" si="295"/>
        <v>152490</v>
      </c>
    </row>
    <row r="2598" spans="1:37">
      <c r="A2598" t="s">
        <v>2664</v>
      </c>
      <c r="B2598">
        <v>24</v>
      </c>
      <c r="C2598" t="s">
        <v>44</v>
      </c>
      <c r="D2598" t="s">
        <v>60</v>
      </c>
      <c r="E2598">
        <v>941</v>
      </c>
      <c r="F2598">
        <v>8</v>
      </c>
      <c r="G2598">
        <v>28</v>
      </c>
      <c r="H2598">
        <v>1807.39</v>
      </c>
      <c r="I2598">
        <v>46505.4</v>
      </c>
      <c r="J2598">
        <v>235</v>
      </c>
      <c r="K2598">
        <v>0</v>
      </c>
      <c r="L2598">
        <v>9</v>
      </c>
      <c r="M2598">
        <v>29.4</v>
      </c>
      <c r="N2598" t="s">
        <v>52</v>
      </c>
      <c r="O2598" t="s">
        <v>47</v>
      </c>
      <c r="P2598" t="s">
        <v>68</v>
      </c>
      <c r="R2598">
        <f>SUMIF(A2598:A7597,"C02597",I2598:I7597)</f>
        <v>46505.4</v>
      </c>
      <c r="S2598" s="1">
        <v>2281.78</v>
      </c>
      <c r="T2598">
        <f t="shared" si="300"/>
        <v>197.895319148936</v>
      </c>
      <c r="U2598">
        <f t="shared" si="301"/>
        <v>6909</v>
      </c>
      <c r="V2598">
        <f t="shared" si="299"/>
        <v>575.75</v>
      </c>
      <c r="W2598">
        <f t="shared" si="296"/>
        <v>16104.5966666667</v>
      </c>
      <c r="X2598">
        <f t="shared" si="297"/>
        <v>0.520640260264802</v>
      </c>
      <c r="AH2598" t="str">
        <f t="shared" si="298"/>
        <v>1st Quality</v>
      </c>
      <c r="AJ2598">
        <f>((T2598-X2598)*2)/9</f>
        <v>43.861039753038</v>
      </c>
      <c r="AK2598">
        <f t="shared" si="295"/>
        <v>186219.495319149</v>
      </c>
    </row>
    <row r="2599" spans="1:37">
      <c r="A2599" t="s">
        <v>2665</v>
      </c>
      <c r="B2599">
        <v>41</v>
      </c>
      <c r="C2599" t="s">
        <v>44</v>
      </c>
      <c r="D2599" t="s">
        <v>51</v>
      </c>
      <c r="E2599">
        <v>988</v>
      </c>
      <c r="F2599">
        <v>49</v>
      </c>
      <c r="G2599">
        <v>7</v>
      </c>
      <c r="H2599">
        <v>987.32</v>
      </c>
      <c r="I2599">
        <v>7708.74</v>
      </c>
      <c r="J2599">
        <v>21</v>
      </c>
      <c r="K2599">
        <v>0</v>
      </c>
      <c r="L2599">
        <v>22.3</v>
      </c>
      <c r="M2599">
        <v>37.7</v>
      </c>
      <c r="N2599" t="s">
        <v>52</v>
      </c>
      <c r="O2599" t="s">
        <v>47</v>
      </c>
      <c r="P2599" t="s">
        <v>58</v>
      </c>
      <c r="R2599">
        <f>SUMIF(A2599:A7598,"C02598",I2599:I7598)</f>
        <v>7708.74</v>
      </c>
      <c r="S2599" s="1">
        <v>12580.61</v>
      </c>
      <c r="T2599">
        <f t="shared" si="300"/>
        <v>367.082857142857</v>
      </c>
      <c r="U2599">
        <f t="shared" si="301"/>
        <v>791.7</v>
      </c>
      <c r="V2599">
        <f t="shared" si="299"/>
        <v>65.975</v>
      </c>
      <c r="W2599">
        <f t="shared" si="296"/>
        <v>2899.02</v>
      </c>
      <c r="X2599">
        <f t="shared" si="297"/>
        <v>1.00068873313617</v>
      </c>
      <c r="AH2599" t="str">
        <f t="shared" si="298"/>
        <v>3rd Quality</v>
      </c>
      <c r="AJ2599">
        <f>((T2599-X2599)*2)/22.3</f>
        <v>32.8324814717238</v>
      </c>
      <c r="AK2599">
        <f t="shared" si="295"/>
        <v>362677.862857143</v>
      </c>
    </row>
    <row r="2600" spans="1:37">
      <c r="A2600" t="s">
        <v>2666</v>
      </c>
      <c r="B2600">
        <v>24</v>
      </c>
      <c r="C2600" t="s">
        <v>50</v>
      </c>
      <c r="D2600" t="s">
        <v>60</v>
      </c>
      <c r="E2600">
        <v>884</v>
      </c>
      <c r="F2600">
        <v>365</v>
      </c>
      <c r="G2600">
        <v>1</v>
      </c>
      <c r="H2600">
        <v>1107.06</v>
      </c>
      <c r="I2600">
        <v>985.84</v>
      </c>
      <c r="J2600">
        <v>14</v>
      </c>
      <c r="K2600">
        <v>0</v>
      </c>
      <c r="L2600">
        <v>23.4</v>
      </c>
      <c r="M2600">
        <v>22.9</v>
      </c>
      <c r="N2600" t="s">
        <v>81</v>
      </c>
      <c r="O2600" t="s">
        <v>47</v>
      </c>
      <c r="P2600" t="s">
        <v>58</v>
      </c>
      <c r="R2600">
        <f>SUMIF(A2600:A7599,"C02599",I2600:I7599)</f>
        <v>985.84</v>
      </c>
      <c r="S2600" s="1">
        <v>4596.14</v>
      </c>
      <c r="T2600">
        <f t="shared" si="300"/>
        <v>70.4171428571429</v>
      </c>
      <c r="U2600">
        <f t="shared" si="301"/>
        <v>320.6</v>
      </c>
      <c r="V2600">
        <f t="shared" si="299"/>
        <v>26.7166666666667</v>
      </c>
      <c r="W2600">
        <f t="shared" si="296"/>
        <v>697.966666666667</v>
      </c>
      <c r="X2600">
        <f t="shared" si="297"/>
        <v>0.798511372464004</v>
      </c>
      <c r="AH2600" t="str">
        <f t="shared" si="298"/>
        <v>3rd Quality</v>
      </c>
      <c r="AJ2600">
        <f>((T2600-X2600)*2)/23.4</f>
        <v>5.95031038330589</v>
      </c>
      <c r="AK2600">
        <f t="shared" si="295"/>
        <v>62248.7542857143</v>
      </c>
    </row>
    <row r="2601" spans="1:37">
      <c r="A2601" t="s">
        <v>2667</v>
      </c>
      <c r="B2601">
        <v>18</v>
      </c>
      <c r="C2601" t="s">
        <v>50</v>
      </c>
      <c r="D2601" t="s">
        <v>60</v>
      </c>
      <c r="E2601">
        <v>830</v>
      </c>
      <c r="F2601">
        <v>36</v>
      </c>
      <c r="G2601">
        <v>2</v>
      </c>
      <c r="H2601">
        <v>1060.98</v>
      </c>
      <c r="I2601">
        <v>2281.78</v>
      </c>
      <c r="J2601">
        <v>18</v>
      </c>
      <c r="K2601">
        <v>1</v>
      </c>
      <c r="L2601">
        <v>16.3</v>
      </c>
      <c r="M2601">
        <v>33.2</v>
      </c>
      <c r="N2601" t="s">
        <v>78</v>
      </c>
      <c r="O2601" t="s">
        <v>47</v>
      </c>
      <c r="P2601" t="s">
        <v>58</v>
      </c>
      <c r="R2601">
        <f>SUMIF(A2601:A7600,"C02600",I2601:I7600)</f>
        <v>2281.78</v>
      </c>
      <c r="S2601" s="1">
        <v>11784.89</v>
      </c>
      <c r="T2601">
        <f t="shared" si="300"/>
        <v>126.765555555556</v>
      </c>
      <c r="U2601">
        <f t="shared" si="301"/>
        <v>597.6</v>
      </c>
      <c r="V2601">
        <f>U2601</f>
        <v>597.6</v>
      </c>
      <c r="W2601">
        <f t="shared" si="296"/>
        <v>1114.58666666667</v>
      </c>
      <c r="X2601">
        <f t="shared" si="297"/>
        <v>0.782295613489415</v>
      </c>
      <c r="AH2601" t="str">
        <f t="shared" si="298"/>
        <v>3rd Quality</v>
      </c>
      <c r="AJ2601">
        <f>((T2601-X2601)*2)/16.3</f>
        <v>15.458068704548</v>
      </c>
      <c r="AK2601">
        <f t="shared" si="295"/>
        <v>105215.411111111</v>
      </c>
    </row>
    <row r="2602" spans="1:37">
      <c r="A2602" t="s">
        <v>2668</v>
      </c>
      <c r="B2602">
        <v>18</v>
      </c>
      <c r="C2602" t="s">
        <v>44</v>
      </c>
      <c r="D2602" t="s">
        <v>60</v>
      </c>
      <c r="E2602">
        <v>506</v>
      </c>
      <c r="F2602">
        <v>22</v>
      </c>
      <c r="G2602">
        <v>9</v>
      </c>
      <c r="H2602">
        <v>1579.79</v>
      </c>
      <c r="I2602">
        <v>12580.61</v>
      </c>
      <c r="J2602">
        <v>62</v>
      </c>
      <c r="K2602">
        <v>0</v>
      </c>
      <c r="L2602">
        <v>18.6</v>
      </c>
      <c r="M2602">
        <v>24.8</v>
      </c>
      <c r="N2602" t="s">
        <v>46</v>
      </c>
      <c r="O2602" t="s">
        <v>47</v>
      </c>
      <c r="P2602" t="s">
        <v>58</v>
      </c>
      <c r="R2602">
        <f>SUMIF(A2602:A7601,"C02601",I2602:I7601)</f>
        <v>12580.61</v>
      </c>
      <c r="S2602" s="1">
        <v>1033.12</v>
      </c>
      <c r="T2602">
        <f t="shared" si="300"/>
        <v>202.913064516129</v>
      </c>
      <c r="U2602">
        <f t="shared" si="301"/>
        <v>1537.6</v>
      </c>
      <c r="V2602">
        <f t="shared" si="299"/>
        <v>128.133333333333</v>
      </c>
      <c r="W2602">
        <f t="shared" si="296"/>
        <v>4720.46666666667</v>
      </c>
      <c r="X2602">
        <f t="shared" si="297"/>
        <v>0.32029573550915</v>
      </c>
      <c r="AH2602" t="str">
        <f t="shared" si="298"/>
        <v>3rd Quality</v>
      </c>
      <c r="AJ2602">
        <f>((T2602-X2602)*2)/18.6</f>
        <v>21.7841686860882</v>
      </c>
      <c r="AK2602">
        <f t="shared" si="295"/>
        <v>102674.010645161</v>
      </c>
    </row>
    <row r="2603" spans="1:37">
      <c r="A2603" t="s">
        <v>2669</v>
      </c>
      <c r="B2603">
        <v>18</v>
      </c>
      <c r="C2603" t="s">
        <v>44</v>
      </c>
      <c r="D2603" t="s">
        <v>45</v>
      </c>
      <c r="E2603">
        <v>845</v>
      </c>
      <c r="F2603">
        <v>104</v>
      </c>
      <c r="G2603">
        <v>6</v>
      </c>
      <c r="H2603">
        <v>768.77</v>
      </c>
      <c r="I2603">
        <v>4596.14</v>
      </c>
      <c r="J2603">
        <v>29</v>
      </c>
      <c r="K2603">
        <v>0</v>
      </c>
      <c r="L2603">
        <v>33.8</v>
      </c>
      <c r="M2603">
        <v>34.2</v>
      </c>
      <c r="N2603" t="s">
        <v>46</v>
      </c>
      <c r="O2603" t="s">
        <v>47</v>
      </c>
      <c r="P2603" t="s">
        <v>58</v>
      </c>
      <c r="R2603">
        <f>SUMIF(A2603:A7602,"C02602",I2603:I7602)</f>
        <v>4596.14</v>
      </c>
      <c r="S2603" s="1">
        <v>41101.64</v>
      </c>
      <c r="T2603">
        <f t="shared" si="300"/>
        <v>158.487586206897</v>
      </c>
      <c r="U2603">
        <f t="shared" si="301"/>
        <v>991.8</v>
      </c>
      <c r="V2603">
        <f t="shared" si="299"/>
        <v>82.65</v>
      </c>
      <c r="W2603">
        <f t="shared" si="296"/>
        <v>1788.63666666667</v>
      </c>
      <c r="X2603">
        <f t="shared" si="297"/>
        <v>1.09915839587913</v>
      </c>
      <c r="AH2603" t="str">
        <f t="shared" si="298"/>
        <v>3rd Quality</v>
      </c>
      <c r="AJ2603">
        <f>((T2603-X2603)*2)/33.8</f>
        <v>9.31292472254544</v>
      </c>
      <c r="AK2603">
        <f t="shared" si="295"/>
        <v>133922.010344828</v>
      </c>
    </row>
    <row r="2604" spans="1:37">
      <c r="A2604" t="s">
        <v>2670</v>
      </c>
      <c r="B2604">
        <v>51</v>
      </c>
      <c r="C2604" t="s">
        <v>44</v>
      </c>
      <c r="D2604" t="s">
        <v>60</v>
      </c>
      <c r="E2604">
        <v>1444</v>
      </c>
      <c r="F2604">
        <v>48</v>
      </c>
      <c r="G2604">
        <v>8</v>
      </c>
      <c r="H2604">
        <v>1424.73</v>
      </c>
      <c r="I2604">
        <v>11784.89</v>
      </c>
      <c r="J2604">
        <v>21</v>
      </c>
      <c r="K2604">
        <v>0</v>
      </c>
      <c r="L2604">
        <v>29.2</v>
      </c>
      <c r="M2604">
        <v>47.1</v>
      </c>
      <c r="N2604" t="s">
        <v>46</v>
      </c>
      <c r="O2604" t="s">
        <v>47</v>
      </c>
      <c r="P2604" t="s">
        <v>58</v>
      </c>
      <c r="R2604">
        <f>SUMIF(A2604:A7603,"C02603",I2604:I7603)</f>
        <v>11784.89</v>
      </c>
      <c r="S2604" s="1">
        <v>66901.74</v>
      </c>
      <c r="T2604">
        <f t="shared" si="300"/>
        <v>561.185238095238</v>
      </c>
      <c r="U2604">
        <f t="shared" si="301"/>
        <v>989.1</v>
      </c>
      <c r="V2604">
        <f t="shared" si="299"/>
        <v>82.425</v>
      </c>
      <c r="W2604">
        <f t="shared" si="296"/>
        <v>4403.54</v>
      </c>
      <c r="X2604">
        <f t="shared" si="297"/>
        <v>1.01352536971917</v>
      </c>
      <c r="AH2604" t="str">
        <f t="shared" si="298"/>
        <v>3rd Quality</v>
      </c>
      <c r="AJ2604">
        <f>((T2604-X2604)*2)/29.2</f>
        <v>38.3679255291451</v>
      </c>
      <c r="AK2604">
        <f t="shared" si="295"/>
        <v>810351.483809524</v>
      </c>
    </row>
    <row r="2605" spans="1:37">
      <c r="A2605" t="s">
        <v>2671</v>
      </c>
      <c r="B2605">
        <v>35</v>
      </c>
      <c r="C2605" t="s">
        <v>50</v>
      </c>
      <c r="D2605" t="s">
        <v>51</v>
      </c>
      <c r="E2605">
        <v>918</v>
      </c>
      <c r="F2605">
        <v>156</v>
      </c>
      <c r="G2605">
        <v>1</v>
      </c>
      <c r="H2605">
        <v>1038.68</v>
      </c>
      <c r="I2605">
        <v>1033.12</v>
      </c>
      <c r="J2605">
        <v>15</v>
      </c>
      <c r="K2605">
        <v>0</v>
      </c>
      <c r="L2605">
        <v>18.7</v>
      </c>
      <c r="M2605">
        <v>34.9</v>
      </c>
      <c r="N2605" t="s">
        <v>52</v>
      </c>
      <c r="O2605" t="s">
        <v>47</v>
      </c>
      <c r="P2605" t="s">
        <v>58</v>
      </c>
      <c r="R2605">
        <f>SUMIF(A2605:A7604,"C02604",I2605:I7604)</f>
        <v>1033.12</v>
      </c>
      <c r="S2605" s="1">
        <v>44085.1</v>
      </c>
      <c r="T2605">
        <f t="shared" si="300"/>
        <v>68.8746666666667</v>
      </c>
      <c r="U2605">
        <f t="shared" si="301"/>
        <v>523.5</v>
      </c>
      <c r="V2605">
        <f t="shared" si="299"/>
        <v>43.625</v>
      </c>
      <c r="W2605">
        <f t="shared" si="296"/>
        <v>690.933333333333</v>
      </c>
      <c r="X2605">
        <f t="shared" si="297"/>
        <v>0.883814071706396</v>
      </c>
      <c r="AH2605" t="str">
        <f t="shared" si="298"/>
        <v>3rd Quality</v>
      </c>
      <c r="AJ2605">
        <f>((T2605-X2605)*2)/18.7</f>
        <v>7.27174894063747</v>
      </c>
      <c r="AK2605">
        <f t="shared" si="295"/>
        <v>63226.944</v>
      </c>
    </row>
    <row r="2606" spans="1:37">
      <c r="A2606" t="s">
        <v>2672</v>
      </c>
      <c r="B2606">
        <v>18</v>
      </c>
      <c r="C2606" t="s">
        <v>50</v>
      </c>
      <c r="D2606" t="s">
        <v>60</v>
      </c>
      <c r="E2606">
        <v>1018</v>
      </c>
      <c r="F2606">
        <v>12</v>
      </c>
      <c r="G2606">
        <v>24</v>
      </c>
      <c r="H2606">
        <v>1686.38</v>
      </c>
      <c r="I2606">
        <v>41101.64</v>
      </c>
      <c r="J2606">
        <v>199</v>
      </c>
      <c r="K2606">
        <v>0</v>
      </c>
      <c r="L2606">
        <v>4.7</v>
      </c>
      <c r="M2606">
        <v>66.1</v>
      </c>
      <c r="N2606" t="s">
        <v>61</v>
      </c>
      <c r="O2606" t="s">
        <v>47</v>
      </c>
      <c r="P2606" t="s">
        <v>66</v>
      </c>
      <c r="R2606">
        <f>SUMIF(A2606:A7605,"C02605",I2606:I7605)</f>
        <v>41101.64</v>
      </c>
      <c r="S2606" s="1">
        <v>9883.34</v>
      </c>
      <c r="T2606">
        <f t="shared" si="300"/>
        <v>206.540904522613</v>
      </c>
      <c r="U2606">
        <f t="shared" si="301"/>
        <v>13153.9</v>
      </c>
      <c r="V2606">
        <f t="shared" si="299"/>
        <v>1096.15833333333</v>
      </c>
      <c r="W2606">
        <f t="shared" si="296"/>
        <v>14263.0066666667</v>
      </c>
      <c r="X2606">
        <f t="shared" si="297"/>
        <v>0.603659910577687</v>
      </c>
      <c r="AH2606" t="str">
        <f t="shared" si="298"/>
        <v>1st Quality</v>
      </c>
      <c r="AJ2606">
        <f>((T2606-X2606)*2)/4.7</f>
        <v>87.6328700476746</v>
      </c>
      <c r="AK2606">
        <f t="shared" si="295"/>
        <v>210258.64080402</v>
      </c>
    </row>
    <row r="2607" spans="1:37">
      <c r="A2607" t="s">
        <v>2673</v>
      </c>
      <c r="B2607">
        <v>43</v>
      </c>
      <c r="C2607" t="s">
        <v>44</v>
      </c>
      <c r="D2607" t="s">
        <v>60</v>
      </c>
      <c r="E2607">
        <v>1455</v>
      </c>
      <c r="F2607">
        <v>5</v>
      </c>
      <c r="G2607">
        <v>19</v>
      </c>
      <c r="H2607">
        <v>3973.81</v>
      </c>
      <c r="I2607">
        <v>66901.74</v>
      </c>
      <c r="J2607">
        <v>116</v>
      </c>
      <c r="K2607">
        <v>1</v>
      </c>
      <c r="L2607">
        <v>0</v>
      </c>
      <c r="M2607">
        <v>45.9</v>
      </c>
      <c r="N2607" t="s">
        <v>78</v>
      </c>
      <c r="O2607" t="s">
        <v>47</v>
      </c>
      <c r="P2607" t="s">
        <v>58</v>
      </c>
      <c r="R2607">
        <f>SUMIF(A2607:A7606,"C02606",I2607:I7606)</f>
        <v>66901.74</v>
      </c>
      <c r="S2607" s="1">
        <v>2233.61</v>
      </c>
      <c r="T2607">
        <f t="shared" si="300"/>
        <v>576.739137931035</v>
      </c>
      <c r="U2607">
        <f t="shared" si="301"/>
        <v>5324.4</v>
      </c>
      <c r="V2607">
        <f>U2607</f>
        <v>5324.4</v>
      </c>
      <c r="W2607">
        <f t="shared" si="296"/>
        <v>23625.5166666667</v>
      </c>
      <c r="X2607">
        <f t="shared" si="297"/>
        <v>0.366147349772636</v>
      </c>
      <c r="AH2607" t="str">
        <f t="shared" si="298"/>
        <v>2nd Quality</v>
      </c>
      <c r="AJ2607">
        <f>((T2607-X2607)*2)</f>
        <v>1152.74598116252</v>
      </c>
      <c r="AK2607">
        <f t="shared" si="295"/>
        <v>839155.445689655</v>
      </c>
    </row>
    <row r="2608" spans="1:37">
      <c r="A2608" t="s">
        <v>2674</v>
      </c>
      <c r="B2608">
        <v>44</v>
      </c>
      <c r="C2608" t="s">
        <v>50</v>
      </c>
      <c r="D2608" t="s">
        <v>45</v>
      </c>
      <c r="E2608">
        <v>401</v>
      </c>
      <c r="F2608">
        <v>32</v>
      </c>
      <c r="G2608">
        <v>8</v>
      </c>
      <c r="H2608">
        <v>6009.33</v>
      </c>
      <c r="I2608">
        <v>44085.1</v>
      </c>
      <c r="J2608">
        <v>37</v>
      </c>
      <c r="K2608">
        <v>0</v>
      </c>
      <c r="L2608">
        <v>0</v>
      </c>
      <c r="M2608">
        <v>27.6</v>
      </c>
      <c r="N2608" t="s">
        <v>46</v>
      </c>
      <c r="O2608" t="s">
        <v>47</v>
      </c>
      <c r="P2608" t="s">
        <v>58</v>
      </c>
      <c r="R2608">
        <f>SUMIF(A2608:A7607,"C02607",I2608:I7607)</f>
        <v>44085.1</v>
      </c>
      <c r="S2608" s="1">
        <v>19265.07</v>
      </c>
      <c r="T2608">
        <f t="shared" si="300"/>
        <v>1191.48918918919</v>
      </c>
      <c r="U2608">
        <f t="shared" si="301"/>
        <v>1021.2</v>
      </c>
      <c r="V2608">
        <f t="shared" si="299"/>
        <v>85.1</v>
      </c>
      <c r="W2608">
        <f t="shared" si="296"/>
        <v>16698.4766666667</v>
      </c>
      <c r="X2608">
        <f t="shared" si="297"/>
        <v>0.0667295688537657</v>
      </c>
      <c r="AH2608" t="str">
        <f t="shared" si="298"/>
        <v>3rd Quality</v>
      </c>
      <c r="AJ2608">
        <f>((T2608-X2608)*2)</f>
        <v>2382.84491924067</v>
      </c>
      <c r="AK2608">
        <f t="shared" si="295"/>
        <v>477787.164864865</v>
      </c>
    </row>
    <row r="2609" spans="1:37">
      <c r="A2609" t="s">
        <v>2675</v>
      </c>
      <c r="B2609">
        <v>41</v>
      </c>
      <c r="C2609" t="s">
        <v>44</v>
      </c>
      <c r="D2609" t="s">
        <v>45</v>
      </c>
      <c r="E2609">
        <v>1104</v>
      </c>
      <c r="F2609">
        <v>35</v>
      </c>
      <c r="G2609">
        <v>9</v>
      </c>
      <c r="H2609">
        <v>1084.28</v>
      </c>
      <c r="I2609">
        <v>9883.34</v>
      </c>
      <c r="J2609">
        <v>81</v>
      </c>
      <c r="K2609">
        <v>0</v>
      </c>
      <c r="L2609">
        <v>31.8</v>
      </c>
      <c r="M2609">
        <v>36.1</v>
      </c>
      <c r="N2609" t="s">
        <v>61</v>
      </c>
      <c r="O2609" t="s">
        <v>53</v>
      </c>
      <c r="P2609" t="s">
        <v>58</v>
      </c>
      <c r="R2609">
        <f>SUMIF(A2609:A7608,"C02608",I2609:I7608)</f>
        <v>9883.34</v>
      </c>
      <c r="S2609" s="1">
        <v>894.64</v>
      </c>
      <c r="T2609">
        <f t="shared" si="300"/>
        <v>122.016543209877</v>
      </c>
      <c r="U2609">
        <f t="shared" si="301"/>
        <v>2924.1</v>
      </c>
      <c r="V2609">
        <f t="shared" si="299"/>
        <v>243.675</v>
      </c>
      <c r="W2609">
        <f t="shared" si="296"/>
        <v>3656.20666666667</v>
      </c>
      <c r="X2609">
        <f t="shared" si="297"/>
        <v>1.01818718412218</v>
      </c>
      <c r="AH2609" t="str">
        <f t="shared" si="298"/>
        <v>3rd Quality</v>
      </c>
      <c r="AJ2609">
        <f>((T2609-X2609)*2)/31.8</f>
        <v>7.60995949847515</v>
      </c>
      <c r="AK2609">
        <f t="shared" si="295"/>
        <v>134706.263703704</v>
      </c>
    </row>
    <row r="2610" spans="1:37">
      <c r="A2610" t="s">
        <v>2676</v>
      </c>
      <c r="B2610">
        <v>34</v>
      </c>
      <c r="C2610" t="s">
        <v>50</v>
      </c>
      <c r="D2610" t="s">
        <v>45</v>
      </c>
      <c r="E2610">
        <v>647</v>
      </c>
      <c r="F2610">
        <v>29</v>
      </c>
      <c r="G2610">
        <v>5</v>
      </c>
      <c r="H2610">
        <v>414.15</v>
      </c>
      <c r="I2610">
        <v>2233.61</v>
      </c>
      <c r="J2610">
        <v>18</v>
      </c>
      <c r="K2610">
        <v>1</v>
      </c>
      <c r="L2610">
        <v>20.9</v>
      </c>
      <c r="M2610">
        <v>41.2</v>
      </c>
      <c r="N2610" t="s">
        <v>46</v>
      </c>
      <c r="O2610" t="s">
        <v>47</v>
      </c>
      <c r="P2610" t="s">
        <v>66</v>
      </c>
      <c r="R2610">
        <f>SUMIF(A2610:A7609,"C02609",I2610:I7609)</f>
        <v>2233.61</v>
      </c>
      <c r="S2610" s="1">
        <v>1203.68</v>
      </c>
      <c r="T2610">
        <f t="shared" si="300"/>
        <v>124.089444444444</v>
      </c>
      <c r="U2610">
        <f t="shared" si="301"/>
        <v>741.6</v>
      </c>
      <c r="V2610">
        <f>U2610</f>
        <v>741.6</v>
      </c>
      <c r="W2610">
        <f t="shared" si="296"/>
        <v>882.92</v>
      </c>
      <c r="X2610">
        <f t="shared" si="297"/>
        <v>1.56223590486539</v>
      </c>
      <c r="AH2610" t="str">
        <f t="shared" si="298"/>
        <v>3rd Quality</v>
      </c>
      <c r="AJ2610">
        <f>((T2610-X2610)*2)/20.9</f>
        <v>11.7250917262755</v>
      </c>
      <c r="AK2610">
        <f t="shared" si="295"/>
        <v>80285.8705555556</v>
      </c>
    </row>
    <row r="2611" spans="1:37">
      <c r="A2611" t="s">
        <v>2677</v>
      </c>
      <c r="B2611">
        <v>38</v>
      </c>
      <c r="C2611" t="s">
        <v>50</v>
      </c>
      <c r="D2611" t="s">
        <v>45</v>
      </c>
      <c r="E2611">
        <v>901</v>
      </c>
      <c r="F2611">
        <v>17</v>
      </c>
      <c r="G2611">
        <v>11</v>
      </c>
      <c r="H2611">
        <v>1731.25</v>
      </c>
      <c r="I2611">
        <v>19265.07</v>
      </c>
      <c r="J2611">
        <v>29</v>
      </c>
      <c r="K2611">
        <v>0</v>
      </c>
      <c r="L2611">
        <v>24.6</v>
      </c>
      <c r="M2611">
        <v>21.6</v>
      </c>
      <c r="N2611" t="s">
        <v>57</v>
      </c>
      <c r="O2611" t="s">
        <v>47</v>
      </c>
      <c r="P2611" t="s">
        <v>58</v>
      </c>
      <c r="R2611">
        <f>SUMIF(A2611:A7610,"C02610",I2611:I7610)</f>
        <v>19265.07</v>
      </c>
      <c r="S2611" s="1">
        <v>24102.29</v>
      </c>
      <c r="T2611">
        <f t="shared" si="300"/>
        <v>664.31275862069</v>
      </c>
      <c r="U2611">
        <f t="shared" si="301"/>
        <v>626.4</v>
      </c>
      <c r="V2611">
        <f t="shared" si="299"/>
        <v>52.2</v>
      </c>
      <c r="W2611">
        <f t="shared" si="296"/>
        <v>6999.10666666667</v>
      </c>
      <c r="X2611">
        <f t="shared" si="297"/>
        <v>0.52043321299639</v>
      </c>
      <c r="AH2611" t="str">
        <f t="shared" si="298"/>
        <v>2nd Quality</v>
      </c>
      <c r="AJ2611">
        <f>((T2611-X2611)*2)/24.6</f>
        <v>53.9668557242027</v>
      </c>
      <c r="AK2611">
        <f t="shared" si="295"/>
        <v>598545.795517241</v>
      </c>
    </row>
    <row r="2612" spans="1:37">
      <c r="A2612" t="s">
        <v>2678</v>
      </c>
      <c r="B2612">
        <v>24</v>
      </c>
      <c r="C2612" t="s">
        <v>56</v>
      </c>
      <c r="D2612" t="s">
        <v>45</v>
      </c>
      <c r="E2612">
        <v>382</v>
      </c>
      <c r="F2612">
        <v>248</v>
      </c>
      <c r="G2612">
        <v>1</v>
      </c>
      <c r="H2612">
        <v>894.75</v>
      </c>
      <c r="I2612">
        <v>894.64</v>
      </c>
      <c r="J2612">
        <v>17</v>
      </c>
      <c r="K2612">
        <v>0</v>
      </c>
      <c r="L2612">
        <v>19.2</v>
      </c>
      <c r="M2612">
        <v>7.5</v>
      </c>
      <c r="N2612" t="s">
        <v>81</v>
      </c>
      <c r="O2612" t="s">
        <v>53</v>
      </c>
      <c r="P2612" t="s">
        <v>68</v>
      </c>
      <c r="R2612">
        <f>SUMIF(A2612:A7611,"C02611",I2612:I7611)</f>
        <v>894.64</v>
      </c>
      <c r="S2612" s="1">
        <v>3935.82</v>
      </c>
      <c r="T2612">
        <f t="shared" si="300"/>
        <v>52.6258823529412</v>
      </c>
      <c r="U2612">
        <f t="shared" si="301"/>
        <v>127.5</v>
      </c>
      <c r="V2612">
        <f t="shared" si="299"/>
        <v>10.625</v>
      </c>
      <c r="W2612">
        <f t="shared" si="296"/>
        <v>596.796666666667</v>
      </c>
      <c r="X2612">
        <f t="shared" si="297"/>
        <v>0.426934898016206</v>
      </c>
      <c r="AH2612" t="str">
        <f t="shared" si="298"/>
        <v>3rd Quality</v>
      </c>
      <c r="AJ2612">
        <f>((T2612-X2612)*2)/19.2</f>
        <v>5.43739035988802</v>
      </c>
      <c r="AK2612">
        <f t="shared" si="295"/>
        <v>20103.0870588235</v>
      </c>
    </row>
    <row r="2613" spans="1:37">
      <c r="A2613" t="s">
        <v>2679</v>
      </c>
      <c r="B2613">
        <v>39</v>
      </c>
      <c r="C2613" t="s">
        <v>44</v>
      </c>
      <c r="D2613" t="s">
        <v>60</v>
      </c>
      <c r="E2613">
        <v>721</v>
      </c>
      <c r="F2613">
        <v>156</v>
      </c>
      <c r="G2613">
        <v>2</v>
      </c>
      <c r="H2613">
        <v>538.72</v>
      </c>
      <c r="I2613">
        <v>1203.68</v>
      </c>
      <c r="J2613">
        <v>14</v>
      </c>
      <c r="K2613">
        <v>0</v>
      </c>
      <c r="L2613">
        <v>24.3</v>
      </c>
      <c r="M2613">
        <v>25.6</v>
      </c>
      <c r="N2613" t="s">
        <v>63</v>
      </c>
      <c r="O2613" t="s">
        <v>53</v>
      </c>
      <c r="P2613" t="s">
        <v>58</v>
      </c>
      <c r="R2613">
        <f>SUMIF(A2613:A7612,"C02612",I2613:I7612)</f>
        <v>1203.68</v>
      </c>
      <c r="S2613" s="1">
        <v>17112.12</v>
      </c>
      <c r="T2613">
        <f t="shared" si="300"/>
        <v>85.9771428571429</v>
      </c>
      <c r="U2613">
        <f t="shared" si="301"/>
        <v>358.4</v>
      </c>
      <c r="V2613">
        <f t="shared" si="299"/>
        <v>29.8666666666667</v>
      </c>
      <c r="W2613">
        <f t="shared" si="296"/>
        <v>581.133333333333</v>
      </c>
      <c r="X2613">
        <f t="shared" si="297"/>
        <v>1.33835758835759</v>
      </c>
      <c r="AH2613" t="str">
        <f t="shared" si="298"/>
        <v>3rd Quality</v>
      </c>
      <c r="AJ2613">
        <f>((T2613-X2613)*2)/24.3</f>
        <v>6.96615516615517</v>
      </c>
      <c r="AK2613">
        <f t="shared" si="295"/>
        <v>61989.52</v>
      </c>
    </row>
    <row r="2614" spans="1:37">
      <c r="A2614" t="s">
        <v>2680</v>
      </c>
      <c r="B2614">
        <v>35</v>
      </c>
      <c r="C2614" t="s">
        <v>50</v>
      </c>
      <c r="D2614" t="s">
        <v>60</v>
      </c>
      <c r="E2614">
        <v>962</v>
      </c>
      <c r="F2614">
        <v>18</v>
      </c>
      <c r="G2614">
        <v>4</v>
      </c>
      <c r="H2614">
        <v>6189.23</v>
      </c>
      <c r="I2614">
        <v>24102.29</v>
      </c>
      <c r="J2614">
        <v>34</v>
      </c>
      <c r="K2614">
        <v>1</v>
      </c>
      <c r="L2614">
        <v>2.2</v>
      </c>
      <c r="M2614">
        <v>37.7</v>
      </c>
      <c r="N2614" t="s">
        <v>57</v>
      </c>
      <c r="O2614" t="s">
        <v>47</v>
      </c>
      <c r="P2614" t="s">
        <v>58</v>
      </c>
      <c r="R2614">
        <f>SUMIF(A2614:A7613,"C02613",I2614:I7613)</f>
        <v>24102.29</v>
      </c>
      <c r="S2614" s="1">
        <v>41437.19</v>
      </c>
      <c r="T2614">
        <f t="shared" si="300"/>
        <v>708.890882352941</v>
      </c>
      <c r="U2614">
        <f t="shared" si="301"/>
        <v>1281.8</v>
      </c>
      <c r="V2614">
        <f>U2614</f>
        <v>1281.8</v>
      </c>
      <c r="W2614">
        <f t="shared" si="296"/>
        <v>10097.5066666667</v>
      </c>
      <c r="X2614">
        <f t="shared" si="297"/>
        <v>0.155431289514205</v>
      </c>
      <c r="AH2614" t="str">
        <f t="shared" si="298"/>
        <v>2nd Quality</v>
      </c>
      <c r="AJ2614">
        <f>((T2614-X2614)*2)/2.2</f>
        <v>644.304955512206</v>
      </c>
      <c r="AK2614">
        <f t="shared" si="295"/>
        <v>681953.028823529</v>
      </c>
    </row>
    <row r="2615" spans="1:37">
      <c r="A2615" t="s">
        <v>2681</v>
      </c>
      <c r="B2615">
        <v>18</v>
      </c>
      <c r="C2615" t="s">
        <v>50</v>
      </c>
      <c r="D2615" t="s">
        <v>51</v>
      </c>
      <c r="E2615">
        <v>919</v>
      </c>
      <c r="F2615">
        <v>307</v>
      </c>
      <c r="G2615">
        <v>5</v>
      </c>
      <c r="H2615">
        <v>809.41</v>
      </c>
      <c r="I2615">
        <v>3935.82</v>
      </c>
      <c r="J2615">
        <v>42</v>
      </c>
      <c r="K2615">
        <v>0</v>
      </c>
      <c r="L2615">
        <v>38.1</v>
      </c>
      <c r="M2615">
        <v>48</v>
      </c>
      <c r="N2615" t="s">
        <v>63</v>
      </c>
      <c r="O2615" t="s">
        <v>47</v>
      </c>
      <c r="P2615" t="s">
        <v>58</v>
      </c>
      <c r="R2615">
        <f>SUMIF(A2615:A7614,"C02614",I2615:I7614)</f>
        <v>3935.82</v>
      </c>
      <c r="S2615" s="1">
        <v>71663.32</v>
      </c>
      <c r="T2615">
        <f t="shared" si="300"/>
        <v>93.71</v>
      </c>
      <c r="U2615">
        <f t="shared" si="301"/>
        <v>2016</v>
      </c>
      <c r="V2615">
        <f t="shared" si="299"/>
        <v>168</v>
      </c>
      <c r="W2615">
        <f t="shared" si="296"/>
        <v>1582.07666666667</v>
      </c>
      <c r="X2615">
        <f t="shared" si="297"/>
        <v>1.13539491728543</v>
      </c>
      <c r="AH2615" t="str">
        <f t="shared" si="298"/>
        <v>3rd Quality</v>
      </c>
      <c r="AJ2615">
        <f>((T2615-X2615)*2)/38.1</f>
        <v>4.85955932192727</v>
      </c>
      <c r="AK2615">
        <f t="shared" si="295"/>
        <v>86119.49</v>
      </c>
    </row>
    <row r="2616" spans="1:37">
      <c r="A2616" t="s">
        <v>2682</v>
      </c>
      <c r="B2616">
        <v>27</v>
      </c>
      <c r="C2616" t="s">
        <v>56</v>
      </c>
      <c r="D2616" t="s">
        <v>60</v>
      </c>
      <c r="E2616">
        <v>800</v>
      </c>
      <c r="F2616">
        <v>1</v>
      </c>
      <c r="G2616">
        <v>15</v>
      </c>
      <c r="H2616">
        <v>1270.72</v>
      </c>
      <c r="I2616">
        <v>17112.12</v>
      </c>
      <c r="J2616">
        <v>40</v>
      </c>
      <c r="K2616">
        <v>1</v>
      </c>
      <c r="L2616">
        <v>28</v>
      </c>
      <c r="M2616">
        <v>27.4</v>
      </c>
      <c r="N2616" t="s">
        <v>57</v>
      </c>
      <c r="O2616" t="s">
        <v>47</v>
      </c>
      <c r="P2616" t="s">
        <v>58</v>
      </c>
      <c r="R2616">
        <f>SUMIF(A2616:A7615,"C02615",I2616:I7615)</f>
        <v>17112.12</v>
      </c>
      <c r="S2616" s="1">
        <v>2239.49</v>
      </c>
      <c r="T2616">
        <f t="shared" si="300"/>
        <v>427.803</v>
      </c>
      <c r="U2616">
        <f t="shared" si="301"/>
        <v>1096</v>
      </c>
      <c r="V2616">
        <f>U2616</f>
        <v>1096</v>
      </c>
      <c r="W2616">
        <f t="shared" si="296"/>
        <v>6127.94666666667</v>
      </c>
      <c r="X2616">
        <f t="shared" si="297"/>
        <v>0.629564341475699</v>
      </c>
      <c r="AH2616" t="str">
        <f t="shared" si="298"/>
        <v>3rd Quality</v>
      </c>
      <c r="AJ2616">
        <f>((T2616-X2616)*2)/28</f>
        <v>30.5123882613232</v>
      </c>
      <c r="AK2616">
        <f t="shared" si="295"/>
        <v>342242.4</v>
      </c>
    </row>
    <row r="2617" spans="1:37">
      <c r="A2617" t="s">
        <v>2683</v>
      </c>
      <c r="B2617">
        <v>33</v>
      </c>
      <c r="C2617" t="s">
        <v>50</v>
      </c>
      <c r="D2617" t="s">
        <v>60</v>
      </c>
      <c r="E2617">
        <v>1376</v>
      </c>
      <c r="F2617">
        <v>27</v>
      </c>
      <c r="G2617">
        <v>3</v>
      </c>
      <c r="H2617">
        <v>12933.4</v>
      </c>
      <c r="I2617">
        <v>41437.19</v>
      </c>
      <c r="J2617">
        <v>32</v>
      </c>
      <c r="K2617">
        <v>0</v>
      </c>
      <c r="L2617">
        <v>21</v>
      </c>
      <c r="M2617">
        <v>31.5</v>
      </c>
      <c r="N2617" t="s">
        <v>61</v>
      </c>
      <c r="O2617" t="s">
        <v>75</v>
      </c>
      <c r="P2617" t="s">
        <v>58</v>
      </c>
      <c r="R2617">
        <f>SUMIF(A2617:A7616,"C02616",I2617:I7616)</f>
        <v>41437.19</v>
      </c>
      <c r="S2617" s="1">
        <v>1754.7</v>
      </c>
      <c r="T2617">
        <f t="shared" si="300"/>
        <v>1294.9121875</v>
      </c>
      <c r="U2617">
        <f t="shared" si="301"/>
        <v>1008</v>
      </c>
      <c r="V2617">
        <f t="shared" si="299"/>
        <v>84</v>
      </c>
      <c r="W2617">
        <f t="shared" si="296"/>
        <v>18123.8633333333</v>
      </c>
      <c r="X2617">
        <f t="shared" si="297"/>
        <v>0.106391204169051</v>
      </c>
      <c r="AH2617" t="str">
        <f t="shared" si="298"/>
        <v>1st Quality</v>
      </c>
      <c r="AJ2617">
        <f>((T2617-X2617)*2)/21</f>
        <v>123.31483774246</v>
      </c>
      <c r="AK2617">
        <f t="shared" si="295"/>
        <v>1781799.17</v>
      </c>
    </row>
    <row r="2618" spans="1:37">
      <c r="A2618" t="s">
        <v>2684</v>
      </c>
      <c r="B2618">
        <v>18</v>
      </c>
      <c r="C2618" t="s">
        <v>44</v>
      </c>
      <c r="D2618" t="s">
        <v>60</v>
      </c>
      <c r="E2618">
        <v>607</v>
      </c>
      <c r="F2618">
        <v>10</v>
      </c>
      <c r="G2618">
        <v>26</v>
      </c>
      <c r="H2618">
        <v>3075.34</v>
      </c>
      <c r="I2618">
        <v>71663.32</v>
      </c>
      <c r="J2618">
        <v>138</v>
      </c>
      <c r="K2618">
        <v>1</v>
      </c>
      <c r="L2618">
        <v>0</v>
      </c>
      <c r="M2618">
        <v>47.2</v>
      </c>
      <c r="N2618" t="s">
        <v>63</v>
      </c>
      <c r="O2618" t="s">
        <v>47</v>
      </c>
      <c r="P2618" t="s">
        <v>58</v>
      </c>
      <c r="R2618">
        <f>SUMIF(A2618:A7617,"C02617",I2618:I7617)</f>
        <v>71663.32</v>
      </c>
      <c r="S2618" s="1">
        <v>2198.55</v>
      </c>
      <c r="T2618">
        <f t="shared" si="300"/>
        <v>519.299420289855</v>
      </c>
      <c r="U2618">
        <f t="shared" si="301"/>
        <v>6513.6</v>
      </c>
      <c r="V2618">
        <f>U2618</f>
        <v>6513.6</v>
      </c>
      <c r="W2618">
        <f t="shared" si="296"/>
        <v>24913.22</v>
      </c>
      <c r="X2618">
        <f t="shared" si="297"/>
        <v>0.197376550235096</v>
      </c>
      <c r="AH2618" t="str">
        <f t="shared" si="298"/>
        <v>2nd Quality</v>
      </c>
      <c r="AJ2618">
        <f>((T2618-X2618)*2)</f>
        <v>1038.20408747924</v>
      </c>
      <c r="AK2618">
        <f t="shared" si="295"/>
        <v>315214.748115942</v>
      </c>
    </row>
    <row r="2619" spans="1:37">
      <c r="A2619" t="s">
        <v>2685</v>
      </c>
      <c r="B2619">
        <v>30</v>
      </c>
      <c r="C2619" t="s">
        <v>44</v>
      </c>
      <c r="D2619" t="s">
        <v>45</v>
      </c>
      <c r="E2619">
        <v>608</v>
      </c>
      <c r="F2619">
        <v>365</v>
      </c>
      <c r="G2619">
        <v>1</v>
      </c>
      <c r="H2619">
        <v>2453.76</v>
      </c>
      <c r="I2619">
        <v>2239.49</v>
      </c>
      <c r="J2619">
        <v>12</v>
      </c>
      <c r="K2619">
        <v>0</v>
      </c>
      <c r="L2619">
        <v>20.1</v>
      </c>
      <c r="M2619">
        <v>49.4</v>
      </c>
      <c r="N2619" t="s">
        <v>63</v>
      </c>
      <c r="O2619" t="s">
        <v>47</v>
      </c>
      <c r="P2619" t="s">
        <v>58</v>
      </c>
      <c r="R2619">
        <f>SUMIF(A2619:A7618,"C02618",I2619:I7618)</f>
        <v>2239.49</v>
      </c>
      <c r="S2619" s="1">
        <v>1299.94</v>
      </c>
      <c r="T2619">
        <f t="shared" si="300"/>
        <v>186.624166666667</v>
      </c>
      <c r="U2619">
        <f t="shared" si="301"/>
        <v>592.8</v>
      </c>
      <c r="V2619">
        <f>U2619/12</f>
        <v>49.4</v>
      </c>
      <c r="W2619">
        <f t="shared" si="296"/>
        <v>1564.75</v>
      </c>
      <c r="X2619">
        <f t="shared" si="297"/>
        <v>0.247782994261867</v>
      </c>
      <c r="AH2619" t="str">
        <f t="shared" si="298"/>
        <v>3rd Quality</v>
      </c>
      <c r="AJ2619">
        <f>((T2619-X2619)*2)/20.1</f>
        <v>18.5449137982493</v>
      </c>
      <c r="AK2619">
        <f t="shared" si="295"/>
        <v>113467.493333333</v>
      </c>
    </row>
    <row r="2620" spans="1:37">
      <c r="A2620" t="s">
        <v>2686</v>
      </c>
      <c r="B2620">
        <v>24</v>
      </c>
      <c r="C2620" t="s">
        <v>44</v>
      </c>
      <c r="D2620" t="s">
        <v>60</v>
      </c>
      <c r="E2620">
        <v>993</v>
      </c>
      <c r="F2620">
        <v>50</v>
      </c>
      <c r="G2620">
        <v>2</v>
      </c>
      <c r="H2620">
        <v>981.79</v>
      </c>
      <c r="I2620">
        <v>1754.7</v>
      </c>
      <c r="J2620">
        <v>19</v>
      </c>
      <c r="K2620">
        <v>0</v>
      </c>
      <c r="L2620">
        <v>11.7</v>
      </c>
      <c r="M2620">
        <v>32.8</v>
      </c>
      <c r="N2620" t="s">
        <v>57</v>
      </c>
      <c r="O2620" t="s">
        <v>47</v>
      </c>
      <c r="P2620" t="s">
        <v>58</v>
      </c>
      <c r="R2620">
        <f>SUMIF(A2620:A7619,"C0261",I2620:I7619)</f>
        <v>0</v>
      </c>
      <c r="S2620" s="1">
        <v>2686.41</v>
      </c>
      <c r="T2620">
        <f t="shared" si="300"/>
        <v>92.3526315789474</v>
      </c>
      <c r="U2620">
        <f t="shared" si="301"/>
        <v>623.2</v>
      </c>
      <c r="V2620">
        <f t="shared" si="299"/>
        <v>51.9333333333333</v>
      </c>
      <c r="W2620">
        <f t="shared" si="296"/>
        <v>912.496666666667</v>
      </c>
      <c r="X2620">
        <f t="shared" si="297"/>
        <v>1.01141792032919</v>
      </c>
      <c r="AH2620" t="str">
        <f t="shared" si="298"/>
        <v>3rd Quality</v>
      </c>
      <c r="AJ2620">
        <f>((T2620-X2620)*2)/11.7</f>
        <v>15.6138826766869</v>
      </c>
      <c r="AK2620">
        <f t="shared" si="295"/>
        <v>91706.1631578947</v>
      </c>
    </row>
    <row r="2621" spans="1:37">
      <c r="A2621" t="s">
        <v>2687</v>
      </c>
      <c r="B2621">
        <v>18</v>
      </c>
      <c r="C2621" t="s">
        <v>44</v>
      </c>
      <c r="D2621" t="s">
        <v>60</v>
      </c>
      <c r="E2621">
        <v>746</v>
      </c>
      <c r="F2621">
        <v>129</v>
      </c>
      <c r="G2621">
        <v>2</v>
      </c>
      <c r="H2621">
        <v>1186.9</v>
      </c>
      <c r="I2621">
        <v>2198.55</v>
      </c>
      <c r="J2621">
        <v>25</v>
      </c>
      <c r="K2621">
        <v>0</v>
      </c>
      <c r="L2621">
        <v>16.1</v>
      </c>
      <c r="M2621">
        <v>13.7</v>
      </c>
      <c r="N2621" t="s">
        <v>78</v>
      </c>
      <c r="O2621" t="s">
        <v>47</v>
      </c>
      <c r="P2621" t="s">
        <v>58</v>
      </c>
      <c r="R2621">
        <f>SUMIF(A2621:A7620,"C02620",I2621:I7620)</f>
        <v>2198.55</v>
      </c>
      <c r="S2621" s="1">
        <v>27384.96</v>
      </c>
      <c r="T2621">
        <f t="shared" si="300"/>
        <v>87.942</v>
      </c>
      <c r="U2621">
        <f t="shared" si="301"/>
        <v>342.5</v>
      </c>
      <c r="V2621">
        <f t="shared" si="299"/>
        <v>28.5416666666667</v>
      </c>
      <c r="W2621">
        <f t="shared" si="296"/>
        <v>1128.81666666667</v>
      </c>
      <c r="X2621">
        <f t="shared" si="297"/>
        <v>0.628528098407616</v>
      </c>
      <c r="AH2621" t="str">
        <f t="shared" si="298"/>
        <v>3rd Quality</v>
      </c>
      <c r="AJ2621">
        <f>((T2621-X2621)*2)/16.1</f>
        <v>10.8463940250425</v>
      </c>
      <c r="AK2621">
        <f t="shared" si="295"/>
        <v>65604.732</v>
      </c>
    </row>
    <row r="2622" spans="1:37">
      <c r="A2622" t="s">
        <v>2688</v>
      </c>
      <c r="B2622">
        <v>46</v>
      </c>
      <c r="C2622" t="s">
        <v>44</v>
      </c>
      <c r="D2622" t="s">
        <v>45</v>
      </c>
      <c r="E2622">
        <v>676</v>
      </c>
      <c r="F2622">
        <v>131</v>
      </c>
      <c r="G2622">
        <v>1</v>
      </c>
      <c r="H2622">
        <v>1319.29</v>
      </c>
      <c r="I2622">
        <v>1299.94</v>
      </c>
      <c r="J2622">
        <v>10</v>
      </c>
      <c r="K2622">
        <v>0</v>
      </c>
      <c r="L2622">
        <v>14.8</v>
      </c>
      <c r="M2622">
        <v>34.5</v>
      </c>
      <c r="N2622" t="s">
        <v>61</v>
      </c>
      <c r="O2622" t="s">
        <v>47</v>
      </c>
      <c r="P2622" t="s">
        <v>58</v>
      </c>
      <c r="R2622">
        <f>SUMIF(A2622:A7621,"C02621",I2622:I7621)</f>
        <v>1299.94</v>
      </c>
      <c r="S2622" s="1">
        <v>2314.57</v>
      </c>
      <c r="T2622">
        <f t="shared" si="300"/>
        <v>129.994</v>
      </c>
      <c r="U2622">
        <f t="shared" si="301"/>
        <v>345</v>
      </c>
      <c r="V2622">
        <f t="shared" si="299"/>
        <v>28.75</v>
      </c>
      <c r="W2622">
        <f t="shared" si="296"/>
        <v>873.41</v>
      </c>
      <c r="X2622">
        <f t="shared" si="297"/>
        <v>0.512396819501398</v>
      </c>
      <c r="AH2622" t="str">
        <f t="shared" si="298"/>
        <v>3rd Quality</v>
      </c>
      <c r="AJ2622">
        <f>((T2622-X2622)*2)/14.8</f>
        <v>17.4975139433106</v>
      </c>
      <c r="AK2622">
        <f t="shared" si="295"/>
        <v>87875.944</v>
      </c>
    </row>
    <row r="2623" spans="1:37">
      <c r="A2623" t="s">
        <v>2689</v>
      </c>
      <c r="B2623">
        <v>38</v>
      </c>
      <c r="C2623" t="s">
        <v>50</v>
      </c>
      <c r="D2623" t="s">
        <v>60</v>
      </c>
      <c r="E2623">
        <v>440</v>
      </c>
      <c r="F2623">
        <v>365</v>
      </c>
      <c r="G2623">
        <v>1</v>
      </c>
      <c r="H2623">
        <v>3018.17</v>
      </c>
      <c r="I2623">
        <v>2686.41</v>
      </c>
      <c r="J2623">
        <v>13</v>
      </c>
      <c r="K2623">
        <v>0</v>
      </c>
      <c r="L2623">
        <v>8.3</v>
      </c>
      <c r="M2623">
        <v>55.9</v>
      </c>
      <c r="N2623" t="s">
        <v>78</v>
      </c>
      <c r="O2623" t="s">
        <v>47</v>
      </c>
      <c r="P2623" t="s">
        <v>54</v>
      </c>
      <c r="R2623">
        <f>SUMIF(A2623:A7622,"C02622",I2623:I7622)</f>
        <v>2686.41</v>
      </c>
      <c r="S2623" s="1">
        <v>61914.35</v>
      </c>
      <c r="T2623">
        <f t="shared" si="300"/>
        <v>206.646923076923</v>
      </c>
      <c r="U2623">
        <f t="shared" si="301"/>
        <v>726.7</v>
      </c>
      <c r="V2623">
        <f t="shared" si="299"/>
        <v>60.5583333333333</v>
      </c>
      <c r="W2623">
        <f t="shared" si="296"/>
        <v>1901.86</v>
      </c>
      <c r="X2623">
        <f t="shared" si="297"/>
        <v>0.145783703369923</v>
      </c>
      <c r="AH2623" t="str">
        <f t="shared" si="298"/>
        <v>3rd Quality</v>
      </c>
      <c r="AJ2623">
        <f>((T2623-X2623)*2)/8.3</f>
        <v>49.7593106924224</v>
      </c>
      <c r="AK2623">
        <f t="shared" si="295"/>
        <v>90924.6461538461</v>
      </c>
    </row>
    <row r="2624" spans="1:37">
      <c r="A2624" t="s">
        <v>2690</v>
      </c>
      <c r="B2624">
        <v>28</v>
      </c>
      <c r="C2624" t="s">
        <v>50</v>
      </c>
      <c r="D2624" t="s">
        <v>45</v>
      </c>
      <c r="E2624">
        <v>939</v>
      </c>
      <c r="F2624">
        <v>74</v>
      </c>
      <c r="G2624">
        <v>13</v>
      </c>
      <c r="H2624">
        <v>2152.28</v>
      </c>
      <c r="I2624">
        <v>27384.96</v>
      </c>
      <c r="J2624">
        <v>98</v>
      </c>
      <c r="K2624">
        <v>1</v>
      </c>
      <c r="L2624">
        <v>17.1</v>
      </c>
      <c r="M2624">
        <v>31</v>
      </c>
      <c r="N2624" t="s">
        <v>46</v>
      </c>
      <c r="O2624" t="s">
        <v>53</v>
      </c>
      <c r="P2624" t="s">
        <v>66</v>
      </c>
      <c r="R2624">
        <f>SUMIF(A2624:A7623,"C02623",I2624:I7623)</f>
        <v>27384.96</v>
      </c>
      <c r="S2624" s="1">
        <v>8633.99</v>
      </c>
      <c r="T2624">
        <f t="shared" si="300"/>
        <v>279.438367346939</v>
      </c>
      <c r="U2624">
        <f t="shared" si="301"/>
        <v>3038</v>
      </c>
      <c r="V2624">
        <f>U2624</f>
        <v>3038</v>
      </c>
      <c r="W2624">
        <f t="shared" si="296"/>
        <v>9846.08</v>
      </c>
      <c r="X2624">
        <f t="shared" si="297"/>
        <v>0.436281524708681</v>
      </c>
      <c r="AH2624" t="str">
        <f t="shared" si="298"/>
        <v>2nd Quality</v>
      </c>
      <c r="AJ2624">
        <f>((T2624-X2624)*2)/17.1</f>
        <v>32.6318229031848</v>
      </c>
      <c r="AK2624">
        <f t="shared" si="295"/>
        <v>262392.626938776</v>
      </c>
    </row>
    <row r="2625" spans="1:37">
      <c r="A2625" t="s">
        <v>2691</v>
      </c>
      <c r="B2625">
        <v>44</v>
      </c>
      <c r="C2625" t="s">
        <v>50</v>
      </c>
      <c r="D2625" t="s">
        <v>60</v>
      </c>
      <c r="E2625">
        <v>1056</v>
      </c>
      <c r="F2625">
        <v>148</v>
      </c>
      <c r="G2625">
        <v>1</v>
      </c>
      <c r="H2625">
        <v>2325.14</v>
      </c>
      <c r="I2625">
        <v>2314.57</v>
      </c>
      <c r="J2625">
        <v>18</v>
      </c>
      <c r="K2625">
        <v>1</v>
      </c>
      <c r="L2625">
        <v>14.2</v>
      </c>
      <c r="M2625">
        <v>34.2</v>
      </c>
      <c r="N2625" t="s">
        <v>63</v>
      </c>
      <c r="O2625" t="s">
        <v>47</v>
      </c>
      <c r="P2625" t="s">
        <v>48</v>
      </c>
      <c r="R2625">
        <f>SUMIF(A2625:A7624,"C02624",I2625:I7624)</f>
        <v>2314.57</v>
      </c>
      <c r="S2625" s="1">
        <v>72166.42</v>
      </c>
      <c r="T2625">
        <f t="shared" si="300"/>
        <v>128.587222222222</v>
      </c>
      <c r="U2625">
        <f t="shared" si="301"/>
        <v>615.6</v>
      </c>
      <c r="V2625">
        <f>U2625</f>
        <v>615.6</v>
      </c>
      <c r="W2625">
        <f t="shared" si="296"/>
        <v>1546.90333333333</v>
      </c>
      <c r="X2625">
        <f t="shared" si="297"/>
        <v>0.454166200744901</v>
      </c>
      <c r="AH2625" t="str">
        <f t="shared" si="298"/>
        <v>3rd Quality</v>
      </c>
      <c r="AJ2625">
        <f>((T2625-X2625)*2)/14.2</f>
        <v>18.0469092987996</v>
      </c>
      <c r="AK2625">
        <f t="shared" si="295"/>
        <v>135788.106666667</v>
      </c>
    </row>
    <row r="2626" spans="1:37">
      <c r="A2626" t="s">
        <v>2692</v>
      </c>
      <c r="B2626">
        <v>50</v>
      </c>
      <c r="C2626" t="s">
        <v>44</v>
      </c>
      <c r="D2626" t="s">
        <v>60</v>
      </c>
      <c r="E2626">
        <v>990</v>
      </c>
      <c r="F2626">
        <v>13</v>
      </c>
      <c r="G2626">
        <v>5</v>
      </c>
      <c r="H2626">
        <v>13658.71</v>
      </c>
      <c r="I2626">
        <v>61914.35</v>
      </c>
      <c r="J2626">
        <v>30</v>
      </c>
      <c r="K2626">
        <v>0</v>
      </c>
      <c r="L2626">
        <v>8.4</v>
      </c>
      <c r="M2626">
        <v>76.6</v>
      </c>
      <c r="N2626" t="s">
        <v>61</v>
      </c>
      <c r="O2626" t="s">
        <v>47</v>
      </c>
      <c r="P2626" t="s">
        <v>68</v>
      </c>
      <c r="R2626">
        <f>SUMIF(A2626:A7625,"C02625",I2626:I7625)</f>
        <v>61914.35</v>
      </c>
      <c r="S2626" s="1">
        <v>15679.99</v>
      </c>
      <c r="T2626">
        <f t="shared" si="300"/>
        <v>2063.81166666667</v>
      </c>
      <c r="U2626">
        <f t="shared" si="301"/>
        <v>2298</v>
      </c>
      <c r="V2626">
        <f>U2626/12</f>
        <v>191.5</v>
      </c>
      <c r="W2626">
        <f t="shared" si="296"/>
        <v>25191.3533333333</v>
      </c>
      <c r="X2626">
        <f t="shared" si="297"/>
        <v>0.0724812226044773</v>
      </c>
      <c r="AH2626" t="str">
        <f t="shared" si="298"/>
        <v>3rd Quality</v>
      </c>
      <c r="AJ2626">
        <f>((T2626-X2626)*2)/8.4</f>
        <v>491.366472724778</v>
      </c>
      <c r="AK2626">
        <f t="shared" si="295"/>
        <v>2043173.55</v>
      </c>
    </row>
    <row r="2627" spans="1:37">
      <c r="A2627" t="s">
        <v>2693</v>
      </c>
      <c r="B2627">
        <v>21</v>
      </c>
      <c r="C2627" t="s">
        <v>50</v>
      </c>
      <c r="D2627" t="s">
        <v>45</v>
      </c>
      <c r="E2627">
        <v>1206</v>
      </c>
      <c r="F2627">
        <v>16</v>
      </c>
      <c r="G2627">
        <v>6</v>
      </c>
      <c r="H2627">
        <v>1611</v>
      </c>
      <c r="I2627">
        <v>8633.99</v>
      </c>
      <c r="J2627">
        <v>36</v>
      </c>
      <c r="K2627">
        <v>1</v>
      </c>
      <c r="L2627">
        <v>13.3</v>
      </c>
      <c r="M2627">
        <v>27.6</v>
      </c>
      <c r="N2627" t="s">
        <v>52</v>
      </c>
      <c r="O2627" t="s">
        <v>53</v>
      </c>
      <c r="P2627" t="s">
        <v>66</v>
      </c>
      <c r="R2627">
        <f>SUMIF(A2627:A7626,"C02626",I2627:I7626)</f>
        <v>8633.99</v>
      </c>
      <c r="S2627" s="1">
        <v>7922.2</v>
      </c>
      <c r="T2627">
        <f t="shared" si="300"/>
        <v>239.833055555556</v>
      </c>
      <c r="U2627">
        <f t="shared" si="301"/>
        <v>993.6</v>
      </c>
      <c r="V2627">
        <f>U2627</f>
        <v>993.6</v>
      </c>
      <c r="W2627">
        <f t="shared" si="296"/>
        <v>3415.33</v>
      </c>
      <c r="X2627">
        <f t="shared" si="297"/>
        <v>0.748603351955307</v>
      </c>
      <c r="AH2627" t="str">
        <f t="shared" si="298"/>
        <v>3rd Quality</v>
      </c>
      <c r="AJ2627">
        <f>((T2627-X2627)*2)/13.3</f>
        <v>35.952549203549</v>
      </c>
      <c r="AK2627">
        <f t="shared" ref="AK2627:AK2690" si="302">I2627/J2627*E2627</f>
        <v>289238.665</v>
      </c>
    </row>
    <row r="2628" spans="1:37">
      <c r="A2628" t="s">
        <v>2694</v>
      </c>
      <c r="B2628">
        <v>48</v>
      </c>
      <c r="C2628" t="s">
        <v>44</v>
      </c>
      <c r="D2628" t="s">
        <v>45</v>
      </c>
      <c r="E2628">
        <v>1093</v>
      </c>
      <c r="F2628">
        <v>8</v>
      </c>
      <c r="G2628">
        <v>7</v>
      </c>
      <c r="H2628">
        <v>10790.14</v>
      </c>
      <c r="I2628">
        <v>72166.42</v>
      </c>
      <c r="J2628">
        <v>33</v>
      </c>
      <c r="K2628">
        <v>0</v>
      </c>
      <c r="L2628">
        <v>0.2</v>
      </c>
      <c r="M2628">
        <v>17.3</v>
      </c>
      <c r="N2628" t="s">
        <v>46</v>
      </c>
      <c r="O2628" t="s">
        <v>75</v>
      </c>
      <c r="P2628" t="s">
        <v>48</v>
      </c>
      <c r="R2628">
        <f>SUMIF(A2628:A7627,"C02627",I2628:I7627)</f>
        <v>72166.42</v>
      </c>
      <c r="S2628" s="1">
        <v>4120.37</v>
      </c>
      <c r="T2628">
        <f t="shared" si="300"/>
        <v>2186.86121212121</v>
      </c>
      <c r="U2628">
        <f t="shared" si="301"/>
        <v>570.9</v>
      </c>
      <c r="V2628">
        <f t="shared" si="299"/>
        <v>47.575</v>
      </c>
      <c r="W2628">
        <f t="shared" si="296"/>
        <v>27652.52</v>
      </c>
      <c r="X2628">
        <f t="shared" si="297"/>
        <v>0.101296183367408</v>
      </c>
      <c r="AH2628" t="str">
        <f t="shared" si="298"/>
        <v>3rd Quality</v>
      </c>
      <c r="AJ2628">
        <f>((T2628-X2628)*2)/0.2</f>
        <v>21867.5991593784</v>
      </c>
      <c r="AK2628">
        <f t="shared" si="302"/>
        <v>2390239.30484849</v>
      </c>
    </row>
    <row r="2629" spans="1:37">
      <c r="A2629" t="s">
        <v>2695</v>
      </c>
      <c r="B2629">
        <v>43</v>
      </c>
      <c r="C2629" t="s">
        <v>50</v>
      </c>
      <c r="D2629" t="s">
        <v>60</v>
      </c>
      <c r="E2629">
        <v>1059</v>
      </c>
      <c r="F2629">
        <v>79</v>
      </c>
      <c r="G2629">
        <v>11</v>
      </c>
      <c r="H2629">
        <v>1375.75</v>
      </c>
      <c r="I2629">
        <v>15679.99</v>
      </c>
      <c r="J2629">
        <v>74</v>
      </c>
      <c r="K2629">
        <v>1</v>
      </c>
      <c r="L2629">
        <v>25</v>
      </c>
      <c r="M2629">
        <v>26.7</v>
      </c>
      <c r="N2629" t="s">
        <v>61</v>
      </c>
      <c r="O2629" t="s">
        <v>47</v>
      </c>
      <c r="P2629" t="s">
        <v>58</v>
      </c>
      <c r="R2629">
        <f>SUMIF(A2629:A7628,"C02628",I2629:I7628)</f>
        <v>15679.99</v>
      </c>
      <c r="S2629" s="1">
        <v>47438.74</v>
      </c>
      <c r="T2629">
        <f t="shared" si="300"/>
        <v>211.891756756757</v>
      </c>
      <c r="U2629">
        <f t="shared" si="301"/>
        <v>1975.8</v>
      </c>
      <c r="V2629">
        <f>U2629</f>
        <v>1975.8</v>
      </c>
      <c r="W2629">
        <f t="shared" si="296"/>
        <v>5685.58</v>
      </c>
      <c r="X2629">
        <f t="shared" si="297"/>
        <v>0.769761948028348</v>
      </c>
      <c r="AH2629" t="str">
        <f t="shared" si="298"/>
        <v>3rd Quality</v>
      </c>
      <c r="AJ2629">
        <f>((T2629-X2629)*2)/25</f>
        <v>16.8897595846983</v>
      </c>
      <c r="AK2629">
        <f t="shared" si="302"/>
        <v>224393.370405405</v>
      </c>
    </row>
    <row r="2630" spans="1:37">
      <c r="A2630" t="s">
        <v>2696</v>
      </c>
      <c r="B2630">
        <v>42</v>
      </c>
      <c r="C2630" t="s">
        <v>44</v>
      </c>
      <c r="D2630" t="s">
        <v>51</v>
      </c>
      <c r="E2630">
        <v>712</v>
      </c>
      <c r="F2630">
        <v>33</v>
      </c>
      <c r="G2630">
        <v>3</v>
      </c>
      <c r="H2630">
        <v>2574.53</v>
      </c>
      <c r="I2630">
        <v>7922.2</v>
      </c>
      <c r="J2630">
        <v>30</v>
      </c>
      <c r="K2630">
        <v>0</v>
      </c>
      <c r="L2630">
        <v>26.3</v>
      </c>
      <c r="M2630">
        <v>52.1</v>
      </c>
      <c r="N2630" t="s">
        <v>61</v>
      </c>
      <c r="O2630" t="s">
        <v>47</v>
      </c>
      <c r="P2630" t="s">
        <v>66</v>
      </c>
      <c r="R2630">
        <f>SUMIF(A2630:A7629,"C02629",I2630:I7629)</f>
        <v>7922.2</v>
      </c>
      <c r="S2630" s="1">
        <v>9181.37</v>
      </c>
      <c r="T2630">
        <f t="shared" si="300"/>
        <v>264.073333333333</v>
      </c>
      <c r="U2630">
        <f t="shared" si="301"/>
        <v>1563</v>
      </c>
      <c r="V2630">
        <f t="shared" si="299"/>
        <v>130.25</v>
      </c>
      <c r="W2630">
        <f t="shared" si="296"/>
        <v>3499.24333333333</v>
      </c>
      <c r="X2630">
        <f t="shared" si="297"/>
        <v>0.276555332429609</v>
      </c>
      <c r="AH2630" t="str">
        <f t="shared" si="298"/>
        <v>3rd Quality</v>
      </c>
      <c r="AJ2630">
        <f>((T2630-X2630)*2)/26.3</f>
        <v>20.0605914829584</v>
      </c>
      <c r="AK2630">
        <f t="shared" si="302"/>
        <v>188020.213333333</v>
      </c>
    </row>
    <row r="2631" spans="1:37">
      <c r="A2631" t="s">
        <v>2697</v>
      </c>
      <c r="B2631">
        <v>50</v>
      </c>
      <c r="C2631" t="s">
        <v>44</v>
      </c>
      <c r="D2631" t="s">
        <v>60</v>
      </c>
      <c r="E2631">
        <v>1255</v>
      </c>
      <c r="F2631">
        <v>63</v>
      </c>
      <c r="G2631">
        <v>4</v>
      </c>
      <c r="H2631">
        <v>1131.49</v>
      </c>
      <c r="I2631">
        <v>4120.37</v>
      </c>
      <c r="J2631">
        <v>29</v>
      </c>
      <c r="K2631">
        <v>0</v>
      </c>
      <c r="L2631">
        <v>39.7</v>
      </c>
      <c r="M2631">
        <v>18.3</v>
      </c>
      <c r="N2631" t="s">
        <v>61</v>
      </c>
      <c r="O2631" t="s">
        <v>47</v>
      </c>
      <c r="P2631" t="s">
        <v>66</v>
      </c>
      <c r="R2631">
        <f>SUMIF(A2631:A7630,"C02630",I2631:I7630)</f>
        <v>4120.37</v>
      </c>
      <c r="S2631" s="1">
        <v>1075.72</v>
      </c>
      <c r="T2631">
        <f t="shared" si="300"/>
        <v>142.081724137931</v>
      </c>
      <c r="U2631">
        <f t="shared" si="301"/>
        <v>530.7</v>
      </c>
      <c r="V2631">
        <f t="shared" si="299"/>
        <v>44.225</v>
      </c>
      <c r="W2631">
        <f t="shared" si="296"/>
        <v>1750.95333333333</v>
      </c>
      <c r="X2631">
        <f t="shared" si="297"/>
        <v>1.10915695233718</v>
      </c>
      <c r="AH2631" t="str">
        <f t="shared" si="298"/>
        <v>3rd Quality</v>
      </c>
      <c r="AJ2631">
        <f>((T2631-X2631)*2)/39.7</f>
        <v>7.10189255343042</v>
      </c>
      <c r="AK2631">
        <f t="shared" si="302"/>
        <v>178312.563793103</v>
      </c>
    </row>
    <row r="2632" spans="1:37">
      <c r="A2632" t="s">
        <v>2698</v>
      </c>
      <c r="B2632">
        <v>59</v>
      </c>
      <c r="C2632" t="s">
        <v>44</v>
      </c>
      <c r="D2632" t="s">
        <v>51</v>
      </c>
      <c r="E2632">
        <v>1341</v>
      </c>
      <c r="F2632">
        <v>7</v>
      </c>
      <c r="G2632">
        <v>15</v>
      </c>
      <c r="H2632">
        <v>3505.96</v>
      </c>
      <c r="I2632">
        <v>47438.74</v>
      </c>
      <c r="J2632">
        <v>76</v>
      </c>
      <c r="K2632">
        <v>0</v>
      </c>
      <c r="L2632">
        <v>9.5</v>
      </c>
      <c r="M2632">
        <v>19.3</v>
      </c>
      <c r="N2632" t="s">
        <v>52</v>
      </c>
      <c r="O2632" t="s">
        <v>47</v>
      </c>
      <c r="P2632" t="s">
        <v>58</v>
      </c>
      <c r="R2632">
        <f>SUMIF(A2632:A7631,"C02631",I2632:I7631)</f>
        <v>47438.74</v>
      </c>
      <c r="S2632" s="1">
        <v>83590.02</v>
      </c>
      <c r="T2632">
        <f t="shared" si="300"/>
        <v>624.193947368421</v>
      </c>
      <c r="U2632">
        <f t="shared" si="301"/>
        <v>1466.8</v>
      </c>
      <c r="V2632">
        <f t="shared" si="299"/>
        <v>122.233333333333</v>
      </c>
      <c r="W2632">
        <f t="shared" si="296"/>
        <v>16981.9</v>
      </c>
      <c r="X2632">
        <f t="shared" si="297"/>
        <v>0.382491528711109</v>
      </c>
      <c r="AH2632" t="str">
        <f t="shared" si="298"/>
        <v>3rd Quality</v>
      </c>
      <c r="AJ2632">
        <f>((T2632-X2632)*2)/9.5</f>
        <v>131.328727545202</v>
      </c>
      <c r="AK2632">
        <f t="shared" si="302"/>
        <v>837044.083421053</v>
      </c>
    </row>
    <row r="2633" spans="1:37">
      <c r="A2633" t="s">
        <v>2699</v>
      </c>
      <c r="B2633">
        <v>42</v>
      </c>
      <c r="C2633" t="s">
        <v>44</v>
      </c>
      <c r="D2633" t="s">
        <v>60</v>
      </c>
      <c r="E2633">
        <v>1210</v>
      </c>
      <c r="F2633">
        <v>107</v>
      </c>
      <c r="G2633">
        <v>2</v>
      </c>
      <c r="H2633">
        <v>4963.69</v>
      </c>
      <c r="I2633">
        <v>9181.37</v>
      </c>
      <c r="J2633">
        <v>10</v>
      </c>
      <c r="K2633">
        <v>0</v>
      </c>
      <c r="L2633">
        <v>9.7</v>
      </c>
      <c r="M2633">
        <v>35.2</v>
      </c>
      <c r="N2633" t="s">
        <v>46</v>
      </c>
      <c r="O2633" t="s">
        <v>47</v>
      </c>
      <c r="P2633" t="s">
        <v>68</v>
      </c>
      <c r="R2633">
        <f>SUMIF(A2633:A7632,"C02632",I2633:I7632)</f>
        <v>9181.37</v>
      </c>
      <c r="S2633" s="1">
        <v>60357.1</v>
      </c>
      <c r="T2633">
        <f t="shared" si="300"/>
        <v>918.137</v>
      </c>
      <c r="U2633">
        <f t="shared" si="301"/>
        <v>352</v>
      </c>
      <c r="V2633">
        <f t="shared" si="299"/>
        <v>29.3333333333333</v>
      </c>
      <c r="W2633">
        <f t="shared" ref="W2633:W2696" si="303">(H2633+I2633+1)/3</f>
        <v>4715.35333333333</v>
      </c>
      <c r="X2633">
        <f t="shared" si="297"/>
        <v>0.2437702596254</v>
      </c>
      <c r="AH2633" t="str">
        <f t="shared" si="298"/>
        <v>3rd Quality</v>
      </c>
      <c r="AJ2633">
        <f>((T2633-X2633)*2)/9.7</f>
        <v>189.256336028943</v>
      </c>
      <c r="AK2633">
        <f t="shared" si="302"/>
        <v>1110945.77</v>
      </c>
    </row>
    <row r="2634" spans="1:37">
      <c r="A2634" t="s">
        <v>2700</v>
      </c>
      <c r="B2634">
        <v>42</v>
      </c>
      <c r="C2634" t="s">
        <v>50</v>
      </c>
      <c r="D2634" t="s">
        <v>51</v>
      </c>
      <c r="E2634">
        <v>484</v>
      </c>
      <c r="F2634">
        <v>329</v>
      </c>
      <c r="G2634">
        <v>1</v>
      </c>
      <c r="H2634">
        <v>987.04</v>
      </c>
      <c r="I2634">
        <v>1075.72</v>
      </c>
      <c r="J2634">
        <v>9</v>
      </c>
      <c r="K2634">
        <v>1</v>
      </c>
      <c r="L2634">
        <v>14.7</v>
      </c>
      <c r="M2634">
        <v>44</v>
      </c>
      <c r="N2634" t="s">
        <v>46</v>
      </c>
      <c r="O2634" t="s">
        <v>53</v>
      </c>
      <c r="P2634" t="s">
        <v>58</v>
      </c>
      <c r="R2634">
        <f>SUMIF(A2634:A7633,"C02633",I2634:I7633)</f>
        <v>1075.72</v>
      </c>
      <c r="S2634" s="1">
        <v>10923.17</v>
      </c>
      <c r="T2634">
        <f t="shared" si="300"/>
        <v>119.524444444444</v>
      </c>
      <c r="U2634">
        <f t="shared" si="301"/>
        <v>396</v>
      </c>
      <c r="V2634">
        <f>U2634</f>
        <v>396</v>
      </c>
      <c r="W2634">
        <f t="shared" si="303"/>
        <v>687.92</v>
      </c>
      <c r="X2634">
        <f t="shared" si="297"/>
        <v>0.490355000810504</v>
      </c>
      <c r="AH2634" t="str">
        <f t="shared" si="298"/>
        <v>3rd Quality</v>
      </c>
      <c r="AJ2634">
        <f>((T2634-X2634)*2)/14.7</f>
        <v>16.1951142100182</v>
      </c>
      <c r="AK2634">
        <f t="shared" si="302"/>
        <v>57849.8311111111</v>
      </c>
    </row>
    <row r="2635" spans="1:37">
      <c r="A2635" t="s">
        <v>2701</v>
      </c>
      <c r="B2635">
        <v>30</v>
      </c>
      <c r="C2635" t="s">
        <v>44</v>
      </c>
      <c r="D2635" t="s">
        <v>60</v>
      </c>
      <c r="E2635">
        <v>1430</v>
      </c>
      <c r="F2635">
        <v>35</v>
      </c>
      <c r="G2635">
        <v>4</v>
      </c>
      <c r="H2635">
        <v>18935.78</v>
      </c>
      <c r="I2635">
        <v>83590.02</v>
      </c>
      <c r="J2635">
        <v>16</v>
      </c>
      <c r="K2635">
        <v>0</v>
      </c>
      <c r="L2635">
        <v>15.1</v>
      </c>
      <c r="M2635">
        <v>1.9</v>
      </c>
      <c r="N2635" t="s">
        <v>81</v>
      </c>
      <c r="O2635" t="s">
        <v>75</v>
      </c>
      <c r="P2635" t="s">
        <v>58</v>
      </c>
      <c r="R2635">
        <f>SUMIF(A2635:A7634,"C02634",I2635:I7634)</f>
        <v>83590.02</v>
      </c>
      <c r="S2635" s="1">
        <v>7606.48</v>
      </c>
      <c r="T2635">
        <f t="shared" si="300"/>
        <v>5224.37625</v>
      </c>
      <c r="U2635">
        <f t="shared" si="301"/>
        <v>30.4</v>
      </c>
      <c r="V2635">
        <f t="shared" si="299"/>
        <v>2.53333333333333</v>
      </c>
      <c r="W2635">
        <f t="shared" si="303"/>
        <v>34175.6</v>
      </c>
      <c r="X2635">
        <f t="shared" si="297"/>
        <v>0.0755184101209456</v>
      </c>
      <c r="AH2635" t="str">
        <f t="shared" si="298"/>
        <v>1st Quality</v>
      </c>
      <c r="AJ2635">
        <f>((T2635-X2635)*2)/15.1</f>
        <v>691.960361799984</v>
      </c>
      <c r="AK2635">
        <f t="shared" si="302"/>
        <v>7470858.0375</v>
      </c>
    </row>
    <row r="2636" spans="1:37">
      <c r="A2636" t="s">
        <v>2702</v>
      </c>
      <c r="B2636">
        <v>28</v>
      </c>
      <c r="C2636" t="s">
        <v>44</v>
      </c>
      <c r="D2636" t="s">
        <v>51</v>
      </c>
      <c r="E2636">
        <v>972</v>
      </c>
      <c r="F2636">
        <v>41</v>
      </c>
      <c r="G2636">
        <v>5</v>
      </c>
      <c r="H2636">
        <v>12009.14</v>
      </c>
      <c r="I2636">
        <v>60357.1</v>
      </c>
      <c r="J2636">
        <v>47</v>
      </c>
      <c r="K2636">
        <v>0</v>
      </c>
      <c r="L2636">
        <v>0</v>
      </c>
      <c r="M2636">
        <v>34.7</v>
      </c>
      <c r="N2636" t="s">
        <v>46</v>
      </c>
      <c r="O2636" t="s">
        <v>47</v>
      </c>
      <c r="P2636" t="s">
        <v>68</v>
      </c>
      <c r="R2636">
        <f>SUMIF(A2636:A7635,"C02635",I2636:I7635)</f>
        <v>60357.1</v>
      </c>
      <c r="S2636" s="1">
        <v>39640.05</v>
      </c>
      <c r="T2636">
        <f t="shared" si="300"/>
        <v>1284.19361702128</v>
      </c>
      <c r="U2636">
        <f t="shared" si="301"/>
        <v>1630.9</v>
      </c>
      <c r="V2636">
        <f t="shared" si="299"/>
        <v>135.908333333333</v>
      </c>
      <c r="W2636">
        <f t="shared" si="303"/>
        <v>24122.4133333333</v>
      </c>
      <c r="X2636">
        <f t="shared" ref="X2636:X2679" si="304">E2636/H2636</f>
        <v>0.0809383519552608</v>
      </c>
      <c r="AH2636" t="str">
        <f t="shared" si="298"/>
        <v>1st Quality</v>
      </c>
      <c r="AJ2636">
        <f>((T2636-X2636)*2)</f>
        <v>2568.22535733865</v>
      </c>
      <c r="AK2636">
        <f t="shared" si="302"/>
        <v>1248236.19574468</v>
      </c>
    </row>
    <row r="2637" spans="1:37">
      <c r="A2637" t="s">
        <v>2703</v>
      </c>
      <c r="B2637">
        <v>44</v>
      </c>
      <c r="C2637" t="s">
        <v>44</v>
      </c>
      <c r="D2637" t="s">
        <v>60</v>
      </c>
      <c r="E2637">
        <v>863</v>
      </c>
      <c r="F2637">
        <v>14</v>
      </c>
      <c r="G2637">
        <v>8</v>
      </c>
      <c r="H2637">
        <v>1245.18</v>
      </c>
      <c r="I2637">
        <v>10923.17</v>
      </c>
      <c r="J2637">
        <v>40</v>
      </c>
      <c r="K2637">
        <v>1</v>
      </c>
      <c r="L2637">
        <v>20.8</v>
      </c>
      <c r="M2637">
        <v>30.9</v>
      </c>
      <c r="N2637" t="s">
        <v>78</v>
      </c>
      <c r="O2637" t="s">
        <v>47</v>
      </c>
      <c r="P2637" t="s">
        <v>54</v>
      </c>
      <c r="R2637">
        <f>SUMIF(A2637:A7636,"C02636",I2637:I7636)</f>
        <v>10923.17</v>
      </c>
      <c r="S2637" s="1">
        <v>2992.68</v>
      </c>
      <c r="T2637">
        <f t="shared" si="300"/>
        <v>273.07925</v>
      </c>
      <c r="U2637">
        <f t="shared" si="301"/>
        <v>1236</v>
      </c>
      <c r="V2637">
        <f>U2637</f>
        <v>1236</v>
      </c>
      <c r="W2637">
        <f t="shared" si="303"/>
        <v>4056.45</v>
      </c>
      <c r="X2637">
        <f t="shared" si="304"/>
        <v>0.693072487511846</v>
      </c>
      <c r="AH2637" t="str">
        <f t="shared" si="298"/>
        <v>3rd Quality</v>
      </c>
      <c r="AJ2637">
        <f>((T2637-X2637)*2)/20.8</f>
        <v>26.19097860697</v>
      </c>
      <c r="AK2637">
        <f t="shared" si="302"/>
        <v>235667.39275</v>
      </c>
    </row>
    <row r="2638" spans="1:37">
      <c r="A2638" t="s">
        <v>2704</v>
      </c>
      <c r="B2638">
        <v>26</v>
      </c>
      <c r="C2638" t="s">
        <v>44</v>
      </c>
      <c r="D2638" t="s">
        <v>51</v>
      </c>
      <c r="E2638">
        <v>617</v>
      </c>
      <c r="F2638">
        <v>22</v>
      </c>
      <c r="G2638">
        <v>6</v>
      </c>
      <c r="H2638">
        <v>1390.78</v>
      </c>
      <c r="I2638">
        <v>7606.48</v>
      </c>
      <c r="J2638">
        <v>50</v>
      </c>
      <c r="K2638">
        <v>1</v>
      </c>
      <c r="L2638">
        <v>23.1</v>
      </c>
      <c r="M2638">
        <v>27.2</v>
      </c>
      <c r="N2638" t="s">
        <v>78</v>
      </c>
      <c r="O2638" t="s">
        <v>47</v>
      </c>
      <c r="P2638" t="s">
        <v>48</v>
      </c>
      <c r="R2638">
        <f>SUMIF(A2638:A7637,"C02637",I2638:I7637)</f>
        <v>7606.48</v>
      </c>
      <c r="S2638" s="1">
        <v>36326.79</v>
      </c>
      <c r="T2638">
        <f t="shared" si="300"/>
        <v>152.1296</v>
      </c>
      <c r="U2638">
        <f t="shared" si="301"/>
        <v>1360</v>
      </c>
      <c r="V2638">
        <f>U2638</f>
        <v>1360</v>
      </c>
      <c r="W2638">
        <f t="shared" si="303"/>
        <v>2999.42</v>
      </c>
      <c r="X2638">
        <f t="shared" si="304"/>
        <v>0.443635945296884</v>
      </c>
      <c r="AH2638" t="str">
        <f t="shared" ref="AH2638:AH2701" si="305">IF(AND(W2638&gt;=12550,B2638&lt;=33,E2638&gt;=915),"1st Quality",IF(AND(W2638&gt;=6275,B2638&lt;=43,E2638&gt;=457),"2nd Quality","3rd Quality"))</f>
        <v>3rd Quality</v>
      </c>
      <c r="AJ2638">
        <f>((T2638-X2638)*2)/23.1</f>
        <v>13.1329839008401</v>
      </c>
      <c r="AK2638">
        <f t="shared" si="302"/>
        <v>93863.9632</v>
      </c>
    </row>
    <row r="2639" spans="1:37">
      <c r="A2639" t="s">
        <v>2705</v>
      </c>
      <c r="B2639">
        <v>49</v>
      </c>
      <c r="C2639" t="s">
        <v>50</v>
      </c>
      <c r="D2639" t="s">
        <v>45</v>
      </c>
      <c r="E2639">
        <v>461</v>
      </c>
      <c r="F2639">
        <v>17</v>
      </c>
      <c r="G2639">
        <v>20</v>
      </c>
      <c r="H2639">
        <v>1909.93</v>
      </c>
      <c r="I2639">
        <v>39640.05</v>
      </c>
      <c r="J2639">
        <v>146</v>
      </c>
      <c r="K2639">
        <v>3</v>
      </c>
      <c r="L2639">
        <v>11.7</v>
      </c>
      <c r="M2639">
        <v>17.5</v>
      </c>
      <c r="N2639" t="s">
        <v>57</v>
      </c>
      <c r="O2639" t="s">
        <v>47</v>
      </c>
      <c r="P2639" t="s">
        <v>58</v>
      </c>
      <c r="R2639">
        <f>SUMIF(A2639:A7638,"C02638",I2639:I7638)</f>
        <v>39640.05</v>
      </c>
      <c r="S2639" s="1">
        <v>2409.39</v>
      </c>
      <c r="T2639">
        <f t="shared" si="300"/>
        <v>271.507191780822</v>
      </c>
      <c r="U2639">
        <f t="shared" si="301"/>
        <v>2555</v>
      </c>
      <c r="V2639">
        <f>U2639</f>
        <v>2555</v>
      </c>
      <c r="W2639">
        <f t="shared" si="303"/>
        <v>13850.3266666667</v>
      </c>
      <c r="X2639">
        <f t="shared" si="304"/>
        <v>0.241370102569204</v>
      </c>
      <c r="AH2639" t="str">
        <f t="shared" si="305"/>
        <v>3rd Quality</v>
      </c>
      <c r="AJ2639">
        <f>((T2639-X2639)*2)/11.7</f>
        <v>46.3702259279065</v>
      </c>
      <c r="AK2639">
        <f t="shared" si="302"/>
        <v>125164.815410959</v>
      </c>
    </row>
    <row r="2640" spans="1:37">
      <c r="A2640" t="s">
        <v>2706</v>
      </c>
      <c r="B2640">
        <v>28</v>
      </c>
      <c r="C2640" t="s">
        <v>50</v>
      </c>
      <c r="D2640" t="s">
        <v>51</v>
      </c>
      <c r="E2640">
        <v>1283</v>
      </c>
      <c r="F2640">
        <v>90</v>
      </c>
      <c r="G2640">
        <v>4</v>
      </c>
      <c r="H2640">
        <v>722.38</v>
      </c>
      <c r="I2640">
        <v>2992.68</v>
      </c>
      <c r="J2640">
        <v>20</v>
      </c>
      <c r="K2640">
        <v>0</v>
      </c>
      <c r="L2640">
        <v>34.9</v>
      </c>
      <c r="M2640">
        <v>17.7</v>
      </c>
      <c r="N2640" t="s">
        <v>78</v>
      </c>
      <c r="O2640" t="s">
        <v>53</v>
      </c>
      <c r="P2640" t="s">
        <v>48</v>
      </c>
      <c r="R2640">
        <f>SUMIF(A2640:A7639,"C02639",I2640:I7639)</f>
        <v>2992.68</v>
      </c>
      <c r="S2640" s="1">
        <v>2188.31</v>
      </c>
      <c r="T2640">
        <f t="shared" si="300"/>
        <v>149.634</v>
      </c>
      <c r="U2640">
        <f t="shared" si="301"/>
        <v>354</v>
      </c>
      <c r="V2640">
        <f>U2640/12</f>
        <v>29.5</v>
      </c>
      <c r="W2640">
        <f t="shared" si="303"/>
        <v>1238.68666666667</v>
      </c>
      <c r="X2640">
        <f t="shared" si="304"/>
        <v>1.77607353470473</v>
      </c>
      <c r="AH2640" t="str">
        <f t="shared" si="305"/>
        <v>3rd Quality</v>
      </c>
      <c r="AJ2640">
        <f>((T2640-X2640)*2)/34.9</f>
        <v>8.47323360832638</v>
      </c>
      <c r="AK2640">
        <f t="shared" si="302"/>
        <v>191980.422</v>
      </c>
    </row>
    <row r="2641" spans="1:37">
      <c r="A2641" t="s">
        <v>2707</v>
      </c>
      <c r="B2641">
        <v>56</v>
      </c>
      <c r="C2641" t="s">
        <v>44</v>
      </c>
      <c r="D2641" t="s">
        <v>60</v>
      </c>
      <c r="E2641">
        <v>954</v>
      </c>
      <c r="F2641">
        <v>14</v>
      </c>
      <c r="G2641">
        <v>20</v>
      </c>
      <c r="H2641">
        <v>1838.7</v>
      </c>
      <c r="I2641">
        <v>36326.79</v>
      </c>
      <c r="J2641">
        <v>91</v>
      </c>
      <c r="K2641">
        <v>0</v>
      </c>
      <c r="L2641">
        <v>6.9</v>
      </c>
      <c r="M2641">
        <v>35</v>
      </c>
      <c r="N2641" t="s">
        <v>81</v>
      </c>
      <c r="O2641" t="s">
        <v>47</v>
      </c>
      <c r="P2641" t="s">
        <v>58</v>
      </c>
      <c r="R2641">
        <f>SUMIF(A2641:A7640,"C02640",I2641:I7640)</f>
        <v>36326.79</v>
      </c>
      <c r="S2641" s="1">
        <v>61256.71</v>
      </c>
      <c r="T2641">
        <f t="shared" si="300"/>
        <v>399.195494505495</v>
      </c>
      <c r="U2641">
        <f t="shared" si="301"/>
        <v>3185</v>
      </c>
      <c r="V2641">
        <f t="shared" si="299"/>
        <v>265.416666666667</v>
      </c>
      <c r="W2641">
        <f t="shared" si="303"/>
        <v>12722.1633333333</v>
      </c>
      <c r="X2641">
        <f t="shared" si="304"/>
        <v>0.518844836025453</v>
      </c>
      <c r="AH2641" t="str">
        <f t="shared" si="305"/>
        <v>3rd Quality</v>
      </c>
      <c r="AJ2641">
        <f>((T2641-X2641)*2)/6.9</f>
        <v>115.558449179556</v>
      </c>
      <c r="AK2641">
        <f t="shared" si="302"/>
        <v>380832.501758242</v>
      </c>
    </row>
    <row r="2642" spans="1:37">
      <c r="A2642" t="s">
        <v>2708</v>
      </c>
      <c r="B2642">
        <v>41</v>
      </c>
      <c r="C2642" t="s">
        <v>50</v>
      </c>
      <c r="D2642" t="s">
        <v>45</v>
      </c>
      <c r="E2642">
        <v>1368</v>
      </c>
      <c r="F2642">
        <v>70</v>
      </c>
      <c r="G2642">
        <v>3</v>
      </c>
      <c r="H2642">
        <v>759.77</v>
      </c>
      <c r="I2642">
        <v>2409.39</v>
      </c>
      <c r="J2642">
        <v>19</v>
      </c>
      <c r="K2642">
        <v>0</v>
      </c>
      <c r="L2642">
        <v>34.6</v>
      </c>
      <c r="M2642">
        <v>18.7</v>
      </c>
      <c r="N2642" t="s">
        <v>81</v>
      </c>
      <c r="O2642" t="s">
        <v>75</v>
      </c>
      <c r="P2642" t="s">
        <v>58</v>
      </c>
      <c r="R2642">
        <f>SUMIF(A2642:A7641,"C02641",I2642:I7641)</f>
        <v>2409.39</v>
      </c>
      <c r="S2642" s="1">
        <v>5675.67</v>
      </c>
      <c r="T2642">
        <f t="shared" si="300"/>
        <v>126.81</v>
      </c>
      <c r="U2642">
        <f t="shared" si="301"/>
        <v>355.3</v>
      </c>
      <c r="V2642">
        <f t="shared" ref="V2642:V2705" si="306">U2642/12</f>
        <v>29.6083333333333</v>
      </c>
      <c r="W2642">
        <f t="shared" si="303"/>
        <v>1056.72</v>
      </c>
      <c r="X2642">
        <f t="shared" si="304"/>
        <v>1.80054490174658</v>
      </c>
      <c r="AH2642" t="str">
        <f t="shared" si="305"/>
        <v>3rd Quality</v>
      </c>
      <c r="AJ2642">
        <f>((T2642-X2642)*2)/34.6</f>
        <v>7.22598006348286</v>
      </c>
      <c r="AK2642">
        <f t="shared" si="302"/>
        <v>173476.08</v>
      </c>
    </row>
    <row r="2643" spans="1:37">
      <c r="A2643" t="s">
        <v>2709</v>
      </c>
      <c r="B2643">
        <v>33</v>
      </c>
      <c r="C2643" t="s">
        <v>50</v>
      </c>
      <c r="D2643" t="s">
        <v>60</v>
      </c>
      <c r="E2643">
        <v>1211</v>
      </c>
      <c r="F2643">
        <v>81</v>
      </c>
      <c r="G2643">
        <v>2</v>
      </c>
      <c r="H2643">
        <v>1100.76</v>
      </c>
      <c r="I2643">
        <v>2188.31</v>
      </c>
      <c r="J2643">
        <v>21</v>
      </c>
      <c r="K2643">
        <v>0</v>
      </c>
      <c r="L2643">
        <v>18.4</v>
      </c>
      <c r="M2643">
        <v>34.5</v>
      </c>
      <c r="N2643" t="s">
        <v>52</v>
      </c>
      <c r="O2643" t="s">
        <v>47</v>
      </c>
      <c r="P2643" t="s">
        <v>58</v>
      </c>
      <c r="R2643">
        <f>SUMIF(A2643:A7642,"C02642",I2643:I7642)</f>
        <v>2188.31</v>
      </c>
      <c r="S2643" s="1">
        <v>13350.67</v>
      </c>
      <c r="T2643">
        <f t="shared" si="300"/>
        <v>104.205238095238</v>
      </c>
      <c r="U2643">
        <f t="shared" si="301"/>
        <v>724.5</v>
      </c>
      <c r="V2643">
        <f t="shared" si="306"/>
        <v>60.375</v>
      </c>
      <c r="W2643">
        <f t="shared" si="303"/>
        <v>1096.69</v>
      </c>
      <c r="X2643">
        <f t="shared" si="304"/>
        <v>1.10014898797195</v>
      </c>
      <c r="AH2643" t="str">
        <f t="shared" si="305"/>
        <v>3rd Quality</v>
      </c>
      <c r="AJ2643">
        <f>((T2643-X2643)*2)/18.4</f>
        <v>11.2070749029637</v>
      </c>
      <c r="AK2643">
        <f t="shared" si="302"/>
        <v>126192.543333333</v>
      </c>
    </row>
    <row r="2644" spans="1:37">
      <c r="A2644" t="s">
        <v>2710</v>
      </c>
      <c r="B2644">
        <v>20</v>
      </c>
      <c r="C2644" t="s">
        <v>44</v>
      </c>
      <c r="D2644" t="s">
        <v>51</v>
      </c>
      <c r="E2644">
        <v>1253</v>
      </c>
      <c r="F2644">
        <v>63</v>
      </c>
      <c r="G2644">
        <v>5</v>
      </c>
      <c r="H2644">
        <v>11285.81</v>
      </c>
      <c r="I2644">
        <v>61256.71</v>
      </c>
      <c r="J2644">
        <v>51</v>
      </c>
      <c r="K2644">
        <v>1</v>
      </c>
      <c r="L2644">
        <v>7.1</v>
      </c>
      <c r="M2644">
        <v>48</v>
      </c>
      <c r="N2644" t="s">
        <v>63</v>
      </c>
      <c r="O2644" t="s">
        <v>47</v>
      </c>
      <c r="P2644" t="s">
        <v>58</v>
      </c>
      <c r="R2644">
        <f>SUMIF(A2644:A7643,"C02643",I2644:I7643)</f>
        <v>61256.71</v>
      </c>
      <c r="S2644" s="1">
        <v>1286.94</v>
      </c>
      <c r="T2644">
        <f t="shared" si="300"/>
        <v>1201.11196078431</v>
      </c>
      <c r="U2644">
        <f t="shared" si="301"/>
        <v>2448</v>
      </c>
      <c r="V2644">
        <f>U2644</f>
        <v>2448</v>
      </c>
      <c r="W2644">
        <f t="shared" si="303"/>
        <v>24181.1733333333</v>
      </c>
      <c r="X2644">
        <f t="shared" si="304"/>
        <v>0.111024374856568</v>
      </c>
      <c r="AH2644" t="str">
        <f t="shared" si="305"/>
        <v>1st Quality</v>
      </c>
      <c r="AJ2644">
        <f>((T2644-X2644)*2)/7.1</f>
        <v>338.31012293224</v>
      </c>
      <c r="AK2644">
        <f t="shared" si="302"/>
        <v>1504993.28686274</v>
      </c>
    </row>
    <row r="2645" spans="1:37">
      <c r="A2645" t="s">
        <v>2711</v>
      </c>
      <c r="B2645">
        <v>20</v>
      </c>
      <c r="C2645" t="s">
        <v>44</v>
      </c>
      <c r="D2645" t="s">
        <v>60</v>
      </c>
      <c r="E2645">
        <v>813</v>
      </c>
      <c r="F2645">
        <v>228</v>
      </c>
      <c r="G2645">
        <v>2</v>
      </c>
      <c r="H2645">
        <v>3109.6</v>
      </c>
      <c r="I2645">
        <v>5675.67</v>
      </c>
      <c r="J2645">
        <v>24</v>
      </c>
      <c r="K2645">
        <v>0</v>
      </c>
      <c r="L2645">
        <v>3.1</v>
      </c>
      <c r="M2645">
        <v>36.3</v>
      </c>
      <c r="N2645" t="s">
        <v>46</v>
      </c>
      <c r="O2645" t="s">
        <v>47</v>
      </c>
      <c r="P2645" t="s">
        <v>68</v>
      </c>
      <c r="R2645">
        <f>SUMIF(A2645:A7644,"C02644",I2645:I7644)</f>
        <v>5675.67</v>
      </c>
      <c r="S2645" s="1">
        <v>4874.36</v>
      </c>
      <c r="T2645">
        <f t="shared" si="300"/>
        <v>236.48625</v>
      </c>
      <c r="U2645">
        <f t="shared" si="301"/>
        <v>871.2</v>
      </c>
      <c r="V2645">
        <f t="shared" si="306"/>
        <v>72.6</v>
      </c>
      <c r="W2645">
        <f t="shared" si="303"/>
        <v>2928.75666666667</v>
      </c>
      <c r="X2645">
        <f t="shared" si="304"/>
        <v>0.261448417802933</v>
      </c>
      <c r="AH2645" t="str">
        <f t="shared" si="305"/>
        <v>3rd Quality</v>
      </c>
      <c r="AJ2645">
        <f>((T2645-X2645)*2)/3.1</f>
        <v>152.403097794966</v>
      </c>
      <c r="AK2645">
        <f t="shared" si="302"/>
        <v>192263.32125</v>
      </c>
    </row>
    <row r="2646" spans="1:37">
      <c r="A2646" t="s">
        <v>2712</v>
      </c>
      <c r="B2646">
        <v>40</v>
      </c>
      <c r="C2646" t="s">
        <v>50</v>
      </c>
      <c r="D2646" t="s">
        <v>60</v>
      </c>
      <c r="E2646">
        <v>778</v>
      </c>
      <c r="F2646">
        <v>40</v>
      </c>
      <c r="G2646">
        <v>10</v>
      </c>
      <c r="H2646">
        <v>1509.99</v>
      </c>
      <c r="I2646">
        <v>13350.67</v>
      </c>
      <c r="J2646">
        <v>54</v>
      </c>
      <c r="K2646">
        <v>0</v>
      </c>
      <c r="L2646">
        <v>19.7</v>
      </c>
      <c r="M2646">
        <v>21.6</v>
      </c>
      <c r="N2646" t="s">
        <v>78</v>
      </c>
      <c r="O2646" t="s">
        <v>47</v>
      </c>
      <c r="P2646" t="s">
        <v>58</v>
      </c>
      <c r="R2646">
        <f>SUMIF(A2646:A7645,"C02645",I2646:I7645)</f>
        <v>13350.67</v>
      </c>
      <c r="S2646" s="1">
        <v>2280.01</v>
      </c>
      <c r="T2646">
        <f t="shared" ref="T2646:T2709" si="307">I2646/J2646</f>
        <v>247.23462962963</v>
      </c>
      <c r="U2646">
        <f t="shared" si="301"/>
        <v>1166.4</v>
      </c>
      <c r="V2646">
        <f t="shared" si="306"/>
        <v>97.2</v>
      </c>
      <c r="W2646">
        <f t="shared" si="303"/>
        <v>4953.88666666667</v>
      </c>
      <c r="X2646">
        <f t="shared" si="304"/>
        <v>0.515235200233114</v>
      </c>
      <c r="AH2646" t="str">
        <f t="shared" si="305"/>
        <v>3rd Quality</v>
      </c>
      <c r="AJ2646">
        <f>((T2646-X2646)*2)/19.7</f>
        <v>25.0476542567916</v>
      </c>
      <c r="AK2646">
        <f t="shared" si="302"/>
        <v>192348.541851852</v>
      </c>
    </row>
    <row r="2647" spans="1:37">
      <c r="A2647" t="s">
        <v>2713</v>
      </c>
      <c r="B2647">
        <v>50</v>
      </c>
      <c r="C2647" t="s">
        <v>50</v>
      </c>
      <c r="D2647" t="s">
        <v>60</v>
      </c>
      <c r="E2647">
        <v>860</v>
      </c>
      <c r="F2647">
        <v>188</v>
      </c>
      <c r="G2647">
        <v>2</v>
      </c>
      <c r="H2647">
        <v>662.86</v>
      </c>
      <c r="I2647">
        <v>1286.94</v>
      </c>
      <c r="J2647">
        <v>14</v>
      </c>
      <c r="K2647">
        <v>0</v>
      </c>
      <c r="L2647">
        <v>33.8</v>
      </c>
      <c r="M2647">
        <v>50.3</v>
      </c>
      <c r="N2647" t="s">
        <v>78</v>
      </c>
      <c r="O2647" t="s">
        <v>47</v>
      </c>
      <c r="P2647" t="s">
        <v>66</v>
      </c>
      <c r="R2647">
        <f>SUMIF(A2647:A7646,"C02646",I2647:I7646)</f>
        <v>1286.94</v>
      </c>
      <c r="S2647" s="1">
        <v>805.89</v>
      </c>
      <c r="T2647">
        <f t="shared" si="307"/>
        <v>91.9242857142857</v>
      </c>
      <c r="U2647">
        <f t="shared" si="301"/>
        <v>704.2</v>
      </c>
      <c r="V2647">
        <f t="shared" si="306"/>
        <v>58.6833333333333</v>
      </c>
      <c r="W2647">
        <f t="shared" si="303"/>
        <v>650.266666666667</v>
      </c>
      <c r="X2647">
        <f t="shared" si="304"/>
        <v>1.29740820082672</v>
      </c>
      <c r="AH2647" t="str">
        <f t="shared" si="305"/>
        <v>3rd Quality</v>
      </c>
      <c r="AJ2647">
        <f>((T2647-X2647)*2)/33.8</f>
        <v>5.3625371309739</v>
      </c>
      <c r="AK2647">
        <f t="shared" si="302"/>
        <v>79054.8857142857</v>
      </c>
    </row>
    <row r="2648" spans="1:37">
      <c r="A2648" t="s">
        <v>2714</v>
      </c>
      <c r="B2648">
        <v>18</v>
      </c>
      <c r="C2648" t="s">
        <v>44</v>
      </c>
      <c r="D2648" t="s">
        <v>60</v>
      </c>
      <c r="E2648">
        <v>375</v>
      </c>
      <c r="F2648">
        <v>64</v>
      </c>
      <c r="G2648">
        <v>3</v>
      </c>
      <c r="H2648">
        <v>1783.78</v>
      </c>
      <c r="I2648">
        <v>4874.36</v>
      </c>
      <c r="J2648">
        <v>18</v>
      </c>
      <c r="K2648">
        <v>0</v>
      </c>
      <c r="L2648">
        <v>30.2</v>
      </c>
      <c r="M2648">
        <v>8.7</v>
      </c>
      <c r="N2648" t="s">
        <v>61</v>
      </c>
      <c r="O2648" t="s">
        <v>75</v>
      </c>
      <c r="P2648" t="s">
        <v>58</v>
      </c>
      <c r="R2648">
        <f>SUMIF(A2648:A7647,"C02647",I2648:I7647)</f>
        <v>4874.36</v>
      </c>
      <c r="S2648" s="1">
        <v>2606.47</v>
      </c>
      <c r="T2648">
        <f t="shared" si="307"/>
        <v>270.797777777778</v>
      </c>
      <c r="U2648">
        <f t="shared" si="301"/>
        <v>156.6</v>
      </c>
      <c r="V2648">
        <f t="shared" si="306"/>
        <v>13.05</v>
      </c>
      <c r="W2648">
        <f t="shared" si="303"/>
        <v>2219.71333333333</v>
      </c>
      <c r="X2648">
        <f t="shared" si="304"/>
        <v>0.210227718664858</v>
      </c>
      <c r="AH2648" t="str">
        <f t="shared" si="305"/>
        <v>3rd Quality</v>
      </c>
      <c r="AJ2648">
        <f>((T2648-X2648)*2)/30.2</f>
        <v>17.919705301928</v>
      </c>
      <c r="AK2648">
        <f t="shared" si="302"/>
        <v>101549.166666667</v>
      </c>
    </row>
    <row r="2649" spans="1:37">
      <c r="A2649" t="s">
        <v>2715</v>
      </c>
      <c r="B2649">
        <v>44</v>
      </c>
      <c r="C2649" t="s">
        <v>44</v>
      </c>
      <c r="D2649" t="s">
        <v>60</v>
      </c>
      <c r="E2649">
        <v>1174</v>
      </c>
      <c r="F2649">
        <v>74</v>
      </c>
      <c r="G2649">
        <v>4</v>
      </c>
      <c r="H2649">
        <v>617.56</v>
      </c>
      <c r="I2649">
        <v>2280.01</v>
      </c>
      <c r="J2649">
        <v>24</v>
      </c>
      <c r="K2649">
        <v>0</v>
      </c>
      <c r="L2649">
        <v>25</v>
      </c>
      <c r="M2649">
        <v>38.6</v>
      </c>
      <c r="N2649" t="s">
        <v>46</v>
      </c>
      <c r="O2649" t="s">
        <v>75</v>
      </c>
      <c r="P2649" t="s">
        <v>66</v>
      </c>
      <c r="R2649">
        <f>SUMIF(A2649:A7648,"C02648",I2649:I7648)</f>
        <v>2280.01</v>
      </c>
      <c r="S2649" s="1">
        <v>1969.04</v>
      </c>
      <c r="T2649">
        <f t="shared" si="307"/>
        <v>95.0004166666667</v>
      </c>
      <c r="U2649">
        <f t="shared" si="301"/>
        <v>926.4</v>
      </c>
      <c r="V2649">
        <f t="shared" si="306"/>
        <v>77.2</v>
      </c>
      <c r="W2649">
        <f t="shared" si="303"/>
        <v>966.19</v>
      </c>
      <c r="X2649">
        <f t="shared" si="304"/>
        <v>1.90102985944686</v>
      </c>
      <c r="AH2649" t="str">
        <f t="shared" si="305"/>
        <v>3rd Quality</v>
      </c>
      <c r="AJ2649">
        <f>((T2649-X2649)*2)/25</f>
        <v>7.44795094457759</v>
      </c>
      <c r="AK2649">
        <f t="shared" si="302"/>
        <v>111530.489166667</v>
      </c>
    </row>
    <row r="2650" spans="1:37">
      <c r="A2650" t="s">
        <v>2716</v>
      </c>
      <c r="B2650">
        <v>40</v>
      </c>
      <c r="C2650" t="s">
        <v>50</v>
      </c>
      <c r="D2650" t="s">
        <v>60</v>
      </c>
      <c r="E2650">
        <v>1349</v>
      </c>
      <c r="F2650">
        <v>91</v>
      </c>
      <c r="G2650">
        <v>1</v>
      </c>
      <c r="H2650">
        <v>904.01</v>
      </c>
      <c r="I2650">
        <v>805.89</v>
      </c>
      <c r="J2650">
        <v>14</v>
      </c>
      <c r="K2650">
        <v>0</v>
      </c>
      <c r="L2650">
        <v>31.9</v>
      </c>
      <c r="M2650">
        <v>24.2</v>
      </c>
      <c r="N2650" t="s">
        <v>52</v>
      </c>
      <c r="O2650" t="s">
        <v>47</v>
      </c>
      <c r="P2650" t="s">
        <v>58</v>
      </c>
      <c r="R2650">
        <f>SUMIF(A2650:A7649,"C02649",I2650:I7649)</f>
        <v>805.89</v>
      </c>
      <c r="S2650" s="1">
        <v>11148.64</v>
      </c>
      <c r="T2650">
        <f t="shared" si="307"/>
        <v>57.5635714285714</v>
      </c>
      <c r="U2650">
        <f t="shared" si="301"/>
        <v>338.8</v>
      </c>
      <c r="V2650">
        <f t="shared" si="306"/>
        <v>28.2333333333333</v>
      </c>
      <c r="W2650">
        <f t="shared" si="303"/>
        <v>570.3</v>
      </c>
      <c r="X2650">
        <f t="shared" si="304"/>
        <v>1.49224013008706</v>
      </c>
      <c r="AH2650" t="str">
        <f t="shared" si="305"/>
        <v>3rd Quality</v>
      </c>
      <c r="AJ2650">
        <f>((T2650-X2650)*2)/31.9</f>
        <v>3.51544396855701</v>
      </c>
      <c r="AK2650">
        <f t="shared" si="302"/>
        <v>77653.2578571429</v>
      </c>
    </row>
    <row r="2651" spans="1:37">
      <c r="A2651" t="s">
        <v>2717</v>
      </c>
      <c r="B2651">
        <v>49</v>
      </c>
      <c r="C2651" t="s">
        <v>50</v>
      </c>
      <c r="D2651" t="s">
        <v>51</v>
      </c>
      <c r="E2651">
        <v>388</v>
      </c>
      <c r="F2651">
        <v>205</v>
      </c>
      <c r="G2651">
        <v>3</v>
      </c>
      <c r="H2651">
        <v>883.54</v>
      </c>
      <c r="I2651">
        <v>2606.47</v>
      </c>
      <c r="J2651">
        <v>24</v>
      </c>
      <c r="K2651">
        <v>0</v>
      </c>
      <c r="L2651">
        <v>28</v>
      </c>
      <c r="M2651">
        <v>12.7</v>
      </c>
      <c r="N2651" t="s">
        <v>57</v>
      </c>
      <c r="O2651" t="s">
        <v>47</v>
      </c>
      <c r="P2651" t="s">
        <v>58</v>
      </c>
      <c r="R2651">
        <f>SUMIF(A2651:A7650,"C02650",I2651:I7650)</f>
        <v>2606.47</v>
      </c>
      <c r="S2651" s="1">
        <v>4207.52</v>
      </c>
      <c r="T2651">
        <f t="shared" si="307"/>
        <v>108.602916666667</v>
      </c>
      <c r="U2651">
        <f t="shared" si="301"/>
        <v>304.8</v>
      </c>
      <c r="V2651">
        <f t="shared" si="306"/>
        <v>25.4</v>
      </c>
      <c r="W2651">
        <f t="shared" si="303"/>
        <v>1163.67</v>
      </c>
      <c r="X2651">
        <f t="shared" si="304"/>
        <v>0.439142540235869</v>
      </c>
      <c r="AH2651" t="str">
        <f t="shared" si="305"/>
        <v>3rd Quality</v>
      </c>
      <c r="AJ2651">
        <f>((T2651-X2651)*2)/28</f>
        <v>7.72598386617365</v>
      </c>
      <c r="AK2651">
        <f t="shared" si="302"/>
        <v>42137.9316666667</v>
      </c>
    </row>
    <row r="2652" spans="1:37">
      <c r="A2652" t="s">
        <v>2718</v>
      </c>
      <c r="B2652">
        <v>43</v>
      </c>
      <c r="C2652" t="s">
        <v>44</v>
      </c>
      <c r="D2652" t="s">
        <v>60</v>
      </c>
      <c r="E2652">
        <v>1343</v>
      </c>
      <c r="F2652">
        <v>205</v>
      </c>
      <c r="G2652">
        <v>1</v>
      </c>
      <c r="H2652">
        <v>1862.97</v>
      </c>
      <c r="I2652">
        <v>1969.04</v>
      </c>
      <c r="J2652">
        <v>17</v>
      </c>
      <c r="K2652">
        <v>0</v>
      </c>
      <c r="L2652">
        <v>8.4</v>
      </c>
      <c r="M2652">
        <v>5.6</v>
      </c>
      <c r="N2652" t="s">
        <v>61</v>
      </c>
      <c r="O2652" t="s">
        <v>47</v>
      </c>
      <c r="P2652" t="s">
        <v>58</v>
      </c>
      <c r="R2652">
        <f>SUMIF(A2652:A7651,"C02651",I2652:I7651)</f>
        <v>1969.04</v>
      </c>
      <c r="S2652" s="1">
        <v>454.13</v>
      </c>
      <c r="T2652">
        <f t="shared" si="307"/>
        <v>115.825882352941</v>
      </c>
      <c r="U2652">
        <f t="shared" si="301"/>
        <v>95.2</v>
      </c>
      <c r="V2652">
        <f t="shared" si="306"/>
        <v>7.93333333333333</v>
      </c>
      <c r="W2652">
        <f t="shared" si="303"/>
        <v>1277.67</v>
      </c>
      <c r="X2652">
        <f t="shared" si="304"/>
        <v>0.72089190915581</v>
      </c>
      <c r="AH2652" t="str">
        <f t="shared" si="305"/>
        <v>3rd Quality</v>
      </c>
      <c r="AJ2652">
        <f>((T2652-X2652)*2)/8.4</f>
        <v>27.4059501056631</v>
      </c>
      <c r="AK2652">
        <f t="shared" si="302"/>
        <v>155554.16</v>
      </c>
    </row>
    <row r="2653" spans="1:37">
      <c r="A2653" t="s">
        <v>2719</v>
      </c>
      <c r="B2653">
        <v>42</v>
      </c>
      <c r="C2653" t="s">
        <v>44</v>
      </c>
      <c r="D2653" t="s">
        <v>45</v>
      </c>
      <c r="E2653">
        <v>1087</v>
      </c>
      <c r="F2653">
        <v>68</v>
      </c>
      <c r="G2653">
        <v>8</v>
      </c>
      <c r="H2653">
        <v>1374.88</v>
      </c>
      <c r="I2653">
        <v>11148.64</v>
      </c>
      <c r="J2653">
        <v>47</v>
      </c>
      <c r="K2653">
        <v>0</v>
      </c>
      <c r="L2653">
        <v>8.4</v>
      </c>
      <c r="M2653">
        <v>44.6</v>
      </c>
      <c r="N2653" t="s">
        <v>63</v>
      </c>
      <c r="O2653" t="s">
        <v>47</v>
      </c>
      <c r="P2653" t="s">
        <v>58</v>
      </c>
      <c r="R2653">
        <f>SUMIF(A2653:A7652,"C02652",I2653:I7652)</f>
        <v>11148.64</v>
      </c>
      <c r="S2653" s="1">
        <v>36158.69</v>
      </c>
      <c r="T2653">
        <f t="shared" si="307"/>
        <v>237.205106382979</v>
      </c>
      <c r="U2653">
        <f t="shared" si="301"/>
        <v>2096.2</v>
      </c>
      <c r="V2653">
        <f t="shared" si="306"/>
        <v>174.683333333333</v>
      </c>
      <c r="W2653">
        <f t="shared" si="303"/>
        <v>4174.84</v>
      </c>
      <c r="X2653">
        <f t="shared" si="304"/>
        <v>0.790614453625044</v>
      </c>
      <c r="AH2653" t="str">
        <f t="shared" si="305"/>
        <v>3rd Quality</v>
      </c>
      <c r="AJ2653">
        <f>((T2653-X2653)*2)/8.4</f>
        <v>56.2891647450843</v>
      </c>
      <c r="AK2653">
        <f t="shared" si="302"/>
        <v>257841.950638298</v>
      </c>
    </row>
    <row r="2654" spans="1:37">
      <c r="A2654" t="s">
        <v>2720</v>
      </c>
      <c r="B2654">
        <v>37</v>
      </c>
      <c r="C2654" t="s">
        <v>50</v>
      </c>
      <c r="D2654" t="s">
        <v>60</v>
      </c>
      <c r="E2654">
        <v>973</v>
      </c>
      <c r="F2654">
        <v>42</v>
      </c>
      <c r="G2654">
        <v>5</v>
      </c>
      <c r="H2654">
        <v>871.48</v>
      </c>
      <c r="I2654">
        <v>4207.52</v>
      </c>
      <c r="J2654">
        <v>23</v>
      </c>
      <c r="K2654">
        <v>0</v>
      </c>
      <c r="L2654">
        <v>28.2</v>
      </c>
      <c r="M2654">
        <v>24.2</v>
      </c>
      <c r="N2654" t="s">
        <v>63</v>
      </c>
      <c r="O2654" t="s">
        <v>47</v>
      </c>
      <c r="P2654" t="s">
        <v>66</v>
      </c>
      <c r="R2654">
        <f>SUMIF(A2654:A7653,"C02653",I2654:I7653)</f>
        <v>4207.52</v>
      </c>
      <c r="S2654" s="1">
        <v>2087.45</v>
      </c>
      <c r="T2654">
        <f t="shared" si="307"/>
        <v>182.935652173913</v>
      </c>
      <c r="U2654">
        <f t="shared" si="301"/>
        <v>556.6</v>
      </c>
      <c r="V2654">
        <f t="shared" si="306"/>
        <v>46.3833333333333</v>
      </c>
      <c r="W2654">
        <f t="shared" si="303"/>
        <v>1693.33333333333</v>
      </c>
      <c r="X2654">
        <f t="shared" si="304"/>
        <v>1.11649148574838</v>
      </c>
      <c r="AH2654" t="str">
        <f t="shared" si="305"/>
        <v>3rd Quality</v>
      </c>
      <c r="AJ2654">
        <f>((T2654-X2654)*2)/28.2</f>
        <v>12.8949759353308</v>
      </c>
      <c r="AK2654">
        <f t="shared" si="302"/>
        <v>177996.389565217</v>
      </c>
    </row>
    <row r="2655" spans="1:37">
      <c r="A2655" t="s">
        <v>2721</v>
      </c>
      <c r="B2655">
        <v>38</v>
      </c>
      <c r="C2655" t="s">
        <v>101</v>
      </c>
      <c r="D2655" t="s">
        <v>60</v>
      </c>
      <c r="E2655">
        <v>1141</v>
      </c>
      <c r="F2655">
        <v>124</v>
      </c>
      <c r="G2655">
        <v>1</v>
      </c>
      <c r="H2655">
        <v>514.41</v>
      </c>
      <c r="I2655">
        <v>454.13</v>
      </c>
      <c r="J2655">
        <v>15</v>
      </c>
      <c r="K2655">
        <v>0</v>
      </c>
      <c r="L2655">
        <v>26.9</v>
      </c>
      <c r="M2655">
        <v>53.8</v>
      </c>
      <c r="N2655" t="s">
        <v>78</v>
      </c>
      <c r="O2655" t="s">
        <v>53</v>
      </c>
      <c r="P2655" t="s">
        <v>66</v>
      </c>
      <c r="R2655">
        <f>SUMIF(A2655:A7654,"C02654",I2655:I7654)</f>
        <v>454.13</v>
      </c>
      <c r="S2655" s="1">
        <v>12905.91</v>
      </c>
      <c r="T2655">
        <f t="shared" si="307"/>
        <v>30.2753333333333</v>
      </c>
      <c r="U2655">
        <f t="shared" si="301"/>
        <v>807</v>
      </c>
      <c r="V2655">
        <f t="shared" si="306"/>
        <v>67.25</v>
      </c>
      <c r="W2655">
        <f t="shared" si="303"/>
        <v>323.18</v>
      </c>
      <c r="X2655">
        <f t="shared" si="304"/>
        <v>2.21807507630101</v>
      </c>
      <c r="AH2655" t="str">
        <f t="shared" si="305"/>
        <v>3rd Quality</v>
      </c>
      <c r="AJ2655">
        <f>((T2655-X2655)*2)/26.9</f>
        <v>2.08604150609906</v>
      </c>
      <c r="AK2655">
        <f t="shared" si="302"/>
        <v>34544.1553333333</v>
      </c>
    </row>
    <row r="2656" spans="1:37">
      <c r="A2656" t="s">
        <v>2722</v>
      </c>
      <c r="B2656">
        <v>32</v>
      </c>
      <c r="C2656" t="s">
        <v>50</v>
      </c>
      <c r="D2656" t="s">
        <v>60</v>
      </c>
      <c r="E2656">
        <v>393</v>
      </c>
      <c r="F2656">
        <v>5</v>
      </c>
      <c r="G2656">
        <v>10</v>
      </c>
      <c r="H2656">
        <v>3608.02</v>
      </c>
      <c r="I2656">
        <v>36158.69</v>
      </c>
      <c r="J2656">
        <v>76</v>
      </c>
      <c r="K2656">
        <v>0</v>
      </c>
      <c r="L2656">
        <v>19.5</v>
      </c>
      <c r="M2656">
        <v>2.8</v>
      </c>
      <c r="N2656" t="s">
        <v>46</v>
      </c>
      <c r="O2656" t="s">
        <v>53</v>
      </c>
      <c r="P2656" t="s">
        <v>68</v>
      </c>
      <c r="R2656">
        <f>SUMIF(A2656:A7655,"C02655",I2656:I7655)</f>
        <v>36158.69</v>
      </c>
      <c r="S2656" s="1">
        <v>113438.81</v>
      </c>
      <c r="T2656">
        <f t="shared" si="307"/>
        <v>475.772236842105</v>
      </c>
      <c r="U2656">
        <f t="shared" si="301"/>
        <v>212.8</v>
      </c>
      <c r="V2656">
        <f t="shared" si="306"/>
        <v>17.7333333333333</v>
      </c>
      <c r="W2656">
        <f t="shared" si="303"/>
        <v>13255.9033333333</v>
      </c>
      <c r="X2656">
        <f t="shared" si="304"/>
        <v>0.108924008181773</v>
      </c>
      <c r="AH2656" t="str">
        <f t="shared" si="305"/>
        <v>3rd Quality</v>
      </c>
      <c r="AJ2656">
        <f>((T2656-X2656)*2)/19.5</f>
        <v>48.7859808034793</v>
      </c>
      <c r="AK2656">
        <f t="shared" si="302"/>
        <v>186978.489078947</v>
      </c>
    </row>
    <row r="2657" spans="1:37">
      <c r="A2657" t="s">
        <v>2723</v>
      </c>
      <c r="B2657">
        <v>27</v>
      </c>
      <c r="C2657" t="s">
        <v>50</v>
      </c>
      <c r="D2657" t="s">
        <v>51</v>
      </c>
      <c r="E2657">
        <v>1429</v>
      </c>
      <c r="F2657">
        <v>108</v>
      </c>
      <c r="G2657">
        <v>1</v>
      </c>
      <c r="H2657">
        <v>2177.49</v>
      </c>
      <c r="I2657">
        <v>2087.45</v>
      </c>
      <c r="J2657">
        <v>11</v>
      </c>
      <c r="K2657">
        <v>0</v>
      </c>
      <c r="L2657">
        <v>22.2</v>
      </c>
      <c r="M2657">
        <v>40.4</v>
      </c>
      <c r="N2657" t="s">
        <v>78</v>
      </c>
      <c r="O2657" t="s">
        <v>47</v>
      </c>
      <c r="P2657" t="s">
        <v>68</v>
      </c>
      <c r="R2657">
        <f>SUMIF(A2657:A7656,"C02656",I2657:I7656)</f>
        <v>2087.45</v>
      </c>
      <c r="S2657" s="1">
        <v>39214.98</v>
      </c>
      <c r="T2657">
        <f t="shared" si="307"/>
        <v>189.768181818182</v>
      </c>
      <c r="U2657">
        <f t="shared" si="301"/>
        <v>444.4</v>
      </c>
      <c r="V2657">
        <f t="shared" si="306"/>
        <v>37.0333333333333</v>
      </c>
      <c r="W2657">
        <f t="shared" si="303"/>
        <v>1421.98</v>
      </c>
      <c r="X2657">
        <f t="shared" si="304"/>
        <v>0.656260189484223</v>
      </c>
      <c r="AH2657" t="str">
        <f t="shared" si="305"/>
        <v>3rd Quality</v>
      </c>
      <c r="AJ2657">
        <f>((T2657-X2657)*2)/22.2</f>
        <v>17.0371100566394</v>
      </c>
      <c r="AK2657">
        <f t="shared" si="302"/>
        <v>271178.731818182</v>
      </c>
    </row>
    <row r="2658" spans="1:37">
      <c r="A2658" t="s">
        <v>2724</v>
      </c>
      <c r="B2658">
        <v>32</v>
      </c>
      <c r="C2658" t="s">
        <v>50</v>
      </c>
      <c r="D2658" t="s">
        <v>60</v>
      </c>
      <c r="E2658">
        <v>1319</v>
      </c>
      <c r="F2658">
        <v>19</v>
      </c>
      <c r="G2658">
        <v>10</v>
      </c>
      <c r="H2658">
        <v>1376.88</v>
      </c>
      <c r="I2658">
        <v>12905.91</v>
      </c>
      <c r="J2658">
        <v>77</v>
      </c>
      <c r="K2658">
        <v>3</v>
      </c>
      <c r="L2658">
        <v>31</v>
      </c>
      <c r="M2658">
        <v>2.3</v>
      </c>
      <c r="N2658" t="s">
        <v>61</v>
      </c>
      <c r="O2658" t="s">
        <v>75</v>
      </c>
      <c r="P2658" t="s">
        <v>68</v>
      </c>
      <c r="R2658">
        <f>SUMIF(A2658:A7657,"C02657",I2658:I7657)</f>
        <v>12905.91</v>
      </c>
      <c r="S2658" s="1">
        <v>10784.33</v>
      </c>
      <c r="T2658">
        <f t="shared" si="307"/>
        <v>167.609220779221</v>
      </c>
      <c r="U2658">
        <f t="shared" ref="U2658:U2721" si="308">J2658*M2658</f>
        <v>177.1</v>
      </c>
      <c r="V2658">
        <f>U2658</f>
        <v>177.1</v>
      </c>
      <c r="W2658">
        <f t="shared" si="303"/>
        <v>4761.26333333333</v>
      </c>
      <c r="X2658">
        <f t="shared" si="304"/>
        <v>0.957962930683865</v>
      </c>
      <c r="AH2658" t="str">
        <f t="shared" si="305"/>
        <v>3rd Quality</v>
      </c>
      <c r="AJ2658">
        <f>((T2658-X2658)*2)/31</f>
        <v>10.7516940547443</v>
      </c>
      <c r="AK2658">
        <f t="shared" si="302"/>
        <v>221076.562207792</v>
      </c>
    </row>
    <row r="2659" spans="1:37">
      <c r="A2659" t="s">
        <v>2725</v>
      </c>
      <c r="B2659">
        <v>26</v>
      </c>
      <c r="C2659" t="s">
        <v>44</v>
      </c>
      <c r="D2659" t="s">
        <v>45</v>
      </c>
      <c r="E2659">
        <v>1166</v>
      </c>
      <c r="F2659">
        <v>19</v>
      </c>
      <c r="G2659">
        <v>6</v>
      </c>
      <c r="H2659">
        <v>19128.92</v>
      </c>
      <c r="I2659">
        <v>113438.81</v>
      </c>
      <c r="J2659">
        <v>36</v>
      </c>
      <c r="K2659">
        <v>0</v>
      </c>
      <c r="L2659">
        <v>10.5</v>
      </c>
      <c r="M2659">
        <v>4.1</v>
      </c>
      <c r="N2659" t="s">
        <v>57</v>
      </c>
      <c r="O2659" t="s">
        <v>75</v>
      </c>
      <c r="P2659" t="s">
        <v>68</v>
      </c>
      <c r="R2659">
        <f>SUMIF(A2659:A7658,"C02659",I2659:I7658)</f>
        <v>39214.98</v>
      </c>
      <c r="S2659" s="1">
        <v>2276.2</v>
      </c>
      <c r="T2659">
        <f t="shared" si="307"/>
        <v>3151.07805555556</v>
      </c>
      <c r="U2659">
        <f t="shared" si="308"/>
        <v>147.6</v>
      </c>
      <c r="V2659">
        <f t="shared" si="306"/>
        <v>12.3</v>
      </c>
      <c r="W2659">
        <f t="shared" si="303"/>
        <v>44189.5766666667</v>
      </c>
      <c r="X2659">
        <f t="shared" si="304"/>
        <v>0.0609548265139903</v>
      </c>
      <c r="AH2659" t="str">
        <f t="shared" si="305"/>
        <v>1st Quality</v>
      </c>
      <c r="AJ2659">
        <f>((T2659-X2659)*2)/10.5</f>
        <v>600.193733472199</v>
      </c>
      <c r="AK2659">
        <f t="shared" si="302"/>
        <v>3674157.01277778</v>
      </c>
    </row>
    <row r="2660" spans="1:37">
      <c r="A2660" t="s">
        <v>2726</v>
      </c>
      <c r="B2660">
        <v>29</v>
      </c>
      <c r="C2660" t="s">
        <v>50</v>
      </c>
      <c r="D2660" t="s">
        <v>60</v>
      </c>
      <c r="E2660">
        <v>731</v>
      </c>
      <c r="F2660">
        <v>19</v>
      </c>
      <c r="G2660">
        <v>20</v>
      </c>
      <c r="H2660">
        <v>2129.36</v>
      </c>
      <c r="I2660">
        <v>39214.98</v>
      </c>
      <c r="J2660">
        <v>172</v>
      </c>
      <c r="K2660">
        <v>3</v>
      </c>
      <c r="L2660">
        <v>6.1</v>
      </c>
      <c r="M2660">
        <v>40.6</v>
      </c>
      <c r="N2660" t="s">
        <v>57</v>
      </c>
      <c r="O2660" t="s">
        <v>47</v>
      </c>
      <c r="P2660" t="s">
        <v>58</v>
      </c>
      <c r="R2660">
        <f>SUMIF(A2660:A7659,"C02659",I2660:I7659)</f>
        <v>39214.98</v>
      </c>
      <c r="S2660" s="1">
        <v>11304.02</v>
      </c>
      <c r="T2660">
        <f t="shared" si="307"/>
        <v>227.994069767442</v>
      </c>
      <c r="U2660">
        <f t="shared" si="308"/>
        <v>6983.2</v>
      </c>
      <c r="V2660">
        <f>U2660</f>
        <v>6983.2</v>
      </c>
      <c r="W2660">
        <f t="shared" si="303"/>
        <v>13781.78</v>
      </c>
      <c r="X2660">
        <f t="shared" si="304"/>
        <v>0.34329563812601</v>
      </c>
      <c r="AH2660" t="str">
        <f t="shared" si="305"/>
        <v>2nd Quality</v>
      </c>
      <c r="AJ2660">
        <f>((T2660-X2660)*2)/6.1</f>
        <v>74.6395980751856</v>
      </c>
      <c r="AK2660">
        <f t="shared" si="302"/>
        <v>166663.665</v>
      </c>
    </row>
    <row r="2661" spans="1:37">
      <c r="A2661" t="s">
        <v>2727</v>
      </c>
      <c r="B2661">
        <v>44</v>
      </c>
      <c r="C2661" t="s">
        <v>50</v>
      </c>
      <c r="D2661" t="s">
        <v>45</v>
      </c>
      <c r="E2661">
        <v>512</v>
      </c>
      <c r="F2661">
        <v>6</v>
      </c>
      <c r="G2661">
        <v>6</v>
      </c>
      <c r="H2661">
        <v>1877.78</v>
      </c>
      <c r="I2661">
        <v>10784.33</v>
      </c>
      <c r="J2661">
        <v>45</v>
      </c>
      <c r="K2661">
        <v>0</v>
      </c>
      <c r="L2661">
        <v>22.4</v>
      </c>
      <c r="M2661">
        <v>23.2</v>
      </c>
      <c r="N2661" t="s">
        <v>52</v>
      </c>
      <c r="O2661" t="s">
        <v>75</v>
      </c>
      <c r="P2661" t="s">
        <v>58</v>
      </c>
      <c r="R2661">
        <f>SUMIF(A2661:A7660,"C02660",I2661:I7660)</f>
        <v>10784.33</v>
      </c>
      <c r="S2661" s="1">
        <v>8863.72</v>
      </c>
      <c r="T2661">
        <f t="shared" si="307"/>
        <v>239.651777777778</v>
      </c>
      <c r="U2661">
        <f t="shared" si="308"/>
        <v>1044</v>
      </c>
      <c r="V2661">
        <f t="shared" si="306"/>
        <v>87</v>
      </c>
      <c r="W2661">
        <f t="shared" si="303"/>
        <v>4221.03666666667</v>
      </c>
      <c r="X2661">
        <f t="shared" si="304"/>
        <v>0.272662399216096</v>
      </c>
      <c r="AH2661" t="str">
        <f t="shared" si="305"/>
        <v>3rd Quality</v>
      </c>
      <c r="AJ2661">
        <f>((T2661-X2661)*2)/22.4</f>
        <v>21.3731353016573</v>
      </c>
      <c r="AK2661">
        <f t="shared" si="302"/>
        <v>122701.710222222</v>
      </c>
    </row>
    <row r="2662" spans="1:37">
      <c r="A2662" t="s">
        <v>2728</v>
      </c>
      <c r="B2662">
        <v>24</v>
      </c>
      <c r="C2662" t="s">
        <v>50</v>
      </c>
      <c r="D2662" t="s">
        <v>60</v>
      </c>
      <c r="E2662">
        <v>701</v>
      </c>
      <c r="F2662">
        <v>194</v>
      </c>
      <c r="G2662">
        <v>3</v>
      </c>
      <c r="H2662">
        <v>688.33</v>
      </c>
      <c r="I2662">
        <v>2276.2</v>
      </c>
      <c r="J2662">
        <v>15</v>
      </c>
      <c r="K2662">
        <v>0</v>
      </c>
      <c r="L2662">
        <v>36.2</v>
      </c>
      <c r="M2662">
        <v>42</v>
      </c>
      <c r="N2662" t="s">
        <v>63</v>
      </c>
      <c r="O2662" t="s">
        <v>53</v>
      </c>
      <c r="P2662" t="s">
        <v>58</v>
      </c>
      <c r="R2662">
        <f>SUMIF(A2662:A7661,"C02661",I2662:I7661)</f>
        <v>2276.2</v>
      </c>
      <c r="S2662" s="1">
        <v>6298.83</v>
      </c>
      <c r="T2662">
        <f t="shared" si="307"/>
        <v>151.746666666667</v>
      </c>
      <c r="U2662">
        <f t="shared" si="308"/>
        <v>630</v>
      </c>
      <c r="V2662">
        <f t="shared" si="306"/>
        <v>52.5</v>
      </c>
      <c r="W2662">
        <f t="shared" si="303"/>
        <v>988.51</v>
      </c>
      <c r="X2662">
        <f t="shared" si="304"/>
        <v>1.0184068687984</v>
      </c>
      <c r="AH2662" t="str">
        <f t="shared" si="305"/>
        <v>3rd Quality</v>
      </c>
      <c r="AJ2662">
        <f>((T2662-X2662)*2)/36.2</f>
        <v>8.3275281656281</v>
      </c>
      <c r="AK2662">
        <f t="shared" si="302"/>
        <v>106374.413333333</v>
      </c>
    </row>
    <row r="2663" spans="1:37">
      <c r="A2663" t="s">
        <v>2729</v>
      </c>
      <c r="B2663">
        <v>33</v>
      </c>
      <c r="C2663" t="s">
        <v>50</v>
      </c>
      <c r="D2663" t="s">
        <v>45</v>
      </c>
      <c r="E2663">
        <v>913</v>
      </c>
      <c r="F2663">
        <v>5</v>
      </c>
      <c r="G2663">
        <v>7</v>
      </c>
      <c r="H2663">
        <v>1573.01</v>
      </c>
      <c r="I2663">
        <v>11304.02</v>
      </c>
      <c r="J2663">
        <v>20</v>
      </c>
      <c r="K2663">
        <v>1</v>
      </c>
      <c r="L2663">
        <v>27.7</v>
      </c>
      <c r="M2663">
        <v>42.8</v>
      </c>
      <c r="N2663" t="s">
        <v>61</v>
      </c>
      <c r="O2663" t="s">
        <v>47</v>
      </c>
      <c r="P2663" t="s">
        <v>66</v>
      </c>
      <c r="R2663">
        <f>SUMIF(A2663:A7662,"C02662",I2663:I7662)</f>
        <v>11304.02</v>
      </c>
      <c r="S2663" s="1">
        <v>9961</v>
      </c>
      <c r="T2663">
        <f t="shared" si="307"/>
        <v>565.201</v>
      </c>
      <c r="U2663">
        <f t="shared" si="308"/>
        <v>856</v>
      </c>
      <c r="V2663">
        <f>U2663</f>
        <v>856</v>
      </c>
      <c r="W2663">
        <f t="shared" si="303"/>
        <v>4292.67666666667</v>
      </c>
      <c r="X2663">
        <f t="shared" si="304"/>
        <v>0.580415890553779</v>
      </c>
      <c r="AH2663" t="str">
        <f t="shared" si="305"/>
        <v>3rd Quality</v>
      </c>
      <c r="AJ2663">
        <f>((T2663-X2663)*2)/27.7</f>
        <v>40.7668291775773</v>
      </c>
      <c r="AK2663">
        <f t="shared" si="302"/>
        <v>516028.513</v>
      </c>
    </row>
    <row r="2664" spans="1:37">
      <c r="A2664" t="s">
        <v>2730</v>
      </c>
      <c r="B2664">
        <v>18</v>
      </c>
      <c r="C2664" t="s">
        <v>44</v>
      </c>
      <c r="D2664" t="s">
        <v>51</v>
      </c>
      <c r="E2664">
        <v>1446</v>
      </c>
      <c r="F2664">
        <v>25</v>
      </c>
      <c r="G2664">
        <v>5</v>
      </c>
      <c r="H2664">
        <v>1586.29</v>
      </c>
      <c r="I2664">
        <v>8863.72</v>
      </c>
      <c r="J2664">
        <v>45</v>
      </c>
      <c r="K2664">
        <v>0</v>
      </c>
      <c r="L2664">
        <v>25.6</v>
      </c>
      <c r="M2664">
        <v>12.8</v>
      </c>
      <c r="N2664" t="s">
        <v>61</v>
      </c>
      <c r="O2664" t="s">
        <v>47</v>
      </c>
      <c r="P2664" t="s">
        <v>48</v>
      </c>
      <c r="R2664">
        <f>SUMIF(A2664:A7663,"C02663",I2664:I7663)</f>
        <v>8863.72</v>
      </c>
      <c r="S2664" s="1">
        <v>1615.03</v>
      </c>
      <c r="T2664">
        <f t="shared" si="307"/>
        <v>196.971555555556</v>
      </c>
      <c r="U2664">
        <f t="shared" si="308"/>
        <v>576</v>
      </c>
      <c r="V2664">
        <f t="shared" si="306"/>
        <v>48</v>
      </c>
      <c r="W2664">
        <f t="shared" si="303"/>
        <v>3483.67</v>
      </c>
      <c r="X2664">
        <f t="shared" si="304"/>
        <v>0.911560937785651</v>
      </c>
      <c r="AH2664" t="str">
        <f t="shared" si="305"/>
        <v>3rd Quality</v>
      </c>
      <c r="AJ2664">
        <f>((T2664-X2664)*2)/25.6</f>
        <v>15.3171870795133</v>
      </c>
      <c r="AK2664">
        <f t="shared" si="302"/>
        <v>284820.869333333</v>
      </c>
    </row>
    <row r="2665" spans="1:37">
      <c r="A2665" t="s">
        <v>2731</v>
      </c>
      <c r="B2665">
        <v>31</v>
      </c>
      <c r="C2665" t="s">
        <v>50</v>
      </c>
      <c r="D2665" t="s">
        <v>51</v>
      </c>
      <c r="E2665">
        <v>812</v>
      </c>
      <c r="F2665">
        <v>27</v>
      </c>
      <c r="G2665">
        <v>11</v>
      </c>
      <c r="H2665">
        <v>555.57</v>
      </c>
      <c r="I2665">
        <v>6298.83</v>
      </c>
      <c r="J2665">
        <v>66</v>
      </c>
      <c r="K2665">
        <v>0</v>
      </c>
      <c r="L2665">
        <v>18.1</v>
      </c>
      <c r="M2665">
        <v>30.1</v>
      </c>
      <c r="N2665" t="s">
        <v>46</v>
      </c>
      <c r="O2665" t="s">
        <v>53</v>
      </c>
      <c r="P2665" t="s">
        <v>58</v>
      </c>
      <c r="R2665">
        <f>SUMIF(A2665:A7664,"C02664",I2665:I7664)</f>
        <v>6298.83</v>
      </c>
      <c r="S2665" s="1">
        <v>1680.3</v>
      </c>
      <c r="T2665">
        <f t="shared" si="307"/>
        <v>95.4368181818182</v>
      </c>
      <c r="U2665">
        <f t="shared" si="308"/>
        <v>1986.6</v>
      </c>
      <c r="V2665">
        <f t="shared" si="306"/>
        <v>165.55</v>
      </c>
      <c r="W2665">
        <f t="shared" si="303"/>
        <v>2285.13333333333</v>
      </c>
      <c r="X2665">
        <f t="shared" si="304"/>
        <v>1.46156199938802</v>
      </c>
      <c r="AH2665" t="str">
        <f t="shared" si="305"/>
        <v>3rd Quality</v>
      </c>
      <c r="AJ2665">
        <f>((T2665-X2665)*2)/18.1</f>
        <v>10.3840062080033</v>
      </c>
      <c r="AK2665">
        <f t="shared" si="302"/>
        <v>77494.6963636364</v>
      </c>
    </row>
    <row r="2666" spans="1:37">
      <c r="A2666" t="s">
        <v>2732</v>
      </c>
      <c r="B2666">
        <v>48</v>
      </c>
      <c r="C2666" t="s">
        <v>56</v>
      </c>
      <c r="D2666" t="s">
        <v>51</v>
      </c>
      <c r="E2666">
        <v>1165</v>
      </c>
      <c r="F2666">
        <v>75</v>
      </c>
      <c r="G2666">
        <v>2</v>
      </c>
      <c r="H2666">
        <v>5513.83</v>
      </c>
      <c r="I2666">
        <v>9961</v>
      </c>
      <c r="J2666">
        <v>24</v>
      </c>
      <c r="K2666">
        <v>1</v>
      </c>
      <c r="L2666">
        <v>13.3</v>
      </c>
      <c r="M2666">
        <v>23.9</v>
      </c>
      <c r="N2666" t="s">
        <v>61</v>
      </c>
      <c r="O2666" t="s">
        <v>47</v>
      </c>
      <c r="P2666" t="s">
        <v>48</v>
      </c>
      <c r="R2666">
        <f>SUMIF(A2666:A7665,"C02665",I2666:I7665)</f>
        <v>9961</v>
      </c>
      <c r="S2666" s="1">
        <v>150494.84</v>
      </c>
      <c r="T2666">
        <f t="shared" si="307"/>
        <v>415.041666666667</v>
      </c>
      <c r="U2666">
        <f t="shared" si="308"/>
        <v>573.6</v>
      </c>
      <c r="V2666">
        <f>U2666</f>
        <v>573.6</v>
      </c>
      <c r="W2666">
        <f t="shared" si="303"/>
        <v>5158.61</v>
      </c>
      <c r="X2666">
        <f t="shared" si="304"/>
        <v>0.211286891325993</v>
      </c>
      <c r="AH2666" t="str">
        <f t="shared" si="305"/>
        <v>3rd Quality</v>
      </c>
      <c r="AJ2666">
        <f>((T2666-X2666)*2)/13.3</f>
        <v>62.3805082368934</v>
      </c>
      <c r="AK2666">
        <f t="shared" si="302"/>
        <v>483523.541666667</v>
      </c>
    </row>
    <row r="2667" spans="1:37">
      <c r="A2667" t="s">
        <v>2733</v>
      </c>
      <c r="B2667">
        <v>34</v>
      </c>
      <c r="C2667" t="s">
        <v>44</v>
      </c>
      <c r="D2667" t="s">
        <v>51</v>
      </c>
      <c r="E2667">
        <v>807</v>
      </c>
      <c r="F2667">
        <v>142</v>
      </c>
      <c r="G2667">
        <v>1</v>
      </c>
      <c r="H2667">
        <v>1553.22</v>
      </c>
      <c r="I2667">
        <v>1615.03</v>
      </c>
      <c r="J2667">
        <v>8</v>
      </c>
      <c r="K2667">
        <v>0</v>
      </c>
      <c r="L2667">
        <v>38.4</v>
      </c>
      <c r="M2667">
        <v>15.3</v>
      </c>
      <c r="N2667" t="s">
        <v>52</v>
      </c>
      <c r="O2667" t="s">
        <v>47</v>
      </c>
      <c r="P2667" t="s">
        <v>68</v>
      </c>
      <c r="R2667">
        <f>SUMIF(A2667:A7666,"C02666",I2667:I7666)</f>
        <v>1615.03</v>
      </c>
      <c r="S2667" s="1">
        <v>47501.11</v>
      </c>
      <c r="T2667">
        <f t="shared" si="307"/>
        <v>201.87875</v>
      </c>
      <c r="U2667">
        <f t="shared" si="308"/>
        <v>122.4</v>
      </c>
      <c r="V2667">
        <f t="shared" si="306"/>
        <v>10.2</v>
      </c>
      <c r="W2667">
        <f t="shared" si="303"/>
        <v>1056.41666666667</v>
      </c>
      <c r="X2667">
        <f t="shared" si="304"/>
        <v>0.519565805230425</v>
      </c>
      <c r="AH2667" t="str">
        <f t="shared" si="305"/>
        <v>3rd Quality</v>
      </c>
      <c r="AJ2667">
        <f>((T2667-X2667)*2)/38.4</f>
        <v>10.4874575101442</v>
      </c>
      <c r="AK2667">
        <f t="shared" si="302"/>
        <v>162916.15125</v>
      </c>
    </row>
    <row r="2668" spans="1:37">
      <c r="A2668" t="s">
        <v>2734</v>
      </c>
      <c r="B2668">
        <v>22</v>
      </c>
      <c r="C2668" t="s">
        <v>44</v>
      </c>
      <c r="D2668" t="s">
        <v>45</v>
      </c>
      <c r="E2668">
        <v>438</v>
      </c>
      <c r="F2668">
        <v>365</v>
      </c>
      <c r="G2668">
        <v>1</v>
      </c>
      <c r="H2668">
        <v>1544.66</v>
      </c>
      <c r="I2668">
        <v>1680.3</v>
      </c>
      <c r="J2668">
        <v>18</v>
      </c>
      <c r="K2668">
        <v>0</v>
      </c>
      <c r="L2668">
        <v>22.7</v>
      </c>
      <c r="M2668">
        <v>32.2</v>
      </c>
      <c r="N2668" t="s">
        <v>46</v>
      </c>
      <c r="O2668" t="s">
        <v>75</v>
      </c>
      <c r="P2668" t="s">
        <v>58</v>
      </c>
      <c r="R2668">
        <f>SUMIF(A2668:A7667,"C02667",I2668:I7667)</f>
        <v>1680.3</v>
      </c>
      <c r="S2668" s="1">
        <v>14669.26</v>
      </c>
      <c r="T2668">
        <f t="shared" si="307"/>
        <v>93.35</v>
      </c>
      <c r="U2668">
        <f t="shared" si="308"/>
        <v>579.6</v>
      </c>
      <c r="V2668">
        <f t="shared" si="306"/>
        <v>48.3</v>
      </c>
      <c r="W2668">
        <f t="shared" si="303"/>
        <v>1075.32</v>
      </c>
      <c r="X2668">
        <f t="shared" si="304"/>
        <v>0.283557546644569</v>
      </c>
      <c r="AH2668" t="str">
        <f t="shared" si="305"/>
        <v>3rd Quality</v>
      </c>
      <c r="AJ2668">
        <f>((T2668-X2668)*2)/22.7</f>
        <v>8.199686559767</v>
      </c>
      <c r="AK2668">
        <f t="shared" si="302"/>
        <v>40887.3</v>
      </c>
    </row>
    <row r="2669" spans="1:37">
      <c r="A2669" t="s">
        <v>2735</v>
      </c>
      <c r="B2669">
        <v>32</v>
      </c>
      <c r="C2669" t="s">
        <v>50</v>
      </c>
      <c r="D2669" t="s">
        <v>60</v>
      </c>
      <c r="E2669">
        <v>1226</v>
      </c>
      <c r="F2669">
        <v>35</v>
      </c>
      <c r="G2669">
        <v>20</v>
      </c>
      <c r="H2669">
        <v>6846.59</v>
      </c>
      <c r="I2669">
        <v>150494.84</v>
      </c>
      <c r="J2669">
        <v>109</v>
      </c>
      <c r="K2669">
        <v>2</v>
      </c>
      <c r="L2669">
        <v>29.6</v>
      </c>
      <c r="M2669">
        <v>43.9</v>
      </c>
      <c r="N2669" t="s">
        <v>52</v>
      </c>
      <c r="O2669" t="s">
        <v>47</v>
      </c>
      <c r="P2669" t="s">
        <v>48</v>
      </c>
      <c r="R2669">
        <f>SUMIF(A2669:A7668,"C02668",I2669:I7668)</f>
        <v>150494.84</v>
      </c>
      <c r="S2669" s="1">
        <v>26217.53</v>
      </c>
      <c r="T2669">
        <f t="shared" si="307"/>
        <v>1380.68660550459</v>
      </c>
      <c r="U2669">
        <f t="shared" si="308"/>
        <v>4785.1</v>
      </c>
      <c r="V2669">
        <f>U2669</f>
        <v>4785.1</v>
      </c>
      <c r="W2669">
        <f t="shared" si="303"/>
        <v>52447.4766666667</v>
      </c>
      <c r="X2669">
        <f t="shared" si="304"/>
        <v>0.179067243693576</v>
      </c>
      <c r="AH2669" t="str">
        <f t="shared" si="305"/>
        <v>1st Quality</v>
      </c>
      <c r="AJ2669">
        <f>((T2669-X2669)*2)/29.6</f>
        <v>93.2775363689795</v>
      </c>
      <c r="AK2669">
        <f t="shared" si="302"/>
        <v>1692721.77834862</v>
      </c>
    </row>
    <row r="2670" spans="1:37">
      <c r="A2670" t="s">
        <v>2736</v>
      </c>
      <c r="B2670">
        <v>31</v>
      </c>
      <c r="C2670" t="s">
        <v>50</v>
      </c>
      <c r="D2670" t="s">
        <v>45</v>
      </c>
      <c r="E2670">
        <v>738</v>
      </c>
      <c r="F2670">
        <v>56</v>
      </c>
      <c r="G2670">
        <v>3</v>
      </c>
      <c r="H2670">
        <v>15629.18</v>
      </c>
      <c r="I2670">
        <v>47501.11</v>
      </c>
      <c r="J2670">
        <v>14</v>
      </c>
      <c r="K2670">
        <v>0</v>
      </c>
      <c r="L2670">
        <v>11.2</v>
      </c>
      <c r="M2670">
        <v>39.6</v>
      </c>
      <c r="N2670" t="s">
        <v>46</v>
      </c>
      <c r="O2670" t="s">
        <v>75</v>
      </c>
      <c r="P2670" t="s">
        <v>68</v>
      </c>
      <c r="R2670">
        <f>SUMIF(A2670:A7669,"C02669",I2670:I7669)</f>
        <v>47501.11</v>
      </c>
      <c r="S2670" s="1">
        <v>23092.46</v>
      </c>
      <c r="T2670">
        <f t="shared" si="307"/>
        <v>3392.93642857143</v>
      </c>
      <c r="U2670">
        <f t="shared" si="308"/>
        <v>554.4</v>
      </c>
      <c r="V2670">
        <f t="shared" si="306"/>
        <v>46.2</v>
      </c>
      <c r="W2670">
        <f t="shared" si="303"/>
        <v>21043.7633333333</v>
      </c>
      <c r="X2670">
        <f t="shared" si="304"/>
        <v>0.0472193678747062</v>
      </c>
      <c r="AH2670" t="str">
        <f t="shared" si="305"/>
        <v>2nd Quality</v>
      </c>
      <c r="AJ2670">
        <f>((T2670-X2670)*2)/11.2</f>
        <v>605.873073072063</v>
      </c>
      <c r="AK2670">
        <f t="shared" si="302"/>
        <v>2503987.08428571</v>
      </c>
    </row>
    <row r="2671" spans="1:37">
      <c r="A2671" t="s">
        <v>2737</v>
      </c>
      <c r="B2671">
        <v>29</v>
      </c>
      <c r="C2671" t="s">
        <v>50</v>
      </c>
      <c r="D2671" t="s">
        <v>60</v>
      </c>
      <c r="E2671">
        <v>1003</v>
      </c>
      <c r="F2671">
        <v>18</v>
      </c>
      <c r="G2671">
        <v>13</v>
      </c>
      <c r="H2671">
        <v>1241.6</v>
      </c>
      <c r="I2671">
        <v>14669.26</v>
      </c>
      <c r="J2671">
        <v>93</v>
      </c>
      <c r="K2671">
        <v>2</v>
      </c>
      <c r="L2671">
        <v>30</v>
      </c>
      <c r="M2671">
        <v>45.7</v>
      </c>
      <c r="N2671" t="s">
        <v>78</v>
      </c>
      <c r="O2671" t="s">
        <v>75</v>
      </c>
      <c r="P2671" t="s">
        <v>58</v>
      </c>
      <c r="R2671">
        <f>SUMIF(A2671:A7670,"C02670",I2671:I7670)</f>
        <v>14669.26</v>
      </c>
      <c r="S2671" s="1">
        <v>26820.62</v>
      </c>
      <c r="T2671">
        <f t="shared" si="307"/>
        <v>157.733978494624</v>
      </c>
      <c r="U2671">
        <f t="shared" si="308"/>
        <v>4250.1</v>
      </c>
      <c r="V2671">
        <f>U2671</f>
        <v>4250.1</v>
      </c>
      <c r="W2671">
        <f t="shared" si="303"/>
        <v>5303.95333333333</v>
      </c>
      <c r="X2671">
        <f t="shared" si="304"/>
        <v>0.807828608247423</v>
      </c>
      <c r="AH2671" t="str">
        <f t="shared" si="305"/>
        <v>3rd Quality</v>
      </c>
      <c r="AJ2671">
        <f>((T2671-X2671)*2)/30</f>
        <v>10.4617433257584</v>
      </c>
      <c r="AK2671">
        <f t="shared" si="302"/>
        <v>158207.180430108</v>
      </c>
    </row>
    <row r="2672" spans="1:37">
      <c r="A2672" t="s">
        <v>2738</v>
      </c>
      <c r="B2672">
        <v>38</v>
      </c>
      <c r="C2672" t="s">
        <v>50</v>
      </c>
      <c r="D2672" t="s">
        <v>51</v>
      </c>
      <c r="E2672">
        <v>733</v>
      </c>
      <c r="F2672">
        <v>38</v>
      </c>
      <c r="G2672">
        <v>3</v>
      </c>
      <c r="H2672">
        <v>8449.07</v>
      </c>
      <c r="I2672">
        <v>26217.53</v>
      </c>
      <c r="J2672">
        <v>10</v>
      </c>
      <c r="K2672">
        <v>1</v>
      </c>
      <c r="L2672">
        <v>10.5</v>
      </c>
      <c r="M2672">
        <v>60.4</v>
      </c>
      <c r="N2672" t="s">
        <v>81</v>
      </c>
      <c r="O2672" t="s">
        <v>47</v>
      </c>
      <c r="P2672" t="s">
        <v>68</v>
      </c>
      <c r="R2672">
        <f>SUMIF(A2672:A7671,"C02671",I2672:I7671)</f>
        <v>26217.53</v>
      </c>
      <c r="S2672" s="1">
        <v>11269.36</v>
      </c>
      <c r="T2672">
        <f t="shared" si="307"/>
        <v>2621.753</v>
      </c>
      <c r="U2672">
        <f t="shared" si="308"/>
        <v>604</v>
      </c>
      <c r="V2672">
        <f>U2672</f>
        <v>604</v>
      </c>
      <c r="W2672">
        <f t="shared" si="303"/>
        <v>11555.8666666667</v>
      </c>
      <c r="X2672">
        <f t="shared" si="304"/>
        <v>0.0867551103257518</v>
      </c>
      <c r="AH2672" t="str">
        <f t="shared" si="305"/>
        <v>2nd Quality</v>
      </c>
      <c r="AJ2672">
        <f>((T2672-X2672)*2)/10.5</f>
        <v>499.364999026605</v>
      </c>
      <c r="AK2672">
        <f t="shared" si="302"/>
        <v>1921744.949</v>
      </c>
    </row>
    <row r="2673" spans="1:37">
      <c r="A2673" t="s">
        <v>2739</v>
      </c>
      <c r="B2673">
        <v>29</v>
      </c>
      <c r="C2673" t="s">
        <v>44</v>
      </c>
      <c r="D2673" t="s">
        <v>45</v>
      </c>
      <c r="E2673">
        <v>1167</v>
      </c>
      <c r="F2673">
        <v>36</v>
      </c>
      <c r="G2673">
        <v>10</v>
      </c>
      <c r="H2673">
        <v>2525.66</v>
      </c>
      <c r="I2673">
        <v>23092.46</v>
      </c>
      <c r="J2673">
        <v>37</v>
      </c>
      <c r="K2673">
        <v>2</v>
      </c>
      <c r="L2673">
        <v>21.1</v>
      </c>
      <c r="M2673">
        <v>29.4</v>
      </c>
      <c r="N2673" t="s">
        <v>52</v>
      </c>
      <c r="O2673" t="s">
        <v>47</v>
      </c>
      <c r="P2673" t="s">
        <v>48</v>
      </c>
      <c r="R2673">
        <f>SUMIF(A2673:A7672,"C02672",I2673:I7672)</f>
        <v>23092.46</v>
      </c>
      <c r="S2673" s="1">
        <v>61582.34</v>
      </c>
      <c r="T2673">
        <f t="shared" si="307"/>
        <v>624.120540540541</v>
      </c>
      <c r="U2673">
        <f t="shared" si="308"/>
        <v>1087.8</v>
      </c>
      <c r="V2673">
        <f>U2673</f>
        <v>1087.8</v>
      </c>
      <c r="W2673">
        <f t="shared" si="303"/>
        <v>8539.70666666667</v>
      </c>
      <c r="X2673">
        <f t="shared" si="304"/>
        <v>0.462057442411093</v>
      </c>
      <c r="AH2673" t="str">
        <f t="shared" si="305"/>
        <v>2nd Quality</v>
      </c>
      <c r="AJ2673">
        <f>((T2673-X2673)*2)/21.1</f>
        <v>59.1145481609602</v>
      </c>
      <c r="AK2673">
        <f t="shared" si="302"/>
        <v>728348.670810811</v>
      </c>
    </row>
    <row r="2674" spans="1:37">
      <c r="A2674" t="s">
        <v>2740</v>
      </c>
      <c r="B2674">
        <v>36</v>
      </c>
      <c r="C2674" t="s">
        <v>50</v>
      </c>
      <c r="D2674" t="s">
        <v>45</v>
      </c>
      <c r="E2674">
        <v>1259</v>
      </c>
      <c r="F2674">
        <v>21</v>
      </c>
      <c r="G2674">
        <v>10</v>
      </c>
      <c r="H2674">
        <v>3001.92</v>
      </c>
      <c r="I2674">
        <v>26820.62</v>
      </c>
      <c r="J2674">
        <v>88</v>
      </c>
      <c r="K2674">
        <v>0</v>
      </c>
      <c r="L2674">
        <v>13.8</v>
      </c>
      <c r="M2674">
        <v>11.6</v>
      </c>
      <c r="N2674" t="s">
        <v>78</v>
      </c>
      <c r="O2674" t="s">
        <v>75</v>
      </c>
      <c r="P2674" t="s">
        <v>58</v>
      </c>
      <c r="R2674">
        <f>SUMIF(A2674:A7673,"C02673",I2674:I7673)</f>
        <v>26820.62</v>
      </c>
      <c r="S2674" s="1">
        <v>69334.75</v>
      </c>
      <c r="T2674">
        <f t="shared" si="307"/>
        <v>304.779772727273</v>
      </c>
      <c r="U2674">
        <f t="shared" si="308"/>
        <v>1020.8</v>
      </c>
      <c r="V2674">
        <f t="shared" si="306"/>
        <v>85.0666666666667</v>
      </c>
      <c r="W2674">
        <f t="shared" si="303"/>
        <v>9941.18</v>
      </c>
      <c r="X2674">
        <f t="shared" si="304"/>
        <v>0.419398251785524</v>
      </c>
      <c r="AH2674" t="str">
        <f t="shared" si="305"/>
        <v>2nd Quality</v>
      </c>
      <c r="AJ2674">
        <f>((T2674-X2674)*2)/13.8</f>
        <v>44.110199199346</v>
      </c>
      <c r="AK2674">
        <f t="shared" si="302"/>
        <v>383717.733863636</v>
      </c>
    </row>
    <row r="2675" spans="1:37">
      <c r="A2675" t="s">
        <v>2741</v>
      </c>
      <c r="B2675">
        <v>25</v>
      </c>
      <c r="C2675" t="s">
        <v>50</v>
      </c>
      <c r="D2675" t="s">
        <v>51</v>
      </c>
      <c r="E2675">
        <v>1183</v>
      </c>
      <c r="F2675">
        <v>65</v>
      </c>
      <c r="G2675">
        <v>10</v>
      </c>
      <c r="H2675">
        <v>1210.7</v>
      </c>
      <c r="I2675">
        <v>11269.36</v>
      </c>
      <c r="J2675">
        <v>44</v>
      </c>
      <c r="K2675">
        <v>1</v>
      </c>
      <c r="L2675">
        <v>16.6</v>
      </c>
      <c r="M2675">
        <v>31.3</v>
      </c>
      <c r="N2675" t="s">
        <v>61</v>
      </c>
      <c r="O2675" t="s">
        <v>53</v>
      </c>
      <c r="P2675" t="s">
        <v>68</v>
      </c>
      <c r="R2675">
        <f>SUMIF(A2675:A7674,"C02674",I2675:I7674)</f>
        <v>11269.36</v>
      </c>
      <c r="S2675" s="1">
        <v>35387.63</v>
      </c>
      <c r="T2675">
        <f t="shared" si="307"/>
        <v>256.121818181818</v>
      </c>
      <c r="U2675">
        <f t="shared" si="308"/>
        <v>1377.2</v>
      </c>
      <c r="V2675">
        <f>U2675</f>
        <v>1377.2</v>
      </c>
      <c r="W2675">
        <f t="shared" si="303"/>
        <v>4160.35333333333</v>
      </c>
      <c r="X2675">
        <f t="shared" si="304"/>
        <v>0.977120673990253</v>
      </c>
      <c r="AH2675" t="str">
        <f t="shared" si="305"/>
        <v>3rd Quality</v>
      </c>
      <c r="AJ2675">
        <f>((T2675-X2675)*2)/16.6</f>
        <v>30.7403250009431</v>
      </c>
      <c r="AK2675">
        <f t="shared" si="302"/>
        <v>302992.110909091</v>
      </c>
    </row>
    <row r="2676" spans="1:37">
      <c r="A2676" t="s">
        <v>2742</v>
      </c>
      <c r="B2676">
        <v>42</v>
      </c>
      <c r="C2676" t="s">
        <v>44</v>
      </c>
      <c r="D2676" t="s">
        <v>45</v>
      </c>
      <c r="E2676">
        <v>1349</v>
      </c>
      <c r="F2676">
        <v>7</v>
      </c>
      <c r="G2676">
        <v>4</v>
      </c>
      <c r="H2676">
        <v>17043.94</v>
      </c>
      <c r="I2676">
        <v>61582.34</v>
      </c>
      <c r="J2676">
        <v>37</v>
      </c>
      <c r="K2676">
        <v>0</v>
      </c>
      <c r="L2676">
        <v>0.7</v>
      </c>
      <c r="M2676">
        <v>27.7</v>
      </c>
      <c r="N2676" t="s">
        <v>46</v>
      </c>
      <c r="O2676" t="s">
        <v>47</v>
      </c>
      <c r="P2676" t="s">
        <v>68</v>
      </c>
      <c r="R2676">
        <f>SUMIF(A2676:A7675,"C02675",I2676:I7675)</f>
        <v>61582.34</v>
      </c>
      <c r="S2676" s="1">
        <v>1834.63</v>
      </c>
      <c r="T2676">
        <f t="shared" si="307"/>
        <v>1664.38756756757</v>
      </c>
      <c r="U2676">
        <f t="shared" si="308"/>
        <v>1024.9</v>
      </c>
      <c r="V2676">
        <f t="shared" si="306"/>
        <v>85.4083333333333</v>
      </c>
      <c r="W2676">
        <f t="shared" si="303"/>
        <v>26209.0933333333</v>
      </c>
      <c r="X2676">
        <f t="shared" si="304"/>
        <v>0.0791483659294741</v>
      </c>
      <c r="AH2676" t="str">
        <f t="shared" si="305"/>
        <v>2nd Quality</v>
      </c>
      <c r="AJ2676">
        <f>((T2676-X2676)*2)/0.7</f>
        <v>4755.16691200469</v>
      </c>
      <c r="AK2676">
        <f t="shared" si="302"/>
        <v>2245258.82864865</v>
      </c>
    </row>
    <row r="2677" spans="1:37">
      <c r="A2677" t="s">
        <v>2743</v>
      </c>
      <c r="B2677">
        <v>52</v>
      </c>
      <c r="C2677" t="s">
        <v>44</v>
      </c>
      <c r="D2677" t="s">
        <v>60</v>
      </c>
      <c r="E2677">
        <v>1120</v>
      </c>
      <c r="F2677">
        <v>13</v>
      </c>
      <c r="G2677">
        <v>5</v>
      </c>
      <c r="H2677">
        <v>14051.07</v>
      </c>
      <c r="I2677">
        <v>69334.75</v>
      </c>
      <c r="J2677">
        <v>34</v>
      </c>
      <c r="K2677">
        <v>1</v>
      </c>
      <c r="L2677">
        <v>0</v>
      </c>
      <c r="M2677">
        <v>32.3</v>
      </c>
      <c r="N2677" t="s">
        <v>61</v>
      </c>
      <c r="O2677" t="s">
        <v>47</v>
      </c>
      <c r="P2677" t="s">
        <v>48</v>
      </c>
      <c r="R2677">
        <f>SUMIF(A2677:A7676,"C02676",I2677:I7676)</f>
        <v>69334.75</v>
      </c>
      <c r="S2677" s="1">
        <v>689.07</v>
      </c>
      <c r="T2677">
        <f t="shared" si="307"/>
        <v>2039.25735294118</v>
      </c>
      <c r="U2677">
        <f t="shared" si="308"/>
        <v>1098.2</v>
      </c>
      <c r="V2677">
        <f>U2677</f>
        <v>1098.2</v>
      </c>
      <c r="W2677">
        <f t="shared" si="303"/>
        <v>27795.6066666667</v>
      </c>
      <c r="X2677">
        <f t="shared" si="304"/>
        <v>0.0797092321083021</v>
      </c>
      <c r="AH2677" t="str">
        <f t="shared" si="305"/>
        <v>3rd Quality</v>
      </c>
      <c r="AJ2677">
        <f>((T2677-X2677)*2)</f>
        <v>4078.35528741814</v>
      </c>
      <c r="AK2677">
        <f t="shared" si="302"/>
        <v>2283968.23529412</v>
      </c>
    </row>
    <row r="2678" spans="1:37">
      <c r="A2678" t="s">
        <v>2744</v>
      </c>
      <c r="B2678">
        <v>29</v>
      </c>
      <c r="C2678" t="s">
        <v>50</v>
      </c>
      <c r="D2678" t="s">
        <v>45</v>
      </c>
      <c r="E2678">
        <v>946</v>
      </c>
      <c r="F2678">
        <v>5</v>
      </c>
      <c r="G2678">
        <v>15</v>
      </c>
      <c r="H2678">
        <v>2132.03</v>
      </c>
      <c r="I2678">
        <v>35387.63</v>
      </c>
      <c r="J2678">
        <v>82</v>
      </c>
      <c r="K2678">
        <v>0</v>
      </c>
      <c r="L2678">
        <v>20</v>
      </c>
      <c r="M2678">
        <v>11.5</v>
      </c>
      <c r="N2678" t="s">
        <v>52</v>
      </c>
      <c r="O2678" t="s">
        <v>47</v>
      </c>
      <c r="P2678" t="s">
        <v>58</v>
      </c>
      <c r="R2678">
        <f ca="1">SUMIF(A2677:A7677,"C02677",I2677:I7676)</f>
        <v>35387.63</v>
      </c>
      <c r="S2678" s="1">
        <v>3880.9</v>
      </c>
      <c r="T2678">
        <f t="shared" si="307"/>
        <v>431.556463414634</v>
      </c>
      <c r="U2678">
        <f t="shared" si="308"/>
        <v>943</v>
      </c>
      <c r="V2678">
        <f>U2678/12</f>
        <v>78.5833333333333</v>
      </c>
      <c r="W2678">
        <f t="shared" si="303"/>
        <v>12506.8866666667</v>
      </c>
      <c r="X2678">
        <f t="shared" si="304"/>
        <v>0.4437085782095</v>
      </c>
      <c r="AH2678" t="str">
        <f t="shared" si="305"/>
        <v>2nd Quality</v>
      </c>
      <c r="AJ2678">
        <f>((T2678-X2678)*2)/20</f>
        <v>43.1112754836424</v>
      </c>
      <c r="AK2678">
        <f t="shared" si="302"/>
        <v>408252.414390244</v>
      </c>
    </row>
    <row r="2679" spans="1:37">
      <c r="A2679" t="s">
        <v>2745</v>
      </c>
      <c r="B2679">
        <v>33</v>
      </c>
      <c r="C2679" t="s">
        <v>44</v>
      </c>
      <c r="D2679" t="s">
        <v>45</v>
      </c>
      <c r="E2679">
        <v>1196</v>
      </c>
      <c r="F2679">
        <v>37</v>
      </c>
      <c r="G2679">
        <v>2</v>
      </c>
      <c r="H2679">
        <v>883.31</v>
      </c>
      <c r="I2679">
        <v>1834.63</v>
      </c>
      <c r="J2679">
        <v>15</v>
      </c>
      <c r="K2679">
        <v>0</v>
      </c>
      <c r="L2679">
        <v>29</v>
      </c>
      <c r="M2679">
        <v>32.4</v>
      </c>
      <c r="N2679" t="s">
        <v>63</v>
      </c>
      <c r="O2679" t="s">
        <v>47</v>
      </c>
      <c r="P2679" t="s">
        <v>68</v>
      </c>
      <c r="R2679">
        <f>SUMIF(A2679:A7678,"C02678",I2679:I7678)</f>
        <v>1834.63</v>
      </c>
      <c r="S2679" s="1">
        <v>485.4</v>
      </c>
      <c r="T2679">
        <f t="shared" si="307"/>
        <v>122.308666666667</v>
      </c>
      <c r="U2679">
        <f t="shared" si="308"/>
        <v>486</v>
      </c>
      <c r="V2679">
        <f t="shared" si="306"/>
        <v>40.5</v>
      </c>
      <c r="W2679">
        <f t="shared" si="303"/>
        <v>906.313333333333</v>
      </c>
      <c r="X2679">
        <f t="shared" si="304"/>
        <v>1.35399803013665</v>
      </c>
      <c r="AH2679" t="str">
        <f t="shared" si="305"/>
        <v>3rd Quality</v>
      </c>
      <c r="AJ2679">
        <f>((T2679-X2679)*2)/29</f>
        <v>8.34170128527795</v>
      </c>
      <c r="AK2679">
        <f t="shared" si="302"/>
        <v>146281.165333333</v>
      </c>
    </row>
    <row r="2680" spans="1:37">
      <c r="A2680" t="s">
        <v>2746</v>
      </c>
      <c r="B2680">
        <v>37</v>
      </c>
      <c r="C2680" t="s">
        <v>50</v>
      </c>
      <c r="D2680" t="s">
        <v>60</v>
      </c>
      <c r="E2680">
        <v>1115</v>
      </c>
      <c r="F2680">
        <v>45</v>
      </c>
      <c r="G2680">
        <v>1</v>
      </c>
      <c r="H2680">
        <v>658.34</v>
      </c>
      <c r="I2680">
        <v>689.07</v>
      </c>
      <c r="J2680">
        <v>6</v>
      </c>
      <c r="K2680">
        <v>0</v>
      </c>
      <c r="L2680">
        <v>37.3</v>
      </c>
      <c r="M2680">
        <v>15.4</v>
      </c>
      <c r="N2680" t="s">
        <v>63</v>
      </c>
      <c r="O2680" t="s">
        <v>47</v>
      </c>
      <c r="P2680" t="s">
        <v>68</v>
      </c>
      <c r="R2680">
        <f>SUMIF(A2680:A7679,"C02679",I2680:I7679)</f>
        <v>689.07</v>
      </c>
      <c r="S2680" s="1">
        <v>7150.23</v>
      </c>
      <c r="T2680">
        <f t="shared" si="307"/>
        <v>114.845</v>
      </c>
      <c r="U2680">
        <f t="shared" si="308"/>
        <v>92.4</v>
      </c>
      <c r="V2680">
        <f t="shared" si="306"/>
        <v>7.7</v>
      </c>
      <c r="W2680">
        <f t="shared" si="303"/>
        <v>449.47</v>
      </c>
      <c r="X2680">
        <f t="shared" ref="X2680:X2743" si="309">E2680/H2680</f>
        <v>1.69365373515205</v>
      </c>
      <c r="AH2680" t="str">
        <f t="shared" si="305"/>
        <v>3rd Quality</v>
      </c>
      <c r="AJ2680">
        <f>((T2680-X2680)*2)/37.3</f>
        <v>6.06709631446906</v>
      </c>
      <c r="AK2680">
        <f t="shared" si="302"/>
        <v>128052.175</v>
      </c>
    </row>
    <row r="2681" spans="1:37">
      <c r="A2681" t="s">
        <v>2747</v>
      </c>
      <c r="B2681">
        <v>34</v>
      </c>
      <c r="C2681" t="s">
        <v>50</v>
      </c>
      <c r="D2681" t="s">
        <v>60</v>
      </c>
      <c r="E2681">
        <v>608</v>
      </c>
      <c r="F2681">
        <v>30</v>
      </c>
      <c r="G2681">
        <v>4</v>
      </c>
      <c r="H2681">
        <v>904.33</v>
      </c>
      <c r="I2681">
        <v>3880.9</v>
      </c>
      <c r="J2681">
        <v>13</v>
      </c>
      <c r="K2681">
        <v>0</v>
      </c>
      <c r="L2681">
        <v>13.6</v>
      </c>
      <c r="M2681">
        <v>5.8</v>
      </c>
      <c r="N2681" t="s">
        <v>52</v>
      </c>
      <c r="O2681" t="s">
        <v>47</v>
      </c>
      <c r="P2681" t="s">
        <v>58</v>
      </c>
      <c r="R2681">
        <f>SUMIF(A2681:A7680,"C02680",I2681:I7680)</f>
        <v>3880.9</v>
      </c>
      <c r="S2681" s="1">
        <v>87816.47</v>
      </c>
      <c r="T2681">
        <f t="shared" si="307"/>
        <v>298.530769230769</v>
      </c>
      <c r="U2681">
        <f t="shared" si="308"/>
        <v>75.4</v>
      </c>
      <c r="V2681">
        <f t="shared" si="306"/>
        <v>6.28333333333333</v>
      </c>
      <c r="W2681">
        <f t="shared" si="303"/>
        <v>1595.41</v>
      </c>
      <c r="X2681">
        <f t="shared" si="309"/>
        <v>0.672320944787854</v>
      </c>
      <c r="AH2681" t="str">
        <f t="shared" si="305"/>
        <v>3rd Quality</v>
      </c>
      <c r="AJ2681">
        <f>((T2681-X2681)*2)/13.6</f>
        <v>43.8027129832325</v>
      </c>
      <c r="AK2681">
        <f t="shared" si="302"/>
        <v>181506.707692308</v>
      </c>
    </row>
    <row r="2682" spans="1:37">
      <c r="A2682" t="s">
        <v>2748</v>
      </c>
      <c r="B2682">
        <v>40</v>
      </c>
      <c r="C2682" t="s">
        <v>44</v>
      </c>
      <c r="D2682" t="s">
        <v>45</v>
      </c>
      <c r="E2682">
        <v>690</v>
      </c>
      <c r="F2682">
        <v>180</v>
      </c>
      <c r="G2682">
        <v>1</v>
      </c>
      <c r="H2682">
        <v>517.81</v>
      </c>
      <c r="I2682">
        <v>485.4</v>
      </c>
      <c r="J2682">
        <v>5</v>
      </c>
      <c r="K2682">
        <v>0</v>
      </c>
      <c r="L2682">
        <v>35.2</v>
      </c>
      <c r="M2682">
        <v>30.8</v>
      </c>
      <c r="N2682" t="s">
        <v>63</v>
      </c>
      <c r="O2682" t="s">
        <v>47</v>
      </c>
      <c r="P2682" t="s">
        <v>68</v>
      </c>
      <c r="R2682">
        <f>SUMIF(A2682:A7681,"C02681",I2682:I7681)</f>
        <v>485.4</v>
      </c>
      <c r="S2682" s="1">
        <v>29298.8</v>
      </c>
      <c r="T2682">
        <f t="shared" si="307"/>
        <v>97.08</v>
      </c>
      <c r="U2682">
        <f t="shared" si="308"/>
        <v>154</v>
      </c>
      <c r="V2682">
        <f t="shared" si="306"/>
        <v>12.8333333333333</v>
      </c>
      <c r="W2682">
        <f t="shared" si="303"/>
        <v>334.736666666667</v>
      </c>
      <c r="X2682">
        <f t="shared" si="309"/>
        <v>1.33253509974701</v>
      </c>
      <c r="AH2682" t="str">
        <f t="shared" si="305"/>
        <v>3rd Quality</v>
      </c>
      <c r="AJ2682">
        <f>((T2682-X2682)*2)/35.2</f>
        <v>5.44019686933256</v>
      </c>
      <c r="AK2682">
        <f t="shared" si="302"/>
        <v>66985.2</v>
      </c>
    </row>
    <row r="2683" spans="1:37">
      <c r="A2683" t="s">
        <v>2749</v>
      </c>
      <c r="B2683">
        <v>43</v>
      </c>
      <c r="C2683" t="s">
        <v>44</v>
      </c>
      <c r="D2683" t="s">
        <v>51</v>
      </c>
      <c r="E2683">
        <v>477</v>
      </c>
      <c r="F2683">
        <v>59</v>
      </c>
      <c r="G2683">
        <v>4</v>
      </c>
      <c r="H2683">
        <v>1757.02</v>
      </c>
      <c r="I2683">
        <v>7150.23</v>
      </c>
      <c r="J2683">
        <v>12</v>
      </c>
      <c r="K2683">
        <v>0</v>
      </c>
      <c r="L2683">
        <v>30.9</v>
      </c>
      <c r="M2683">
        <v>43</v>
      </c>
      <c r="N2683" t="s">
        <v>52</v>
      </c>
      <c r="O2683" t="s">
        <v>47</v>
      </c>
      <c r="P2683" t="s">
        <v>66</v>
      </c>
      <c r="R2683">
        <f>SUMIF(A2683:A7682,"C02682",I2683:I7682)</f>
        <v>7150.23</v>
      </c>
      <c r="S2683" s="1">
        <v>26916.3</v>
      </c>
      <c r="T2683">
        <f t="shared" si="307"/>
        <v>595.8525</v>
      </c>
      <c r="U2683">
        <f t="shared" si="308"/>
        <v>516</v>
      </c>
      <c r="V2683">
        <f t="shared" si="306"/>
        <v>43</v>
      </c>
      <c r="W2683">
        <f t="shared" si="303"/>
        <v>2969.41666666667</v>
      </c>
      <c r="X2683">
        <f t="shared" si="309"/>
        <v>0.27148239633015</v>
      </c>
      <c r="AH2683" t="str">
        <f t="shared" si="305"/>
        <v>3rd Quality</v>
      </c>
      <c r="AJ2683">
        <f>((T2683-X2683)*2)/30.9</f>
        <v>38.5489331782311</v>
      </c>
      <c r="AK2683">
        <f t="shared" si="302"/>
        <v>284221.6425</v>
      </c>
    </row>
    <row r="2684" spans="1:37">
      <c r="A2684" t="s">
        <v>2750</v>
      </c>
      <c r="B2684">
        <v>18</v>
      </c>
      <c r="C2684" t="s">
        <v>44</v>
      </c>
      <c r="D2684" t="s">
        <v>60</v>
      </c>
      <c r="E2684">
        <v>1203</v>
      </c>
      <c r="F2684">
        <v>20</v>
      </c>
      <c r="G2684">
        <v>26</v>
      </c>
      <c r="H2684">
        <v>3213.34</v>
      </c>
      <c r="I2684">
        <v>87816.47</v>
      </c>
      <c r="J2684">
        <v>213</v>
      </c>
      <c r="K2684">
        <v>1</v>
      </c>
      <c r="L2684">
        <v>11.6</v>
      </c>
      <c r="M2684">
        <v>43.9</v>
      </c>
      <c r="N2684" t="s">
        <v>63</v>
      </c>
      <c r="O2684" t="s">
        <v>47</v>
      </c>
      <c r="P2684" t="s">
        <v>68</v>
      </c>
      <c r="R2684">
        <f>SUMIF(A2684:A7683,"C02683",I2684:I7683)</f>
        <v>87816.47</v>
      </c>
      <c r="S2684" s="1">
        <v>742.82</v>
      </c>
      <c r="T2684">
        <f t="shared" si="307"/>
        <v>412.283896713615</v>
      </c>
      <c r="U2684">
        <f t="shared" si="308"/>
        <v>9350.7</v>
      </c>
      <c r="V2684">
        <f>U2684</f>
        <v>9350.7</v>
      </c>
      <c r="W2684">
        <f t="shared" si="303"/>
        <v>30343.6033333333</v>
      </c>
      <c r="X2684">
        <f t="shared" si="309"/>
        <v>0.374376816645609</v>
      </c>
      <c r="AH2684" t="str">
        <f t="shared" si="305"/>
        <v>1st Quality</v>
      </c>
      <c r="AJ2684">
        <f>((T2684-X2684)*2)/11.6</f>
        <v>71.0188827408568</v>
      </c>
      <c r="AK2684">
        <f t="shared" si="302"/>
        <v>495977.527746479</v>
      </c>
    </row>
    <row r="2685" spans="1:37">
      <c r="A2685" t="s">
        <v>2751</v>
      </c>
      <c r="B2685">
        <v>38</v>
      </c>
      <c r="C2685" t="s">
        <v>44</v>
      </c>
      <c r="D2685" t="s">
        <v>60</v>
      </c>
      <c r="E2685">
        <v>545</v>
      </c>
      <c r="F2685">
        <v>101</v>
      </c>
      <c r="G2685">
        <v>5</v>
      </c>
      <c r="H2685">
        <v>6148.92</v>
      </c>
      <c r="I2685">
        <v>29298.8</v>
      </c>
      <c r="J2685">
        <v>22</v>
      </c>
      <c r="K2685">
        <v>0</v>
      </c>
      <c r="L2685">
        <v>5.3</v>
      </c>
      <c r="M2685">
        <v>31.9</v>
      </c>
      <c r="N2685" t="s">
        <v>61</v>
      </c>
      <c r="O2685" t="s">
        <v>47</v>
      </c>
      <c r="P2685" t="s">
        <v>58</v>
      </c>
      <c r="R2685">
        <f>SUMIF(A2685:A7684,"C02684",I2685:I7684)</f>
        <v>29298.8</v>
      </c>
      <c r="S2685" s="1">
        <v>9057.52</v>
      </c>
      <c r="T2685">
        <f t="shared" si="307"/>
        <v>1331.76363636364</v>
      </c>
      <c r="U2685">
        <f t="shared" si="308"/>
        <v>701.8</v>
      </c>
      <c r="V2685">
        <f t="shared" si="306"/>
        <v>58.4833333333333</v>
      </c>
      <c r="W2685">
        <f t="shared" si="303"/>
        <v>11816.24</v>
      </c>
      <c r="X2685">
        <f t="shared" si="309"/>
        <v>0.0886334510775876</v>
      </c>
      <c r="AH2685" t="str">
        <f t="shared" si="305"/>
        <v>2nd Quality</v>
      </c>
      <c r="AJ2685">
        <f>((T2685-X2685)*2)/5.3</f>
        <v>502.518869023608</v>
      </c>
      <c r="AK2685">
        <f t="shared" si="302"/>
        <v>725811.181818182</v>
      </c>
    </row>
    <row r="2686" spans="1:37">
      <c r="A2686" t="s">
        <v>2752</v>
      </c>
      <c r="B2686">
        <v>36</v>
      </c>
      <c r="C2686" t="s">
        <v>50</v>
      </c>
      <c r="D2686" t="s">
        <v>60</v>
      </c>
      <c r="E2686">
        <v>463</v>
      </c>
      <c r="F2686">
        <v>76</v>
      </c>
      <c r="G2686">
        <v>14</v>
      </c>
      <c r="H2686">
        <v>1975.91</v>
      </c>
      <c r="I2686">
        <v>26916.3</v>
      </c>
      <c r="J2686">
        <v>117</v>
      </c>
      <c r="K2686">
        <v>2</v>
      </c>
      <c r="L2686">
        <v>36.6</v>
      </c>
      <c r="M2686">
        <v>7.9</v>
      </c>
      <c r="N2686" t="s">
        <v>46</v>
      </c>
      <c r="O2686" t="s">
        <v>53</v>
      </c>
      <c r="P2686" t="s">
        <v>68</v>
      </c>
      <c r="R2686">
        <f>SUMIF(A2686:A7685,"C02685",I2686:I7685)</f>
        <v>26916.3</v>
      </c>
      <c r="S2686" s="1">
        <v>1803.18</v>
      </c>
      <c r="T2686">
        <f t="shared" si="307"/>
        <v>230.053846153846</v>
      </c>
      <c r="U2686">
        <f t="shared" si="308"/>
        <v>924.3</v>
      </c>
      <c r="V2686">
        <f>U2686</f>
        <v>924.3</v>
      </c>
      <c r="W2686">
        <f t="shared" si="303"/>
        <v>9631.07</v>
      </c>
      <c r="X2686">
        <f t="shared" si="309"/>
        <v>0.234322413470249</v>
      </c>
      <c r="AH2686" t="str">
        <f t="shared" si="305"/>
        <v>2nd Quality</v>
      </c>
      <c r="AJ2686">
        <f>((T2686-X2686)*2)/36.6</f>
        <v>12.5584439202391</v>
      </c>
      <c r="AK2686">
        <f t="shared" si="302"/>
        <v>106514.930769231</v>
      </c>
    </row>
    <row r="2687" spans="1:37">
      <c r="A2687" t="s">
        <v>2753</v>
      </c>
      <c r="B2687">
        <v>51</v>
      </c>
      <c r="C2687" t="s">
        <v>50</v>
      </c>
      <c r="D2687" t="s">
        <v>60</v>
      </c>
      <c r="E2687">
        <v>1252</v>
      </c>
      <c r="F2687">
        <v>39</v>
      </c>
      <c r="G2687">
        <v>1</v>
      </c>
      <c r="H2687">
        <v>708.58</v>
      </c>
      <c r="I2687">
        <v>742.82</v>
      </c>
      <c r="J2687">
        <v>15</v>
      </c>
      <c r="K2687">
        <v>0</v>
      </c>
      <c r="L2687">
        <v>23.5</v>
      </c>
      <c r="M2687">
        <v>11.4</v>
      </c>
      <c r="N2687" t="s">
        <v>63</v>
      </c>
      <c r="O2687" t="s">
        <v>47</v>
      </c>
      <c r="P2687" t="s">
        <v>58</v>
      </c>
      <c r="R2687">
        <f>SUMIF(A2687:A7686,"C02686",I2687:I7686)</f>
        <v>742.82</v>
      </c>
      <c r="S2687" s="1">
        <v>6710</v>
      </c>
      <c r="T2687">
        <f t="shared" si="307"/>
        <v>49.5213333333333</v>
      </c>
      <c r="U2687">
        <f t="shared" si="308"/>
        <v>171</v>
      </c>
      <c r="V2687">
        <f t="shared" si="306"/>
        <v>14.25</v>
      </c>
      <c r="W2687">
        <f t="shared" si="303"/>
        <v>484.133333333333</v>
      </c>
      <c r="X2687">
        <f t="shared" si="309"/>
        <v>1.76691410990996</v>
      </c>
      <c r="AH2687" t="str">
        <f t="shared" si="305"/>
        <v>3rd Quality</v>
      </c>
      <c r="AJ2687">
        <f>((T2687-X2687)*2)/23.5</f>
        <v>4.06420589135518</v>
      </c>
      <c r="AK2687">
        <f t="shared" si="302"/>
        <v>62000.7093333333</v>
      </c>
    </row>
    <row r="2688" spans="1:37">
      <c r="A2688" t="s">
        <v>2754</v>
      </c>
      <c r="B2688">
        <v>35</v>
      </c>
      <c r="C2688" t="s">
        <v>50</v>
      </c>
      <c r="D2688" t="s">
        <v>60</v>
      </c>
      <c r="E2688">
        <v>424</v>
      </c>
      <c r="F2688">
        <v>19</v>
      </c>
      <c r="G2688">
        <v>8</v>
      </c>
      <c r="H2688">
        <v>1054.15</v>
      </c>
      <c r="I2688">
        <v>9057.52</v>
      </c>
      <c r="J2688">
        <v>46</v>
      </c>
      <c r="K2688">
        <v>0</v>
      </c>
      <c r="L2688">
        <v>18.1</v>
      </c>
      <c r="M2688">
        <v>46.3</v>
      </c>
      <c r="N2688" t="s">
        <v>81</v>
      </c>
      <c r="O2688" t="s">
        <v>53</v>
      </c>
      <c r="P2688" t="s">
        <v>58</v>
      </c>
      <c r="R2688">
        <f>SUMIF(A2688:A7687,"C02687",I2688:I7687)</f>
        <v>9057.52</v>
      </c>
      <c r="S2688" s="1">
        <v>86377.55</v>
      </c>
      <c r="T2688">
        <f t="shared" si="307"/>
        <v>196.902608695652</v>
      </c>
      <c r="U2688">
        <f t="shared" si="308"/>
        <v>2129.8</v>
      </c>
      <c r="V2688">
        <f t="shared" si="306"/>
        <v>177.483333333333</v>
      </c>
      <c r="W2688">
        <f t="shared" si="303"/>
        <v>3370.89</v>
      </c>
      <c r="X2688">
        <f t="shared" si="309"/>
        <v>0.402219797941469</v>
      </c>
      <c r="AH2688" t="str">
        <f t="shared" si="305"/>
        <v>3rd Quality</v>
      </c>
      <c r="AJ2688">
        <f>((T2688-X2688)*2)/18.1</f>
        <v>21.7127501544432</v>
      </c>
      <c r="AK2688">
        <f t="shared" si="302"/>
        <v>83486.7060869565</v>
      </c>
    </row>
    <row r="2689" spans="1:37">
      <c r="A2689" t="s">
        <v>2755</v>
      </c>
      <c r="B2689">
        <v>25</v>
      </c>
      <c r="C2689" t="s">
        <v>50</v>
      </c>
      <c r="D2689" t="s">
        <v>45</v>
      </c>
      <c r="E2689">
        <v>1413</v>
      </c>
      <c r="F2689">
        <v>184</v>
      </c>
      <c r="G2689">
        <v>1</v>
      </c>
      <c r="H2689">
        <v>1865.12</v>
      </c>
      <c r="I2689">
        <v>1803.18</v>
      </c>
      <c r="J2689">
        <v>18</v>
      </c>
      <c r="K2689">
        <v>0</v>
      </c>
      <c r="L2689">
        <v>29.8</v>
      </c>
      <c r="M2689">
        <v>53.5</v>
      </c>
      <c r="N2689" t="s">
        <v>61</v>
      </c>
      <c r="O2689" t="s">
        <v>47</v>
      </c>
      <c r="P2689" t="s">
        <v>58</v>
      </c>
      <c r="R2689">
        <f>SUMIF(A2689:A7688,"C02688",I2689:I7688)</f>
        <v>1803.18</v>
      </c>
      <c r="S2689" s="1">
        <v>1497.88</v>
      </c>
      <c r="T2689">
        <f t="shared" si="307"/>
        <v>100.176666666667</v>
      </c>
      <c r="U2689">
        <f t="shared" si="308"/>
        <v>963</v>
      </c>
      <c r="V2689">
        <f t="shared" si="306"/>
        <v>80.25</v>
      </c>
      <c r="W2689">
        <f t="shared" si="303"/>
        <v>1223.1</v>
      </c>
      <c r="X2689">
        <f t="shared" si="309"/>
        <v>0.75759200480398</v>
      </c>
      <c r="AH2689" t="str">
        <f t="shared" si="305"/>
        <v>3rd Quality</v>
      </c>
      <c r="AJ2689">
        <f>((T2689-X2689)*2)/29.8</f>
        <v>6.67242111824584</v>
      </c>
      <c r="AK2689">
        <f t="shared" si="302"/>
        <v>141549.63</v>
      </c>
    </row>
    <row r="2690" spans="1:37">
      <c r="A2690" t="s">
        <v>2756</v>
      </c>
      <c r="B2690">
        <v>49</v>
      </c>
      <c r="C2690" t="s">
        <v>50</v>
      </c>
      <c r="D2690" t="s">
        <v>45</v>
      </c>
      <c r="E2690">
        <v>611</v>
      </c>
      <c r="F2690">
        <v>19</v>
      </c>
      <c r="G2690">
        <v>8</v>
      </c>
      <c r="H2690">
        <v>814.19</v>
      </c>
      <c r="I2690">
        <v>6710</v>
      </c>
      <c r="J2690">
        <v>65</v>
      </c>
      <c r="K2690">
        <v>2</v>
      </c>
      <c r="L2690">
        <v>24.8</v>
      </c>
      <c r="M2690">
        <v>31.4</v>
      </c>
      <c r="N2690" t="s">
        <v>57</v>
      </c>
      <c r="O2690" t="s">
        <v>53</v>
      </c>
      <c r="P2690" t="s">
        <v>58</v>
      </c>
      <c r="R2690">
        <f>SUMIF(A2690:A7689,"C02689",I2690:I7689)</f>
        <v>6710</v>
      </c>
      <c r="S2690" s="1">
        <v>13020.57</v>
      </c>
      <c r="T2690">
        <f t="shared" si="307"/>
        <v>103.230769230769</v>
      </c>
      <c r="U2690">
        <f t="shared" si="308"/>
        <v>2041</v>
      </c>
      <c r="V2690">
        <f>U2690</f>
        <v>2041</v>
      </c>
      <c r="W2690">
        <f t="shared" si="303"/>
        <v>2508.39666666667</v>
      </c>
      <c r="X2690">
        <f t="shared" si="309"/>
        <v>0.750439086699665</v>
      </c>
      <c r="AH2690" t="str">
        <f t="shared" si="305"/>
        <v>3rd Quality</v>
      </c>
      <c r="AJ2690">
        <f>((T2690-X2690)*2)/24.8</f>
        <v>8.26454275355398</v>
      </c>
      <c r="AK2690">
        <f t="shared" si="302"/>
        <v>63074</v>
      </c>
    </row>
    <row r="2691" spans="1:37">
      <c r="A2691" t="s">
        <v>2757</v>
      </c>
      <c r="B2691">
        <v>48</v>
      </c>
      <c r="C2691" t="s">
        <v>44</v>
      </c>
      <c r="D2691" t="s">
        <v>45</v>
      </c>
      <c r="E2691">
        <v>1392</v>
      </c>
      <c r="F2691">
        <v>30</v>
      </c>
      <c r="G2691">
        <v>8</v>
      </c>
      <c r="H2691">
        <v>10387.57</v>
      </c>
      <c r="I2691">
        <v>86377.55</v>
      </c>
      <c r="J2691">
        <v>61</v>
      </c>
      <c r="K2691">
        <v>0</v>
      </c>
      <c r="L2691">
        <v>7.6</v>
      </c>
      <c r="M2691">
        <v>17</v>
      </c>
      <c r="N2691" t="s">
        <v>78</v>
      </c>
      <c r="O2691" t="s">
        <v>75</v>
      </c>
      <c r="P2691" t="s">
        <v>58</v>
      </c>
      <c r="R2691">
        <f>SUMIF(A2691:A7690,"C02690",I2691:I7690)</f>
        <v>86377.55</v>
      </c>
      <c r="S2691" s="1">
        <v>903.23</v>
      </c>
      <c r="T2691">
        <f t="shared" si="307"/>
        <v>1416.02540983607</v>
      </c>
      <c r="U2691">
        <f t="shared" si="308"/>
        <v>1037</v>
      </c>
      <c r="V2691">
        <f t="shared" si="306"/>
        <v>86.4166666666667</v>
      </c>
      <c r="W2691">
        <f t="shared" si="303"/>
        <v>32255.3733333333</v>
      </c>
      <c r="X2691">
        <f t="shared" si="309"/>
        <v>0.134006317165612</v>
      </c>
      <c r="AH2691" t="str">
        <f t="shared" si="305"/>
        <v>3rd Quality</v>
      </c>
      <c r="AJ2691">
        <f>((T2691-X2691)*2)/7.6</f>
        <v>372.603000926027</v>
      </c>
      <c r="AK2691">
        <f t="shared" ref="AK2691:AK2754" si="310">I2691/J2691*E2691</f>
        <v>1971107.3704918</v>
      </c>
    </row>
    <row r="2692" spans="1:37">
      <c r="A2692" t="s">
        <v>2758</v>
      </c>
      <c r="B2692">
        <v>46</v>
      </c>
      <c r="C2692" t="s">
        <v>44</v>
      </c>
      <c r="D2692" t="s">
        <v>51</v>
      </c>
      <c r="E2692">
        <v>1086</v>
      </c>
      <c r="F2692">
        <v>280</v>
      </c>
      <c r="G2692">
        <v>1</v>
      </c>
      <c r="H2692">
        <v>1358.09</v>
      </c>
      <c r="I2692">
        <v>1497.88</v>
      </c>
      <c r="J2692">
        <v>15</v>
      </c>
      <c r="K2692">
        <v>0</v>
      </c>
      <c r="L2692">
        <v>16.7</v>
      </c>
      <c r="M2692">
        <v>29.2</v>
      </c>
      <c r="N2692" t="s">
        <v>61</v>
      </c>
      <c r="O2692" t="s">
        <v>47</v>
      </c>
      <c r="P2692" t="s">
        <v>48</v>
      </c>
      <c r="R2692">
        <f>SUMIF(A2692:A7691,"C02691",I2692:I7691)</f>
        <v>1497.88</v>
      </c>
      <c r="S2692" s="1">
        <v>3582.74</v>
      </c>
      <c r="T2692">
        <f t="shared" si="307"/>
        <v>99.8586666666667</v>
      </c>
      <c r="U2692">
        <f t="shared" si="308"/>
        <v>438</v>
      </c>
      <c r="V2692">
        <f t="shared" si="306"/>
        <v>36.5</v>
      </c>
      <c r="W2692">
        <f t="shared" si="303"/>
        <v>952.323333333333</v>
      </c>
      <c r="X2692">
        <f t="shared" si="309"/>
        <v>0.799652453077484</v>
      </c>
      <c r="AH2692" t="str">
        <f t="shared" si="305"/>
        <v>3rd Quality</v>
      </c>
      <c r="AJ2692">
        <f>((T2692-X2692)*2)/16.7</f>
        <v>11.8633549956394</v>
      </c>
      <c r="AK2692">
        <f t="shared" si="310"/>
        <v>108446.512</v>
      </c>
    </row>
    <row r="2693" spans="1:37">
      <c r="A2693" t="s">
        <v>2759</v>
      </c>
      <c r="B2693">
        <v>49</v>
      </c>
      <c r="C2693" t="s">
        <v>50</v>
      </c>
      <c r="D2693" t="s">
        <v>51</v>
      </c>
      <c r="E2693">
        <v>384</v>
      </c>
      <c r="F2693">
        <v>57</v>
      </c>
      <c r="G2693">
        <v>12</v>
      </c>
      <c r="H2693">
        <v>1015.02</v>
      </c>
      <c r="I2693">
        <v>13020.57</v>
      </c>
      <c r="J2693">
        <v>57</v>
      </c>
      <c r="K2693">
        <v>0</v>
      </c>
      <c r="L2693">
        <v>25.7</v>
      </c>
      <c r="M2693">
        <v>12.1</v>
      </c>
      <c r="N2693" t="s">
        <v>81</v>
      </c>
      <c r="O2693" t="s">
        <v>47</v>
      </c>
      <c r="P2693" t="s">
        <v>66</v>
      </c>
      <c r="R2693">
        <f>SUMIF(A2693:A7692,"C02692",I2693:I7692)</f>
        <v>13020.57</v>
      </c>
      <c r="S2693" s="1">
        <v>1353.61</v>
      </c>
      <c r="T2693">
        <f t="shared" si="307"/>
        <v>228.431052631579</v>
      </c>
      <c r="U2693">
        <f t="shared" si="308"/>
        <v>689.7</v>
      </c>
      <c r="V2693">
        <f t="shared" si="306"/>
        <v>57.475</v>
      </c>
      <c r="W2693">
        <f t="shared" si="303"/>
        <v>4678.86333333333</v>
      </c>
      <c r="X2693">
        <f t="shared" si="309"/>
        <v>0.378317668617367</v>
      </c>
      <c r="AH2693" t="str">
        <f t="shared" si="305"/>
        <v>3rd Quality</v>
      </c>
      <c r="AJ2693">
        <f>((T2693-X2693)*2)/25.7</f>
        <v>17.7472945496468</v>
      </c>
      <c r="AK2693">
        <f t="shared" si="310"/>
        <v>87717.5242105263</v>
      </c>
    </row>
    <row r="2694" spans="1:37">
      <c r="A2694" t="s">
        <v>2760</v>
      </c>
      <c r="B2694">
        <v>25</v>
      </c>
      <c r="C2694" t="s">
        <v>50</v>
      </c>
      <c r="D2694" t="s">
        <v>60</v>
      </c>
      <c r="E2694">
        <v>1221</v>
      </c>
      <c r="F2694">
        <v>234</v>
      </c>
      <c r="G2694">
        <v>1</v>
      </c>
      <c r="H2694">
        <v>974.69</v>
      </c>
      <c r="I2694">
        <v>903.23</v>
      </c>
      <c r="J2694">
        <v>17</v>
      </c>
      <c r="K2694">
        <v>0</v>
      </c>
      <c r="L2694">
        <v>21.2</v>
      </c>
      <c r="M2694">
        <v>17.4</v>
      </c>
      <c r="N2694" t="s">
        <v>63</v>
      </c>
      <c r="O2694" t="s">
        <v>47</v>
      </c>
      <c r="P2694" t="s">
        <v>66</v>
      </c>
      <c r="R2694">
        <f>SUMIF(A2694:A7693,"C02693",I2694:I7693)</f>
        <v>903.23</v>
      </c>
      <c r="S2694" s="1">
        <v>108899.87</v>
      </c>
      <c r="T2694">
        <f t="shared" si="307"/>
        <v>53.1311764705882</v>
      </c>
      <c r="U2694">
        <f t="shared" si="308"/>
        <v>295.8</v>
      </c>
      <c r="V2694">
        <f t="shared" si="306"/>
        <v>24.65</v>
      </c>
      <c r="W2694">
        <f t="shared" si="303"/>
        <v>626.306666666667</v>
      </c>
      <c r="X2694">
        <f t="shared" si="309"/>
        <v>1.25270598857073</v>
      </c>
      <c r="AH2694" t="str">
        <f t="shared" si="305"/>
        <v>3rd Quality</v>
      </c>
      <c r="AJ2694">
        <f>((T2694-X2694)*2)/21.2</f>
        <v>4.89419532849221</v>
      </c>
      <c r="AK2694">
        <f t="shared" si="310"/>
        <v>64873.1664705882</v>
      </c>
    </row>
    <row r="2695" spans="1:37">
      <c r="A2695" t="s">
        <v>2761</v>
      </c>
      <c r="B2695">
        <v>24</v>
      </c>
      <c r="C2695" t="s">
        <v>44</v>
      </c>
      <c r="D2695" t="s">
        <v>60</v>
      </c>
      <c r="E2695">
        <v>1455</v>
      </c>
      <c r="F2695">
        <v>69</v>
      </c>
      <c r="G2695">
        <v>2</v>
      </c>
      <c r="H2695">
        <v>1738.93</v>
      </c>
      <c r="I2695">
        <v>3582.74</v>
      </c>
      <c r="J2695">
        <v>11</v>
      </c>
      <c r="K2695">
        <v>0</v>
      </c>
      <c r="L2695">
        <v>16.7</v>
      </c>
      <c r="M2695">
        <v>14.2</v>
      </c>
      <c r="N2695" t="s">
        <v>57</v>
      </c>
      <c r="O2695" t="s">
        <v>75</v>
      </c>
      <c r="P2695" t="s">
        <v>66</v>
      </c>
      <c r="R2695">
        <f>SUMIF(A2695:A7694,"C02694",I2695:I7694)</f>
        <v>3582.74</v>
      </c>
      <c r="S2695" s="1">
        <v>888.11</v>
      </c>
      <c r="T2695">
        <f t="shared" si="307"/>
        <v>325.703636363636</v>
      </c>
      <c r="U2695">
        <f t="shared" si="308"/>
        <v>156.2</v>
      </c>
      <c r="V2695">
        <f t="shared" si="306"/>
        <v>13.0166666666667</v>
      </c>
      <c r="W2695">
        <f t="shared" si="303"/>
        <v>1774.22333333333</v>
      </c>
      <c r="X2695">
        <f t="shared" si="309"/>
        <v>0.836721432145055</v>
      </c>
      <c r="AH2695" t="str">
        <f t="shared" si="305"/>
        <v>3rd Quality</v>
      </c>
      <c r="AJ2695">
        <f>((T2695-X2695)*2)/16.7</f>
        <v>38.9062173570648</v>
      </c>
      <c r="AK2695">
        <f t="shared" si="310"/>
        <v>473898.790909091</v>
      </c>
    </row>
    <row r="2696" spans="1:37">
      <c r="A2696" t="s">
        <v>2762</v>
      </c>
      <c r="B2696">
        <v>40</v>
      </c>
      <c r="C2696" t="s">
        <v>50</v>
      </c>
      <c r="D2696" t="s">
        <v>45</v>
      </c>
      <c r="E2696">
        <v>1378</v>
      </c>
      <c r="F2696">
        <v>144</v>
      </c>
      <c r="G2696">
        <v>1</v>
      </c>
      <c r="H2696">
        <v>1219.63</v>
      </c>
      <c r="I2696">
        <v>1353.61</v>
      </c>
      <c r="J2696">
        <v>18</v>
      </c>
      <c r="K2696">
        <v>0</v>
      </c>
      <c r="L2696">
        <v>29.9</v>
      </c>
      <c r="M2696">
        <v>25.9</v>
      </c>
      <c r="N2696" t="s">
        <v>81</v>
      </c>
      <c r="O2696" t="s">
        <v>75</v>
      </c>
      <c r="P2696" t="s">
        <v>58</v>
      </c>
      <c r="R2696">
        <f>SUMIF(A2696:A7695,"C02695",I2696:I7695)</f>
        <v>1353.61</v>
      </c>
      <c r="S2696" s="1">
        <v>83180.68</v>
      </c>
      <c r="T2696">
        <f t="shared" si="307"/>
        <v>75.2005555555556</v>
      </c>
      <c r="U2696">
        <f t="shared" si="308"/>
        <v>466.2</v>
      </c>
      <c r="V2696">
        <f t="shared" si="306"/>
        <v>38.85</v>
      </c>
      <c r="W2696">
        <f t="shared" si="303"/>
        <v>858.08</v>
      </c>
      <c r="X2696">
        <f t="shared" si="309"/>
        <v>1.12985085640727</v>
      </c>
      <c r="AH2696" t="str">
        <f t="shared" si="305"/>
        <v>3rd Quality</v>
      </c>
      <c r="AJ2696">
        <f>((T2696-X2696)*2)/29.9</f>
        <v>4.954562187234</v>
      </c>
      <c r="AK2696">
        <f t="shared" si="310"/>
        <v>103626.365555556</v>
      </c>
    </row>
    <row r="2697" spans="1:37">
      <c r="A2697" t="s">
        <v>2763</v>
      </c>
      <c r="B2697">
        <v>33</v>
      </c>
      <c r="C2697" t="s">
        <v>44</v>
      </c>
      <c r="D2697" t="s">
        <v>45</v>
      </c>
      <c r="E2697">
        <v>1337</v>
      </c>
      <c r="F2697">
        <v>21</v>
      </c>
      <c r="G2697">
        <v>28</v>
      </c>
      <c r="H2697">
        <v>4006.33</v>
      </c>
      <c r="I2697">
        <v>108899.87</v>
      </c>
      <c r="J2697">
        <v>117</v>
      </c>
      <c r="K2697">
        <v>3</v>
      </c>
      <c r="L2697">
        <v>12.1</v>
      </c>
      <c r="M2697">
        <v>31</v>
      </c>
      <c r="N2697" t="s">
        <v>81</v>
      </c>
      <c r="O2697" t="s">
        <v>53</v>
      </c>
      <c r="P2697" t="s">
        <v>58</v>
      </c>
      <c r="R2697">
        <f>SUMIF(A2697:A7696,"C02696",I2697:I7696)</f>
        <v>108899.87</v>
      </c>
      <c r="S2697" s="1">
        <v>7648.12</v>
      </c>
      <c r="T2697">
        <f t="shared" si="307"/>
        <v>930.76811965812</v>
      </c>
      <c r="U2697">
        <f t="shared" si="308"/>
        <v>3627</v>
      </c>
      <c r="V2697">
        <f>U2697</f>
        <v>3627</v>
      </c>
      <c r="W2697">
        <f t="shared" ref="W2697:W2760" si="311">(H2697+I2697+1)/3</f>
        <v>37635.7333333333</v>
      </c>
      <c r="X2697">
        <f t="shared" si="309"/>
        <v>0.333721885116803</v>
      </c>
      <c r="AH2697" t="str">
        <f t="shared" si="305"/>
        <v>1st Quality</v>
      </c>
      <c r="AJ2697">
        <f>((T2697-X2697)*2)/12.1</f>
        <v>153.790809549257</v>
      </c>
      <c r="AK2697">
        <f t="shared" si="310"/>
        <v>1244436.97598291</v>
      </c>
    </row>
    <row r="2698" spans="1:37">
      <c r="A2698" t="s">
        <v>2764</v>
      </c>
      <c r="B2698">
        <v>21</v>
      </c>
      <c r="C2698" t="s">
        <v>50</v>
      </c>
      <c r="D2698" t="s">
        <v>45</v>
      </c>
      <c r="E2698">
        <v>633</v>
      </c>
      <c r="F2698">
        <v>89</v>
      </c>
      <c r="G2698">
        <v>1</v>
      </c>
      <c r="H2698">
        <v>834.95</v>
      </c>
      <c r="I2698">
        <v>888.11</v>
      </c>
      <c r="J2698">
        <v>17</v>
      </c>
      <c r="K2698">
        <v>0</v>
      </c>
      <c r="L2698">
        <v>27.1</v>
      </c>
      <c r="M2698">
        <v>23.1</v>
      </c>
      <c r="N2698" t="s">
        <v>63</v>
      </c>
      <c r="O2698" t="s">
        <v>47</v>
      </c>
      <c r="P2698" t="s">
        <v>68</v>
      </c>
      <c r="R2698">
        <f>SUMIF(A2698:A7697,"C02697",I2698:I7697)</f>
        <v>888.11</v>
      </c>
      <c r="S2698" s="1">
        <v>2977.3</v>
      </c>
      <c r="T2698">
        <f t="shared" si="307"/>
        <v>52.2417647058824</v>
      </c>
      <c r="U2698">
        <f t="shared" si="308"/>
        <v>392.7</v>
      </c>
      <c r="V2698">
        <f t="shared" si="306"/>
        <v>32.725</v>
      </c>
      <c r="W2698">
        <f t="shared" si="311"/>
        <v>574.686666666667</v>
      </c>
      <c r="X2698">
        <f t="shared" si="309"/>
        <v>0.758129229295167</v>
      </c>
      <c r="AH2698" t="str">
        <f t="shared" si="305"/>
        <v>3rd Quality</v>
      </c>
      <c r="AJ2698">
        <f>((T2698-X2698)*2)/27.1</f>
        <v>3.79953029347507</v>
      </c>
      <c r="AK2698">
        <f t="shared" si="310"/>
        <v>33069.0370588235</v>
      </c>
    </row>
    <row r="2699" spans="1:37">
      <c r="A2699" t="s">
        <v>2765</v>
      </c>
      <c r="B2699">
        <v>32</v>
      </c>
      <c r="C2699" t="s">
        <v>50</v>
      </c>
      <c r="D2699" t="s">
        <v>60</v>
      </c>
      <c r="E2699">
        <v>586</v>
      </c>
      <c r="F2699">
        <v>29</v>
      </c>
      <c r="G2699">
        <v>29</v>
      </c>
      <c r="H2699">
        <v>2841.56</v>
      </c>
      <c r="I2699">
        <v>83180.68</v>
      </c>
      <c r="J2699">
        <v>125</v>
      </c>
      <c r="K2699">
        <v>2</v>
      </c>
      <c r="L2699">
        <v>17.7</v>
      </c>
      <c r="M2699">
        <v>19</v>
      </c>
      <c r="N2699" t="s">
        <v>81</v>
      </c>
      <c r="O2699" t="s">
        <v>53</v>
      </c>
      <c r="P2699" t="s">
        <v>68</v>
      </c>
      <c r="R2699">
        <f>SUMIF(A2699:A7698,"C02698",I2699:I7698)</f>
        <v>83180.68</v>
      </c>
      <c r="S2699" s="1">
        <v>2207.92</v>
      </c>
      <c r="T2699">
        <f t="shared" si="307"/>
        <v>665.44544</v>
      </c>
      <c r="U2699">
        <f t="shared" si="308"/>
        <v>2375</v>
      </c>
      <c r="V2699">
        <f>U2699</f>
        <v>2375</v>
      </c>
      <c r="W2699">
        <f t="shared" si="311"/>
        <v>28674.4133333333</v>
      </c>
      <c r="X2699">
        <f t="shared" si="309"/>
        <v>0.206224749785329</v>
      </c>
      <c r="AH2699" t="str">
        <f t="shared" si="305"/>
        <v>2nd Quality</v>
      </c>
      <c r="AJ2699">
        <f>((T2699-X2699)*2)/17.7</f>
        <v>75.1682729096288</v>
      </c>
      <c r="AK2699">
        <f t="shared" si="310"/>
        <v>389951.02784</v>
      </c>
    </row>
    <row r="2700" spans="1:37">
      <c r="A2700" t="s">
        <v>2766</v>
      </c>
      <c r="B2700">
        <v>45</v>
      </c>
      <c r="C2700" t="s">
        <v>50</v>
      </c>
      <c r="D2700" t="s">
        <v>60</v>
      </c>
      <c r="E2700">
        <v>709</v>
      </c>
      <c r="F2700">
        <v>41</v>
      </c>
      <c r="G2700">
        <v>8</v>
      </c>
      <c r="H2700">
        <v>970.5</v>
      </c>
      <c r="I2700">
        <v>7648.12</v>
      </c>
      <c r="J2700">
        <v>50</v>
      </c>
      <c r="K2700">
        <v>0</v>
      </c>
      <c r="L2700">
        <v>7.8</v>
      </c>
      <c r="M2700">
        <v>26.1</v>
      </c>
      <c r="N2700" t="s">
        <v>61</v>
      </c>
      <c r="O2700" t="s">
        <v>47</v>
      </c>
      <c r="P2700" t="s">
        <v>68</v>
      </c>
      <c r="R2700">
        <f>SUMIF(A2700:A7699,"C02699",I2700:I7699)</f>
        <v>7648.12</v>
      </c>
      <c r="S2700" s="1">
        <v>28050.9</v>
      </c>
      <c r="T2700">
        <f t="shared" si="307"/>
        <v>152.9624</v>
      </c>
      <c r="U2700">
        <f t="shared" si="308"/>
        <v>1305</v>
      </c>
      <c r="V2700">
        <f t="shared" si="306"/>
        <v>108.75</v>
      </c>
      <c r="W2700">
        <f t="shared" si="311"/>
        <v>2873.20666666667</v>
      </c>
      <c r="X2700">
        <f t="shared" si="309"/>
        <v>0.730551262235961</v>
      </c>
      <c r="AH2700" t="str">
        <f t="shared" si="305"/>
        <v>3rd Quality</v>
      </c>
      <c r="AJ2700">
        <f>((T2700-X2700)*2)/7.8</f>
        <v>39.0338073686574</v>
      </c>
      <c r="AK2700">
        <f t="shared" si="310"/>
        <v>108450.3416</v>
      </c>
    </row>
    <row r="2701" spans="1:37">
      <c r="A2701" t="s">
        <v>2767</v>
      </c>
      <c r="B2701">
        <v>18</v>
      </c>
      <c r="C2701" t="s">
        <v>44</v>
      </c>
      <c r="D2701" t="s">
        <v>51</v>
      </c>
      <c r="E2701">
        <v>978</v>
      </c>
      <c r="F2701">
        <v>97</v>
      </c>
      <c r="G2701">
        <v>1</v>
      </c>
      <c r="H2701">
        <v>2927.93</v>
      </c>
      <c r="I2701">
        <v>2977.3</v>
      </c>
      <c r="J2701">
        <v>5</v>
      </c>
      <c r="K2701">
        <v>0</v>
      </c>
      <c r="L2701">
        <v>9.1</v>
      </c>
      <c r="M2701">
        <v>32.8</v>
      </c>
      <c r="N2701" t="s">
        <v>57</v>
      </c>
      <c r="O2701" t="s">
        <v>47</v>
      </c>
      <c r="P2701" t="s">
        <v>68</v>
      </c>
      <c r="R2701">
        <f>SUMIF(A2701:A7700,"C02700",I2701:I7700)</f>
        <v>2977.3</v>
      </c>
      <c r="S2701" s="1">
        <v>855.89</v>
      </c>
      <c r="T2701">
        <f t="shared" si="307"/>
        <v>595.46</v>
      </c>
      <c r="U2701">
        <f t="shared" si="308"/>
        <v>164</v>
      </c>
      <c r="V2701">
        <f t="shared" si="306"/>
        <v>13.6666666666667</v>
      </c>
      <c r="W2701">
        <f t="shared" si="311"/>
        <v>1968.74333333333</v>
      </c>
      <c r="X2701">
        <f t="shared" si="309"/>
        <v>0.334024378998132</v>
      </c>
      <c r="AH2701" t="str">
        <f t="shared" si="305"/>
        <v>3rd Quality</v>
      </c>
      <c r="AJ2701">
        <f>((T2701-X2701)*2)/9.1</f>
        <v>130.796917718902</v>
      </c>
      <c r="AK2701">
        <f t="shared" si="310"/>
        <v>582359.88</v>
      </c>
    </row>
    <row r="2702" spans="1:37">
      <c r="A2702" t="s">
        <v>2768</v>
      </c>
      <c r="B2702">
        <v>41</v>
      </c>
      <c r="C2702" t="s">
        <v>50</v>
      </c>
      <c r="D2702" t="s">
        <v>45</v>
      </c>
      <c r="E2702">
        <v>1218</v>
      </c>
      <c r="F2702">
        <v>136</v>
      </c>
      <c r="G2702">
        <v>2</v>
      </c>
      <c r="H2702">
        <v>1124.16</v>
      </c>
      <c r="I2702">
        <v>2207.92</v>
      </c>
      <c r="J2702">
        <v>9</v>
      </c>
      <c r="K2702">
        <v>0</v>
      </c>
      <c r="L2702">
        <v>27.6</v>
      </c>
      <c r="M2702">
        <v>12.6</v>
      </c>
      <c r="N2702" t="s">
        <v>61</v>
      </c>
      <c r="O2702" t="s">
        <v>75</v>
      </c>
      <c r="P2702" t="s">
        <v>66</v>
      </c>
      <c r="R2702">
        <f>SUMIF(A2702:A7701,"C02701",I2702:I7701)</f>
        <v>2207.92</v>
      </c>
      <c r="S2702" s="1">
        <v>836.11</v>
      </c>
      <c r="T2702">
        <f t="shared" si="307"/>
        <v>245.324444444444</v>
      </c>
      <c r="U2702">
        <f t="shared" si="308"/>
        <v>113.4</v>
      </c>
      <c r="V2702">
        <f t="shared" si="306"/>
        <v>9.45</v>
      </c>
      <c r="W2702">
        <f t="shared" si="311"/>
        <v>1111.02666666667</v>
      </c>
      <c r="X2702">
        <f t="shared" si="309"/>
        <v>1.0834756618275</v>
      </c>
      <c r="AH2702" t="str">
        <f t="shared" ref="AH2702:AH2765" si="312">IF(AND(W2702&gt;=12550,B2702&lt;=33,E2702&gt;=915),"1st Quality",IF(AND(W2702&gt;=6275,B2702&lt;=43,E2702&gt;=457),"2nd Quality","3rd Quality"))</f>
        <v>3rd Quality</v>
      </c>
      <c r="AJ2702">
        <f>((T2702-X2702)*2)/27.6</f>
        <v>17.6986209262766</v>
      </c>
      <c r="AK2702">
        <f t="shared" si="310"/>
        <v>298805.173333333</v>
      </c>
    </row>
    <row r="2703" spans="1:37">
      <c r="A2703" t="s">
        <v>2769</v>
      </c>
      <c r="B2703">
        <v>18</v>
      </c>
      <c r="C2703" t="s">
        <v>50</v>
      </c>
      <c r="D2703" t="s">
        <v>51</v>
      </c>
      <c r="E2703">
        <v>1444</v>
      </c>
      <c r="F2703">
        <v>66</v>
      </c>
      <c r="G2703">
        <v>4</v>
      </c>
      <c r="H2703">
        <v>7332.98</v>
      </c>
      <c r="I2703">
        <v>28050.9</v>
      </c>
      <c r="J2703">
        <v>29</v>
      </c>
      <c r="K2703">
        <v>0</v>
      </c>
      <c r="L2703">
        <v>0</v>
      </c>
      <c r="M2703">
        <v>33.4</v>
      </c>
      <c r="N2703" t="s">
        <v>61</v>
      </c>
      <c r="O2703" t="s">
        <v>47</v>
      </c>
      <c r="P2703" t="s">
        <v>68</v>
      </c>
      <c r="R2703">
        <f>SUMIF(A2703:A7702,"C02702",I2703:I7702)</f>
        <v>28050.9</v>
      </c>
      <c r="S2703" s="1">
        <v>2892.43</v>
      </c>
      <c r="T2703">
        <f t="shared" si="307"/>
        <v>967.272413793104</v>
      </c>
      <c r="U2703">
        <f t="shared" si="308"/>
        <v>968.6</v>
      </c>
      <c r="V2703">
        <f t="shared" si="306"/>
        <v>80.7166666666667</v>
      </c>
      <c r="W2703">
        <f t="shared" si="311"/>
        <v>11794.96</v>
      </c>
      <c r="X2703">
        <f t="shared" si="309"/>
        <v>0.196918578804251</v>
      </c>
      <c r="AH2703" t="str">
        <f t="shared" si="312"/>
        <v>2nd Quality</v>
      </c>
      <c r="AJ2703">
        <f>((T2703-X2703)*2)</f>
        <v>1934.1509904286</v>
      </c>
      <c r="AK2703">
        <f t="shared" si="310"/>
        <v>1396741.36551724</v>
      </c>
    </row>
    <row r="2704" spans="1:37">
      <c r="A2704" t="s">
        <v>2770</v>
      </c>
      <c r="B2704">
        <v>32</v>
      </c>
      <c r="C2704" t="s">
        <v>50</v>
      </c>
      <c r="D2704" t="s">
        <v>45</v>
      </c>
      <c r="E2704">
        <v>895</v>
      </c>
      <c r="F2704">
        <v>37</v>
      </c>
      <c r="G2704">
        <v>1</v>
      </c>
      <c r="H2704">
        <v>805.42</v>
      </c>
      <c r="I2704">
        <v>855.89</v>
      </c>
      <c r="J2704">
        <v>10</v>
      </c>
      <c r="K2704">
        <v>0</v>
      </c>
      <c r="L2704">
        <v>27.6</v>
      </c>
      <c r="M2704">
        <v>32.8</v>
      </c>
      <c r="N2704" t="s">
        <v>46</v>
      </c>
      <c r="O2704" t="s">
        <v>47</v>
      </c>
      <c r="P2704" t="s">
        <v>48</v>
      </c>
      <c r="R2704">
        <f>SUMIF(A2704:A7703,"C02703",I2704:I7703)</f>
        <v>855.89</v>
      </c>
      <c r="S2704" s="1">
        <v>16822.58</v>
      </c>
      <c r="T2704">
        <f t="shared" si="307"/>
        <v>85.589</v>
      </c>
      <c r="U2704">
        <f t="shared" si="308"/>
        <v>328</v>
      </c>
      <c r="V2704">
        <f t="shared" si="306"/>
        <v>27.3333333333333</v>
      </c>
      <c r="W2704">
        <f t="shared" si="311"/>
        <v>554.103333333333</v>
      </c>
      <c r="X2704">
        <f t="shared" si="309"/>
        <v>1.11122147451019</v>
      </c>
      <c r="AH2704" t="str">
        <f t="shared" si="312"/>
        <v>3rd Quality</v>
      </c>
      <c r="AJ2704">
        <f>((T2704-X2704)*2)/27.6</f>
        <v>6.121578154021</v>
      </c>
      <c r="AK2704">
        <f t="shared" si="310"/>
        <v>76602.155</v>
      </c>
    </row>
    <row r="2705" spans="1:37">
      <c r="A2705" t="s">
        <v>2771</v>
      </c>
      <c r="B2705">
        <v>32</v>
      </c>
      <c r="C2705" t="s">
        <v>44</v>
      </c>
      <c r="D2705" t="s">
        <v>60</v>
      </c>
      <c r="E2705">
        <v>883</v>
      </c>
      <c r="F2705">
        <v>100</v>
      </c>
      <c r="G2705">
        <v>2</v>
      </c>
      <c r="H2705">
        <v>414.8</v>
      </c>
      <c r="I2705">
        <v>836.11</v>
      </c>
      <c r="J2705">
        <v>9</v>
      </c>
      <c r="K2705">
        <v>0</v>
      </c>
      <c r="L2705">
        <v>34.4</v>
      </c>
      <c r="M2705">
        <v>10.9</v>
      </c>
      <c r="N2705" t="s">
        <v>57</v>
      </c>
      <c r="O2705" t="s">
        <v>53</v>
      </c>
      <c r="P2705" t="s">
        <v>58</v>
      </c>
      <c r="R2705">
        <f>SUMIF(A2705:A7704,"C02704",I2705:I7704)</f>
        <v>836.11</v>
      </c>
      <c r="S2705" s="1">
        <v>5387.67</v>
      </c>
      <c r="T2705">
        <f t="shared" si="307"/>
        <v>92.9011111111111</v>
      </c>
      <c r="U2705">
        <f t="shared" si="308"/>
        <v>98.1</v>
      </c>
      <c r="V2705">
        <f t="shared" si="306"/>
        <v>8.175</v>
      </c>
      <c r="W2705">
        <f t="shared" si="311"/>
        <v>417.303333333333</v>
      </c>
      <c r="X2705">
        <f t="shared" si="309"/>
        <v>2.12873674059788</v>
      </c>
      <c r="AH2705" t="str">
        <f t="shared" si="312"/>
        <v>3rd Quality</v>
      </c>
      <c r="AJ2705">
        <f>((T2705-X2705)*2)/34.4</f>
        <v>5.27746362619263</v>
      </c>
      <c r="AK2705">
        <f t="shared" si="310"/>
        <v>82031.6811111111</v>
      </c>
    </row>
    <row r="2706" spans="1:37">
      <c r="A2706" t="s">
        <v>2772</v>
      </c>
      <c r="B2706">
        <v>27</v>
      </c>
      <c r="C2706" t="s">
        <v>44</v>
      </c>
      <c r="D2706" t="s">
        <v>45</v>
      </c>
      <c r="E2706">
        <v>1297</v>
      </c>
      <c r="F2706">
        <v>119</v>
      </c>
      <c r="G2706">
        <v>2</v>
      </c>
      <c r="H2706">
        <v>1309.54</v>
      </c>
      <c r="I2706">
        <v>2892.43</v>
      </c>
      <c r="J2706">
        <v>19</v>
      </c>
      <c r="K2706">
        <v>0</v>
      </c>
      <c r="L2706">
        <v>40.4</v>
      </c>
      <c r="M2706">
        <v>27.5</v>
      </c>
      <c r="N2706" t="s">
        <v>78</v>
      </c>
      <c r="O2706" t="s">
        <v>47</v>
      </c>
      <c r="P2706" t="s">
        <v>48</v>
      </c>
      <c r="R2706">
        <f>SUMIF(A2706:A7705,"C02705",I2706:I7705)</f>
        <v>2892.43</v>
      </c>
      <c r="S2706" s="1">
        <v>9468.94</v>
      </c>
      <c r="T2706">
        <f t="shared" si="307"/>
        <v>152.233157894737</v>
      </c>
      <c r="U2706">
        <f t="shared" si="308"/>
        <v>522.5</v>
      </c>
      <c r="V2706">
        <f t="shared" ref="V2706:V2769" si="313">U2706/12</f>
        <v>43.5416666666667</v>
      </c>
      <c r="W2706">
        <f t="shared" si="311"/>
        <v>1400.99</v>
      </c>
      <c r="X2706">
        <f t="shared" si="309"/>
        <v>0.990424118392718</v>
      </c>
      <c r="AH2706" t="str">
        <f t="shared" si="312"/>
        <v>3rd Quality</v>
      </c>
      <c r="AJ2706">
        <f>((T2706-X2706)*2)/40.4</f>
        <v>7.48726404833388</v>
      </c>
      <c r="AK2706">
        <f t="shared" si="310"/>
        <v>197446.405789474</v>
      </c>
    </row>
    <row r="2707" spans="1:37">
      <c r="A2707" t="s">
        <v>2773</v>
      </c>
      <c r="B2707">
        <v>34</v>
      </c>
      <c r="C2707" t="s">
        <v>44</v>
      </c>
      <c r="D2707" t="s">
        <v>60</v>
      </c>
      <c r="E2707">
        <v>1410</v>
      </c>
      <c r="F2707">
        <v>49</v>
      </c>
      <c r="G2707">
        <v>10</v>
      </c>
      <c r="H2707">
        <v>1907.11</v>
      </c>
      <c r="I2707">
        <v>16822.58</v>
      </c>
      <c r="J2707">
        <v>62</v>
      </c>
      <c r="K2707">
        <v>0</v>
      </c>
      <c r="L2707">
        <v>18</v>
      </c>
      <c r="M2707">
        <v>28.1</v>
      </c>
      <c r="N2707" t="s">
        <v>81</v>
      </c>
      <c r="O2707" t="s">
        <v>75</v>
      </c>
      <c r="P2707" t="s">
        <v>68</v>
      </c>
      <c r="R2707">
        <f>SUMIF(A2707:A7706,"C02706",I2707:I7706)</f>
        <v>16822.58</v>
      </c>
      <c r="S2707" s="1">
        <v>124720.68</v>
      </c>
      <c r="T2707">
        <f t="shared" si="307"/>
        <v>271.331935483871</v>
      </c>
      <c r="U2707">
        <f t="shared" si="308"/>
        <v>1742.2</v>
      </c>
      <c r="V2707">
        <f t="shared" si="313"/>
        <v>145.183333333333</v>
      </c>
      <c r="W2707">
        <f t="shared" si="311"/>
        <v>6243.56333333333</v>
      </c>
      <c r="X2707">
        <f t="shared" si="309"/>
        <v>0.739338580365055</v>
      </c>
      <c r="AH2707" t="str">
        <f t="shared" si="312"/>
        <v>3rd Quality</v>
      </c>
      <c r="AJ2707">
        <f>((T2707-X2707)*2)/18</f>
        <v>30.0658441003896</v>
      </c>
      <c r="AK2707">
        <f t="shared" si="310"/>
        <v>382578.029032258</v>
      </c>
    </row>
    <row r="2708" spans="1:37">
      <c r="A2708" t="s">
        <v>2774</v>
      </c>
      <c r="B2708">
        <v>51</v>
      </c>
      <c r="C2708" t="s">
        <v>44</v>
      </c>
      <c r="D2708" t="s">
        <v>60</v>
      </c>
      <c r="E2708">
        <v>837</v>
      </c>
      <c r="F2708">
        <v>117</v>
      </c>
      <c r="G2708">
        <v>2</v>
      </c>
      <c r="H2708">
        <v>2530.27</v>
      </c>
      <c r="I2708">
        <v>5387.67</v>
      </c>
      <c r="J2708">
        <v>20</v>
      </c>
      <c r="K2708">
        <v>0</v>
      </c>
      <c r="L2708">
        <v>21</v>
      </c>
      <c r="M2708">
        <v>25.7</v>
      </c>
      <c r="N2708" t="s">
        <v>46</v>
      </c>
      <c r="O2708" t="s">
        <v>47</v>
      </c>
      <c r="P2708" t="s">
        <v>48</v>
      </c>
      <c r="R2708">
        <f>SUMIF(A2708:A7707,"C02707",I2708:I7707)</f>
        <v>5387.67</v>
      </c>
      <c r="S2708" s="1">
        <v>45849.53</v>
      </c>
      <c r="T2708">
        <f t="shared" si="307"/>
        <v>269.3835</v>
      </c>
      <c r="U2708">
        <f t="shared" si="308"/>
        <v>514</v>
      </c>
      <c r="V2708">
        <f t="shared" si="313"/>
        <v>42.8333333333333</v>
      </c>
      <c r="W2708">
        <f t="shared" si="311"/>
        <v>2639.64666666667</v>
      </c>
      <c r="X2708">
        <f t="shared" si="309"/>
        <v>0.330794737320523</v>
      </c>
      <c r="AH2708" t="str">
        <f t="shared" si="312"/>
        <v>3rd Quality</v>
      </c>
      <c r="AJ2708">
        <f>((T2708-X2708)*2)/21</f>
        <v>25.6240671678742</v>
      </c>
      <c r="AK2708">
        <f t="shared" si="310"/>
        <v>225473.9895</v>
      </c>
    </row>
    <row r="2709" spans="1:37">
      <c r="A2709" t="s">
        <v>2775</v>
      </c>
      <c r="B2709">
        <v>30</v>
      </c>
      <c r="C2709" t="s">
        <v>101</v>
      </c>
      <c r="D2709" t="s">
        <v>60</v>
      </c>
      <c r="E2709">
        <v>963</v>
      </c>
      <c r="F2709">
        <v>6</v>
      </c>
      <c r="G2709">
        <v>8</v>
      </c>
      <c r="H2709">
        <v>1289.68</v>
      </c>
      <c r="I2709">
        <v>9468.94</v>
      </c>
      <c r="J2709">
        <v>36</v>
      </c>
      <c r="K2709">
        <v>0</v>
      </c>
      <c r="L2709">
        <v>31</v>
      </c>
      <c r="M2709">
        <v>15.8</v>
      </c>
      <c r="N2709" t="s">
        <v>61</v>
      </c>
      <c r="O2709" t="s">
        <v>47</v>
      </c>
      <c r="P2709" t="s">
        <v>58</v>
      </c>
      <c r="R2709">
        <f>SUMIF(A2709:A7708,"C02708",I2709:I7708)</f>
        <v>9468.94</v>
      </c>
      <c r="S2709" s="1">
        <v>1768.36</v>
      </c>
      <c r="T2709">
        <f t="shared" si="307"/>
        <v>263.026111111111</v>
      </c>
      <c r="U2709">
        <f t="shared" si="308"/>
        <v>568.8</v>
      </c>
      <c r="V2709">
        <f t="shared" si="313"/>
        <v>47.4</v>
      </c>
      <c r="W2709">
        <f t="shared" si="311"/>
        <v>3586.54</v>
      </c>
      <c r="X2709">
        <f t="shared" si="309"/>
        <v>0.746696855033807</v>
      </c>
      <c r="AH2709" t="str">
        <f t="shared" si="312"/>
        <v>3rd Quality</v>
      </c>
      <c r="AJ2709">
        <f>((T2709-X2709)*2)/31</f>
        <v>16.9212525326501</v>
      </c>
      <c r="AK2709">
        <f t="shared" si="310"/>
        <v>253294.145</v>
      </c>
    </row>
    <row r="2710" spans="1:37">
      <c r="A2710" t="s">
        <v>2776</v>
      </c>
      <c r="B2710">
        <v>36</v>
      </c>
      <c r="C2710" t="s">
        <v>50</v>
      </c>
      <c r="D2710" t="s">
        <v>60</v>
      </c>
      <c r="E2710">
        <v>653</v>
      </c>
      <c r="F2710">
        <v>15</v>
      </c>
      <c r="G2710">
        <v>27</v>
      </c>
      <c r="H2710">
        <v>4346.78</v>
      </c>
      <c r="I2710">
        <v>124720.68</v>
      </c>
      <c r="J2710">
        <v>67</v>
      </c>
      <c r="K2710">
        <v>0</v>
      </c>
      <c r="L2710">
        <v>10.1</v>
      </c>
      <c r="M2710">
        <v>19.2</v>
      </c>
      <c r="N2710" t="s">
        <v>46</v>
      </c>
      <c r="O2710" t="s">
        <v>47</v>
      </c>
      <c r="P2710" t="s">
        <v>58</v>
      </c>
      <c r="R2710">
        <f>SUMIF(A2710:A7709,"C02709",I2710:I7709)</f>
        <v>124720.68</v>
      </c>
      <c r="S2710" s="1">
        <v>9638.05</v>
      </c>
      <c r="T2710">
        <f t="shared" ref="T2710:T2773" si="314">I2710/J2710</f>
        <v>1861.50268656716</v>
      </c>
      <c r="U2710">
        <f t="shared" si="308"/>
        <v>1286.4</v>
      </c>
      <c r="V2710">
        <f t="shared" si="313"/>
        <v>107.2</v>
      </c>
      <c r="W2710">
        <f t="shared" si="311"/>
        <v>43022.82</v>
      </c>
      <c r="X2710">
        <f t="shared" si="309"/>
        <v>0.150226144410345</v>
      </c>
      <c r="AH2710" t="str">
        <f t="shared" si="312"/>
        <v>2nd Quality</v>
      </c>
      <c r="AJ2710">
        <f>((T2710-X2710)*2)/10.1</f>
        <v>368.584645628267</v>
      </c>
      <c r="AK2710">
        <f t="shared" si="310"/>
        <v>1215561.25432836</v>
      </c>
    </row>
    <row r="2711" spans="1:37">
      <c r="A2711" t="s">
        <v>2777</v>
      </c>
      <c r="B2711">
        <v>34</v>
      </c>
      <c r="C2711" t="s">
        <v>44</v>
      </c>
      <c r="D2711" t="s">
        <v>45</v>
      </c>
      <c r="E2711">
        <v>745</v>
      </c>
      <c r="F2711">
        <v>28</v>
      </c>
      <c r="G2711">
        <v>3</v>
      </c>
      <c r="H2711">
        <v>14036</v>
      </c>
      <c r="I2711">
        <v>45849.53</v>
      </c>
      <c r="J2711">
        <v>27</v>
      </c>
      <c r="K2711">
        <v>0</v>
      </c>
      <c r="L2711">
        <v>12.9</v>
      </c>
      <c r="M2711">
        <v>11.9</v>
      </c>
      <c r="N2711" t="s">
        <v>46</v>
      </c>
      <c r="O2711" t="s">
        <v>75</v>
      </c>
      <c r="P2711" t="s">
        <v>58</v>
      </c>
      <c r="R2711">
        <f>SUMIF(A2711:A7710,"C02710",I2711:I7710)</f>
        <v>45849.53</v>
      </c>
      <c r="S2711" s="1">
        <v>11861.03</v>
      </c>
      <c r="T2711">
        <f t="shared" si="314"/>
        <v>1698.13074074074</v>
      </c>
      <c r="U2711">
        <f t="shared" si="308"/>
        <v>321.3</v>
      </c>
      <c r="V2711">
        <f t="shared" si="313"/>
        <v>26.775</v>
      </c>
      <c r="W2711">
        <f t="shared" si="311"/>
        <v>19962.1766666667</v>
      </c>
      <c r="X2711">
        <f t="shared" si="309"/>
        <v>0.0530777999430037</v>
      </c>
      <c r="AH2711" t="str">
        <f t="shared" si="312"/>
        <v>2nd Quality</v>
      </c>
      <c r="AJ2711">
        <f>((T2711-X2711)*2)/12.9</f>
        <v>263.267854719503</v>
      </c>
      <c r="AK2711">
        <f t="shared" si="310"/>
        <v>1265107.40185185</v>
      </c>
    </row>
    <row r="2712" spans="1:37">
      <c r="A2712" t="s">
        <v>2778</v>
      </c>
      <c r="B2712">
        <v>34</v>
      </c>
      <c r="C2712" t="s">
        <v>44</v>
      </c>
      <c r="D2712" t="s">
        <v>45</v>
      </c>
      <c r="E2712">
        <v>1200</v>
      </c>
      <c r="F2712">
        <v>268</v>
      </c>
      <c r="G2712">
        <v>1</v>
      </c>
      <c r="H2712">
        <v>1655.5</v>
      </c>
      <c r="I2712">
        <v>1768.36</v>
      </c>
      <c r="J2712">
        <v>15</v>
      </c>
      <c r="K2712">
        <v>0</v>
      </c>
      <c r="L2712">
        <v>16.3</v>
      </c>
      <c r="M2712">
        <v>54.4</v>
      </c>
      <c r="N2712" t="s">
        <v>57</v>
      </c>
      <c r="O2712" t="s">
        <v>75</v>
      </c>
      <c r="P2712" t="s">
        <v>48</v>
      </c>
      <c r="R2712">
        <f>SUMIF(A2712:A7711,"C02711",I2712:I7711)</f>
        <v>1768.36</v>
      </c>
      <c r="S2712" s="1">
        <v>91921.39</v>
      </c>
      <c r="T2712">
        <f t="shared" si="314"/>
        <v>117.890666666667</v>
      </c>
      <c r="U2712">
        <f t="shared" si="308"/>
        <v>816</v>
      </c>
      <c r="V2712">
        <f t="shared" si="313"/>
        <v>68</v>
      </c>
      <c r="W2712">
        <f t="shared" si="311"/>
        <v>1141.62</v>
      </c>
      <c r="X2712">
        <f t="shared" si="309"/>
        <v>0.724856538810027</v>
      </c>
      <c r="AH2712" t="str">
        <f t="shared" si="312"/>
        <v>3rd Quality</v>
      </c>
      <c r="AJ2712">
        <f>((T2712-X2712)*2)/16.3</f>
        <v>14.3761730218229</v>
      </c>
      <c r="AK2712">
        <f t="shared" si="310"/>
        <v>141468.8</v>
      </c>
    </row>
    <row r="2713" spans="1:37">
      <c r="A2713" t="s">
        <v>2779</v>
      </c>
      <c r="B2713">
        <v>30</v>
      </c>
      <c r="C2713" t="s">
        <v>44</v>
      </c>
      <c r="D2713" t="s">
        <v>60</v>
      </c>
      <c r="E2713">
        <v>545</v>
      </c>
      <c r="F2713">
        <v>29</v>
      </c>
      <c r="G2713">
        <v>8</v>
      </c>
      <c r="H2713">
        <v>1178.22</v>
      </c>
      <c r="I2713">
        <v>9638.05</v>
      </c>
      <c r="J2713">
        <v>35</v>
      </c>
      <c r="K2713">
        <v>1</v>
      </c>
      <c r="L2713">
        <v>31.2</v>
      </c>
      <c r="M2713">
        <v>47.8</v>
      </c>
      <c r="N2713" t="s">
        <v>52</v>
      </c>
      <c r="O2713" t="s">
        <v>47</v>
      </c>
      <c r="P2713" t="s">
        <v>58</v>
      </c>
      <c r="R2713">
        <f>SUMIF(A2713:A7712,"C02712",I2713:I7712)</f>
        <v>9638.05</v>
      </c>
      <c r="S2713" s="1">
        <v>2014.89</v>
      </c>
      <c r="T2713">
        <f t="shared" si="314"/>
        <v>275.372857142857</v>
      </c>
      <c r="U2713">
        <f t="shared" si="308"/>
        <v>1673</v>
      </c>
      <c r="V2713">
        <f>U2713</f>
        <v>1673</v>
      </c>
      <c r="W2713">
        <f t="shared" si="311"/>
        <v>3605.75666666667</v>
      </c>
      <c r="X2713">
        <f t="shared" si="309"/>
        <v>0.462562170053131</v>
      </c>
      <c r="AH2713" t="str">
        <f t="shared" si="312"/>
        <v>3rd Quality</v>
      </c>
      <c r="AJ2713">
        <f>((T2713-X2713)*2)/31.2</f>
        <v>17.622454805949</v>
      </c>
      <c r="AK2713">
        <f t="shared" si="310"/>
        <v>150078.207142857</v>
      </c>
    </row>
    <row r="2714" spans="1:37">
      <c r="A2714" t="s">
        <v>2780</v>
      </c>
      <c r="B2714">
        <v>21</v>
      </c>
      <c r="C2714" t="s">
        <v>44</v>
      </c>
      <c r="D2714" t="s">
        <v>45</v>
      </c>
      <c r="E2714">
        <v>683</v>
      </c>
      <c r="F2714">
        <v>46</v>
      </c>
      <c r="G2714">
        <v>14</v>
      </c>
      <c r="H2714">
        <v>931.57</v>
      </c>
      <c r="I2714">
        <v>11861.03</v>
      </c>
      <c r="J2714">
        <v>123</v>
      </c>
      <c r="K2714">
        <v>2</v>
      </c>
      <c r="L2714">
        <v>16.7</v>
      </c>
      <c r="M2714">
        <v>21.9</v>
      </c>
      <c r="N2714" t="s">
        <v>52</v>
      </c>
      <c r="O2714" t="s">
        <v>47</v>
      </c>
      <c r="P2714" t="s">
        <v>66</v>
      </c>
      <c r="R2714">
        <f>SUMIF(A2714:A7713,"C02713",I2714:I7713)</f>
        <v>11861.03</v>
      </c>
      <c r="S2714" s="1">
        <v>6154.72</v>
      </c>
      <c r="T2714">
        <f t="shared" si="314"/>
        <v>96.4311382113821</v>
      </c>
      <c r="U2714">
        <f t="shared" si="308"/>
        <v>2693.7</v>
      </c>
      <c r="V2714">
        <f>U2714</f>
        <v>2693.7</v>
      </c>
      <c r="W2714">
        <f t="shared" si="311"/>
        <v>4264.53333333333</v>
      </c>
      <c r="X2714">
        <f t="shared" si="309"/>
        <v>0.733170883562158</v>
      </c>
      <c r="AH2714" t="str">
        <f t="shared" si="312"/>
        <v>3rd Quality</v>
      </c>
      <c r="AJ2714">
        <f>((T2714-X2714)*2)/16.7</f>
        <v>11.4608344105174</v>
      </c>
      <c r="AK2714">
        <f t="shared" si="310"/>
        <v>65862.467398374</v>
      </c>
    </row>
    <row r="2715" spans="1:37">
      <c r="A2715" t="s">
        <v>2781</v>
      </c>
      <c r="B2715">
        <v>29</v>
      </c>
      <c r="C2715" t="s">
        <v>44</v>
      </c>
      <c r="D2715" t="s">
        <v>60</v>
      </c>
      <c r="E2715">
        <v>483</v>
      </c>
      <c r="F2715">
        <v>4</v>
      </c>
      <c r="G2715">
        <v>22</v>
      </c>
      <c r="H2715">
        <v>3762.51</v>
      </c>
      <c r="I2715">
        <v>91921.39</v>
      </c>
      <c r="J2715">
        <v>177</v>
      </c>
      <c r="K2715">
        <v>2</v>
      </c>
      <c r="L2715">
        <v>0</v>
      </c>
      <c r="M2715">
        <v>28.1</v>
      </c>
      <c r="N2715" t="s">
        <v>52</v>
      </c>
      <c r="O2715" t="s">
        <v>47</v>
      </c>
      <c r="P2715" t="s">
        <v>68</v>
      </c>
      <c r="R2715">
        <f>SUMIF(A2715:A7714,"C02714",I2715:I7714)</f>
        <v>91921.39</v>
      </c>
      <c r="S2715" s="1">
        <v>29980.38</v>
      </c>
      <c r="T2715">
        <f t="shared" si="314"/>
        <v>519.32988700565</v>
      </c>
      <c r="U2715">
        <f t="shared" si="308"/>
        <v>4973.7</v>
      </c>
      <c r="V2715">
        <f>U2715</f>
        <v>4973.7</v>
      </c>
      <c r="W2715">
        <f t="shared" si="311"/>
        <v>31894.9666666667</v>
      </c>
      <c r="X2715">
        <f t="shared" si="309"/>
        <v>0.128371751835876</v>
      </c>
      <c r="AH2715" t="str">
        <f t="shared" si="312"/>
        <v>2nd Quality</v>
      </c>
      <c r="AJ2715">
        <f>((T2715-X2715)*2)</f>
        <v>1038.40303050763</v>
      </c>
      <c r="AK2715">
        <f t="shared" si="310"/>
        <v>250836.335423729</v>
      </c>
    </row>
    <row r="2716" spans="1:37">
      <c r="A2716" t="s">
        <v>2782</v>
      </c>
      <c r="B2716">
        <v>54</v>
      </c>
      <c r="C2716" t="s">
        <v>44</v>
      </c>
      <c r="D2716" t="s">
        <v>60</v>
      </c>
      <c r="E2716">
        <v>646</v>
      </c>
      <c r="F2716">
        <v>148</v>
      </c>
      <c r="G2716">
        <v>1</v>
      </c>
      <c r="H2716">
        <v>2102.51</v>
      </c>
      <c r="I2716">
        <v>2014.89</v>
      </c>
      <c r="J2716">
        <v>16</v>
      </c>
      <c r="K2716">
        <v>0</v>
      </c>
      <c r="L2716">
        <v>14.3</v>
      </c>
      <c r="M2716">
        <v>48.4</v>
      </c>
      <c r="N2716" t="s">
        <v>61</v>
      </c>
      <c r="O2716" t="s">
        <v>47</v>
      </c>
      <c r="P2716" t="s">
        <v>58</v>
      </c>
      <c r="R2716">
        <f>SUMIF(A2716:A7715,"C02715",I2716:I7715)</f>
        <v>2014.89</v>
      </c>
      <c r="S2716" s="1">
        <v>1654.91</v>
      </c>
      <c r="T2716">
        <f t="shared" si="314"/>
        <v>125.930625</v>
      </c>
      <c r="U2716">
        <f t="shared" si="308"/>
        <v>774.4</v>
      </c>
      <c r="V2716">
        <f t="shared" si="313"/>
        <v>64.5333333333333</v>
      </c>
      <c r="W2716">
        <f t="shared" si="311"/>
        <v>1372.8</v>
      </c>
      <c r="X2716">
        <f t="shared" si="309"/>
        <v>0.307251808552635</v>
      </c>
      <c r="AH2716" t="str">
        <f t="shared" si="312"/>
        <v>3rd Quality</v>
      </c>
      <c r="AJ2716">
        <f>((T2716-X2716)*2)/14.3</f>
        <v>17.5697025442584</v>
      </c>
      <c r="AK2716">
        <f t="shared" si="310"/>
        <v>81351.18375</v>
      </c>
    </row>
    <row r="2717" spans="1:37">
      <c r="A2717" t="s">
        <v>2783</v>
      </c>
      <c r="B2717">
        <v>44</v>
      </c>
      <c r="C2717" t="s">
        <v>44</v>
      </c>
      <c r="D2717" t="s">
        <v>60</v>
      </c>
      <c r="E2717">
        <v>1140</v>
      </c>
      <c r="F2717">
        <v>14</v>
      </c>
      <c r="G2717">
        <v>6</v>
      </c>
      <c r="H2717">
        <v>1156.76</v>
      </c>
      <c r="I2717">
        <v>6154.72</v>
      </c>
      <c r="J2717">
        <v>32</v>
      </c>
      <c r="K2717">
        <v>0</v>
      </c>
      <c r="L2717">
        <v>21.4</v>
      </c>
      <c r="M2717">
        <v>24.6</v>
      </c>
      <c r="N2717" t="s">
        <v>61</v>
      </c>
      <c r="O2717" t="s">
        <v>47</v>
      </c>
      <c r="P2717" t="s">
        <v>48</v>
      </c>
      <c r="R2717">
        <f>SUMIF(A2717:A7716,"C02716",I2717:I7716)</f>
        <v>6154.72</v>
      </c>
      <c r="S2717" s="1">
        <v>107362.11</v>
      </c>
      <c r="T2717">
        <f t="shared" si="314"/>
        <v>192.335</v>
      </c>
      <c r="U2717">
        <f t="shared" si="308"/>
        <v>787.2</v>
      </c>
      <c r="V2717">
        <f t="shared" si="313"/>
        <v>65.6</v>
      </c>
      <c r="W2717">
        <f t="shared" si="311"/>
        <v>2437.49333333333</v>
      </c>
      <c r="X2717">
        <f t="shared" si="309"/>
        <v>0.985511255575919</v>
      </c>
      <c r="AH2717" t="str">
        <f t="shared" si="312"/>
        <v>3rd Quality</v>
      </c>
      <c r="AJ2717">
        <f>((T2717-X2717)*2)/21.4</f>
        <v>17.8831297891985</v>
      </c>
      <c r="AK2717">
        <f t="shared" si="310"/>
        <v>219261.9</v>
      </c>
    </row>
    <row r="2718" spans="1:37">
      <c r="A2718" t="s">
        <v>2784</v>
      </c>
      <c r="B2718">
        <v>28</v>
      </c>
      <c r="C2718" t="s">
        <v>44</v>
      </c>
      <c r="D2718" t="s">
        <v>51</v>
      </c>
      <c r="E2718">
        <v>1306</v>
      </c>
      <c r="F2718">
        <v>21</v>
      </c>
      <c r="G2718">
        <v>4</v>
      </c>
      <c r="H2718">
        <v>8512.79</v>
      </c>
      <c r="I2718">
        <v>29980.38</v>
      </c>
      <c r="J2718">
        <v>37</v>
      </c>
      <c r="K2718">
        <v>1</v>
      </c>
      <c r="L2718">
        <v>9.1</v>
      </c>
      <c r="M2718">
        <v>17.4</v>
      </c>
      <c r="N2718" t="s">
        <v>52</v>
      </c>
      <c r="O2718" t="s">
        <v>53</v>
      </c>
      <c r="P2718" t="s">
        <v>58</v>
      </c>
      <c r="R2718">
        <f>SUMIF(A2718:A7717,"C02717",I2718:I7717)</f>
        <v>29980.38</v>
      </c>
      <c r="S2718" s="1">
        <v>48361.12</v>
      </c>
      <c r="T2718">
        <f t="shared" si="314"/>
        <v>810.280540540541</v>
      </c>
      <c r="U2718">
        <f t="shared" si="308"/>
        <v>643.8</v>
      </c>
      <c r="V2718">
        <f>U2718</f>
        <v>643.8</v>
      </c>
      <c r="W2718">
        <f t="shared" si="311"/>
        <v>12831.39</v>
      </c>
      <c r="X2718">
        <f t="shared" si="309"/>
        <v>0.153416212546063</v>
      </c>
      <c r="AH2718" t="str">
        <f t="shared" si="312"/>
        <v>1st Quality</v>
      </c>
      <c r="AJ2718">
        <f>((T2718-X2718)*2)/9.1</f>
        <v>178.049917434724</v>
      </c>
      <c r="AK2718">
        <f t="shared" si="310"/>
        <v>1058226.38594595</v>
      </c>
    </row>
    <row r="2719" spans="1:37">
      <c r="A2719" t="s">
        <v>2785</v>
      </c>
      <c r="B2719">
        <v>52</v>
      </c>
      <c r="C2719" t="s">
        <v>101</v>
      </c>
      <c r="D2719" t="s">
        <v>60</v>
      </c>
      <c r="E2719">
        <v>727</v>
      </c>
      <c r="F2719">
        <v>59</v>
      </c>
      <c r="G2719">
        <v>1</v>
      </c>
      <c r="H2719">
        <v>1565.27</v>
      </c>
      <c r="I2719">
        <v>1654.91</v>
      </c>
      <c r="J2719">
        <v>14</v>
      </c>
      <c r="K2719">
        <v>0</v>
      </c>
      <c r="L2719">
        <v>20.2</v>
      </c>
      <c r="M2719">
        <v>4.5</v>
      </c>
      <c r="N2719" t="s">
        <v>57</v>
      </c>
      <c r="O2719" t="s">
        <v>75</v>
      </c>
      <c r="P2719" t="s">
        <v>48</v>
      </c>
      <c r="R2719">
        <f>SUMIF(A2719:A7718,"C02718",I2719:I7718)</f>
        <v>1654.91</v>
      </c>
      <c r="S2719" s="1">
        <v>6330.41</v>
      </c>
      <c r="T2719">
        <f t="shared" si="314"/>
        <v>118.207857142857</v>
      </c>
      <c r="U2719">
        <f t="shared" si="308"/>
        <v>63</v>
      </c>
      <c r="V2719">
        <f>U2719/12</f>
        <v>5.25</v>
      </c>
      <c r="W2719">
        <f t="shared" si="311"/>
        <v>1073.72666666667</v>
      </c>
      <c r="X2719">
        <f t="shared" si="309"/>
        <v>0.464456611319453</v>
      </c>
      <c r="AH2719" t="str">
        <f t="shared" si="312"/>
        <v>3rd Quality</v>
      </c>
      <c r="AJ2719">
        <f>((T2719-X2719)*2)/20.2</f>
        <v>11.6577624288651</v>
      </c>
      <c r="AK2719">
        <f t="shared" si="310"/>
        <v>85937.1121428571</v>
      </c>
    </row>
    <row r="2720" spans="1:37">
      <c r="A2720" t="s">
        <v>2786</v>
      </c>
      <c r="B2720">
        <v>18</v>
      </c>
      <c r="C2720" t="s">
        <v>44</v>
      </c>
      <c r="D2720" t="s">
        <v>45</v>
      </c>
      <c r="E2720">
        <v>1349</v>
      </c>
      <c r="F2720">
        <v>16</v>
      </c>
      <c r="G2720">
        <v>23</v>
      </c>
      <c r="H2720">
        <v>4322.45</v>
      </c>
      <c r="I2720">
        <v>107362.11</v>
      </c>
      <c r="J2720">
        <v>125</v>
      </c>
      <c r="K2720">
        <v>4</v>
      </c>
      <c r="L2720">
        <v>4</v>
      </c>
      <c r="M2720">
        <v>22.5</v>
      </c>
      <c r="N2720" t="s">
        <v>57</v>
      </c>
      <c r="O2720" t="s">
        <v>47</v>
      </c>
      <c r="P2720" t="s">
        <v>58</v>
      </c>
      <c r="R2720">
        <f>SUMIF(A2720:A7719,"C02719",I2720:I7719)</f>
        <v>107362.11</v>
      </c>
      <c r="S2720" s="1">
        <v>1160.92</v>
      </c>
      <c r="T2720">
        <f t="shared" si="314"/>
        <v>858.89688</v>
      </c>
      <c r="U2720">
        <f t="shared" si="308"/>
        <v>2812.5</v>
      </c>
      <c r="V2720">
        <f>U2720</f>
        <v>2812.5</v>
      </c>
      <c r="W2720">
        <f t="shared" si="311"/>
        <v>37228.52</v>
      </c>
      <c r="X2720">
        <f t="shared" si="309"/>
        <v>0.31209152216914</v>
      </c>
      <c r="AH2720" t="str">
        <f t="shared" si="312"/>
        <v>1st Quality</v>
      </c>
      <c r="AJ2720">
        <f>((T2720-X2720)*2)/4</f>
        <v>429.292394238915</v>
      </c>
      <c r="AK2720">
        <f t="shared" si="310"/>
        <v>1158651.89112</v>
      </c>
    </row>
    <row r="2721" spans="1:37">
      <c r="A2721" t="s">
        <v>2787</v>
      </c>
      <c r="B2721">
        <v>35</v>
      </c>
      <c r="C2721" t="s">
        <v>44</v>
      </c>
      <c r="D2721" t="s">
        <v>45</v>
      </c>
      <c r="E2721">
        <v>814</v>
      </c>
      <c r="F2721">
        <v>73</v>
      </c>
      <c r="G2721">
        <v>8</v>
      </c>
      <c r="H2721">
        <v>5635.29</v>
      </c>
      <c r="I2721">
        <v>48361.12</v>
      </c>
      <c r="J2721">
        <v>23</v>
      </c>
      <c r="K2721">
        <v>0</v>
      </c>
      <c r="L2721">
        <v>0</v>
      </c>
      <c r="M2721">
        <v>31.5</v>
      </c>
      <c r="N2721" t="s">
        <v>81</v>
      </c>
      <c r="O2721" t="s">
        <v>47</v>
      </c>
      <c r="P2721" t="s">
        <v>58</v>
      </c>
      <c r="R2721">
        <f>SUMIF(A2721:A7720,"C02720",I2721:I7720)</f>
        <v>48361.12</v>
      </c>
      <c r="S2721" s="1">
        <v>14004.83</v>
      </c>
      <c r="T2721">
        <f t="shared" si="314"/>
        <v>2102.65739130435</v>
      </c>
      <c r="U2721">
        <f t="shared" si="308"/>
        <v>724.5</v>
      </c>
      <c r="V2721">
        <f t="shared" si="313"/>
        <v>60.375</v>
      </c>
      <c r="W2721">
        <f t="shared" si="311"/>
        <v>17999.1366666667</v>
      </c>
      <c r="X2721">
        <f t="shared" si="309"/>
        <v>0.144446869637587</v>
      </c>
      <c r="AH2721" t="str">
        <f t="shared" si="312"/>
        <v>2nd Quality</v>
      </c>
      <c r="AJ2721">
        <f>((T2721-X2721)*2)</f>
        <v>4205.02588886942</v>
      </c>
      <c r="AK2721">
        <f t="shared" si="310"/>
        <v>1711563.11652174</v>
      </c>
    </row>
    <row r="2722" spans="1:37">
      <c r="A2722" t="s">
        <v>2788</v>
      </c>
      <c r="B2722">
        <v>18</v>
      </c>
      <c r="C2722" t="s">
        <v>44</v>
      </c>
      <c r="D2722" t="s">
        <v>51</v>
      </c>
      <c r="E2722">
        <v>660</v>
      </c>
      <c r="F2722">
        <v>8</v>
      </c>
      <c r="G2722">
        <v>1</v>
      </c>
      <c r="H2722">
        <v>6241.97</v>
      </c>
      <c r="I2722">
        <v>6330.41</v>
      </c>
      <c r="J2722">
        <v>20</v>
      </c>
      <c r="K2722">
        <v>0</v>
      </c>
      <c r="L2722">
        <v>17.4</v>
      </c>
      <c r="M2722">
        <v>22.2</v>
      </c>
      <c r="N2722" t="s">
        <v>63</v>
      </c>
      <c r="O2722" t="s">
        <v>75</v>
      </c>
      <c r="P2722" t="s">
        <v>68</v>
      </c>
      <c r="R2722">
        <f>SUMIF(A2722:A7721,"C02721",I2722:I7721)</f>
        <v>6330.41</v>
      </c>
      <c r="S2722" s="1">
        <v>12652.66</v>
      </c>
      <c r="T2722">
        <f t="shared" si="314"/>
        <v>316.5205</v>
      </c>
      <c r="U2722">
        <f t="shared" ref="U2722:U2785" si="315">J2722*M2722</f>
        <v>444</v>
      </c>
      <c r="V2722">
        <f t="shared" si="313"/>
        <v>37</v>
      </c>
      <c r="W2722">
        <f t="shared" si="311"/>
        <v>4191.12666666667</v>
      </c>
      <c r="X2722">
        <f t="shared" si="309"/>
        <v>0.105735849419334</v>
      </c>
      <c r="AH2722" t="str">
        <f t="shared" si="312"/>
        <v>3rd Quality</v>
      </c>
      <c r="AJ2722">
        <f>((T2722-X2722)*2)/17.4</f>
        <v>36.3695131207564</v>
      </c>
      <c r="AK2722">
        <f t="shared" si="310"/>
        <v>208903.53</v>
      </c>
    </row>
    <row r="2723" spans="1:37">
      <c r="A2723" t="s">
        <v>2789</v>
      </c>
      <c r="B2723">
        <v>50</v>
      </c>
      <c r="C2723" t="s">
        <v>44</v>
      </c>
      <c r="D2723" t="s">
        <v>60</v>
      </c>
      <c r="E2723">
        <v>1392</v>
      </c>
      <c r="F2723">
        <v>91</v>
      </c>
      <c r="G2723">
        <v>2</v>
      </c>
      <c r="H2723">
        <v>562.65</v>
      </c>
      <c r="I2723">
        <v>1160.92</v>
      </c>
      <c r="J2723">
        <v>12</v>
      </c>
      <c r="K2723">
        <v>0</v>
      </c>
      <c r="L2723">
        <v>28</v>
      </c>
      <c r="M2723">
        <v>24.7</v>
      </c>
      <c r="N2723" t="s">
        <v>46</v>
      </c>
      <c r="O2723" t="s">
        <v>47</v>
      </c>
      <c r="P2723" t="s">
        <v>66</v>
      </c>
      <c r="R2723">
        <f>SUMIF(A2723:A7722,"C02722",I2723:I7722)</f>
        <v>1160.92</v>
      </c>
      <c r="S2723" s="1">
        <v>43169.34</v>
      </c>
      <c r="T2723">
        <f t="shared" si="314"/>
        <v>96.7433333333333</v>
      </c>
      <c r="U2723">
        <f t="shared" si="315"/>
        <v>296.4</v>
      </c>
      <c r="V2723">
        <f t="shared" si="313"/>
        <v>24.7</v>
      </c>
      <c r="W2723">
        <f t="shared" si="311"/>
        <v>574.856666666667</v>
      </c>
      <c r="X2723">
        <f t="shared" si="309"/>
        <v>2.47400693148494</v>
      </c>
      <c r="AH2723" t="str">
        <f t="shared" si="312"/>
        <v>3rd Quality</v>
      </c>
      <c r="AJ2723">
        <f>((T2723-X2723)*2)/28</f>
        <v>6.73352331441774</v>
      </c>
      <c r="AK2723">
        <f t="shared" si="310"/>
        <v>134666.72</v>
      </c>
    </row>
    <row r="2724" spans="1:37">
      <c r="A2724" t="s">
        <v>2790</v>
      </c>
      <c r="B2724">
        <v>24</v>
      </c>
      <c r="C2724" t="s">
        <v>44</v>
      </c>
      <c r="D2724" t="s">
        <v>60</v>
      </c>
      <c r="E2724">
        <v>930</v>
      </c>
      <c r="F2724">
        <v>29</v>
      </c>
      <c r="G2724">
        <v>10</v>
      </c>
      <c r="H2724">
        <v>1275.91</v>
      </c>
      <c r="I2724">
        <v>14004.83</v>
      </c>
      <c r="J2724">
        <v>46</v>
      </c>
      <c r="K2724">
        <v>0</v>
      </c>
      <c r="L2724">
        <v>18.7</v>
      </c>
      <c r="M2724">
        <v>27.2</v>
      </c>
      <c r="N2724" t="s">
        <v>57</v>
      </c>
      <c r="O2724" t="s">
        <v>47</v>
      </c>
      <c r="P2724" t="s">
        <v>58</v>
      </c>
      <c r="R2724">
        <f>SUMIF(A2724:A7723,"C02723",I2724:I7723)</f>
        <v>14004.83</v>
      </c>
      <c r="S2724" s="1">
        <v>3991.47</v>
      </c>
      <c r="T2724">
        <f t="shared" si="314"/>
        <v>304.452826086957</v>
      </c>
      <c r="U2724">
        <f t="shared" si="315"/>
        <v>1251.2</v>
      </c>
      <c r="V2724">
        <f t="shared" si="313"/>
        <v>104.266666666667</v>
      </c>
      <c r="W2724">
        <f t="shared" si="311"/>
        <v>5093.91333333333</v>
      </c>
      <c r="X2724">
        <f t="shared" si="309"/>
        <v>0.728891536236882</v>
      </c>
      <c r="AH2724" t="str">
        <f t="shared" si="312"/>
        <v>3rd Quality</v>
      </c>
      <c r="AJ2724">
        <f>((T2724-X2724)*2)/18.7</f>
        <v>32.4838432674567</v>
      </c>
      <c r="AK2724">
        <f t="shared" si="310"/>
        <v>283141.12826087</v>
      </c>
    </row>
    <row r="2725" spans="1:37">
      <c r="A2725" t="s">
        <v>2791</v>
      </c>
      <c r="B2725">
        <v>44</v>
      </c>
      <c r="C2725" t="s">
        <v>44</v>
      </c>
      <c r="D2725" t="s">
        <v>60</v>
      </c>
      <c r="E2725">
        <v>588</v>
      </c>
      <c r="F2725">
        <v>91</v>
      </c>
      <c r="G2725">
        <v>8</v>
      </c>
      <c r="H2725">
        <v>1521.82</v>
      </c>
      <c r="I2725">
        <v>12652.66</v>
      </c>
      <c r="J2725">
        <v>52</v>
      </c>
      <c r="K2725">
        <v>0</v>
      </c>
      <c r="L2725">
        <v>24.2</v>
      </c>
      <c r="M2725">
        <v>29.9</v>
      </c>
      <c r="N2725" t="s">
        <v>46</v>
      </c>
      <c r="O2725" t="s">
        <v>75</v>
      </c>
      <c r="P2725" t="s">
        <v>68</v>
      </c>
      <c r="R2725">
        <f>SUMIF(A2725:A7724,"C02724",I2725:I7724)</f>
        <v>12652.66</v>
      </c>
      <c r="S2725" s="1">
        <v>3294.84</v>
      </c>
      <c r="T2725">
        <f t="shared" si="314"/>
        <v>243.320384615385</v>
      </c>
      <c r="U2725">
        <f t="shared" si="315"/>
        <v>1554.8</v>
      </c>
      <c r="V2725">
        <f t="shared" si="313"/>
        <v>129.566666666667</v>
      </c>
      <c r="W2725">
        <f t="shared" si="311"/>
        <v>4725.16</v>
      </c>
      <c r="X2725">
        <f t="shared" si="309"/>
        <v>0.386379466691199</v>
      </c>
      <c r="AH2725" t="str">
        <f t="shared" si="312"/>
        <v>3rd Quality</v>
      </c>
      <c r="AJ2725">
        <f>((T2725-X2725)*2)/24.2</f>
        <v>20.0771905081565</v>
      </c>
      <c r="AK2725">
        <f t="shared" si="310"/>
        <v>143072.386153846</v>
      </c>
    </row>
    <row r="2726" spans="1:37">
      <c r="A2726" t="s">
        <v>2792</v>
      </c>
      <c r="B2726">
        <v>44</v>
      </c>
      <c r="C2726" t="s">
        <v>50</v>
      </c>
      <c r="D2726" t="s">
        <v>45</v>
      </c>
      <c r="E2726">
        <v>611</v>
      </c>
      <c r="F2726">
        <v>10</v>
      </c>
      <c r="G2726">
        <v>21</v>
      </c>
      <c r="H2726">
        <v>2131.82</v>
      </c>
      <c r="I2726">
        <v>43169.34</v>
      </c>
      <c r="J2726">
        <v>182</v>
      </c>
      <c r="K2726">
        <v>1</v>
      </c>
      <c r="L2726">
        <v>2.2</v>
      </c>
      <c r="M2726">
        <v>14.9</v>
      </c>
      <c r="N2726" t="s">
        <v>57</v>
      </c>
      <c r="O2726" t="s">
        <v>53</v>
      </c>
      <c r="P2726" t="s">
        <v>58</v>
      </c>
      <c r="R2726">
        <f>SUMIF(A2726:A7725,"C02725",I2726:I7725)</f>
        <v>43169.34</v>
      </c>
      <c r="S2726" s="1">
        <v>119655.23</v>
      </c>
      <c r="T2726">
        <f t="shared" si="314"/>
        <v>237.194175824176</v>
      </c>
      <c r="U2726">
        <f t="shared" si="315"/>
        <v>2711.8</v>
      </c>
      <c r="V2726">
        <f>U2726</f>
        <v>2711.8</v>
      </c>
      <c r="W2726">
        <f t="shared" si="311"/>
        <v>15100.72</v>
      </c>
      <c r="X2726">
        <f t="shared" si="309"/>
        <v>0.286609563659221</v>
      </c>
      <c r="AH2726" t="str">
        <f t="shared" si="312"/>
        <v>3rd Quality</v>
      </c>
      <c r="AJ2726">
        <f>((T2726-X2726)*2)/2.2</f>
        <v>215.370514782288</v>
      </c>
      <c r="AK2726">
        <f t="shared" si="310"/>
        <v>144925.641428571</v>
      </c>
    </row>
    <row r="2727" spans="1:37">
      <c r="A2727" t="s">
        <v>2793</v>
      </c>
      <c r="B2727">
        <v>45</v>
      </c>
      <c r="C2727" t="s">
        <v>44</v>
      </c>
      <c r="D2727" t="s">
        <v>45</v>
      </c>
      <c r="E2727">
        <v>777</v>
      </c>
      <c r="F2727">
        <v>194</v>
      </c>
      <c r="G2727">
        <v>3</v>
      </c>
      <c r="H2727">
        <v>1200.7</v>
      </c>
      <c r="I2727">
        <v>3991.47</v>
      </c>
      <c r="J2727">
        <v>25</v>
      </c>
      <c r="K2727">
        <v>0</v>
      </c>
      <c r="L2727">
        <v>24</v>
      </c>
      <c r="M2727">
        <v>47.5</v>
      </c>
      <c r="N2727" t="s">
        <v>63</v>
      </c>
      <c r="O2727" t="s">
        <v>47</v>
      </c>
      <c r="P2727" t="s">
        <v>68</v>
      </c>
      <c r="R2727">
        <f>SUMIF(A2727:A7726,"C02726",I2727:I7726)</f>
        <v>3991.47</v>
      </c>
      <c r="S2727" s="1">
        <v>10505.96</v>
      </c>
      <c r="T2727">
        <f t="shared" si="314"/>
        <v>159.6588</v>
      </c>
      <c r="U2727">
        <f t="shared" si="315"/>
        <v>1187.5</v>
      </c>
      <c r="V2727">
        <f t="shared" si="313"/>
        <v>98.9583333333333</v>
      </c>
      <c r="W2727">
        <f t="shared" si="311"/>
        <v>1731.05666666667</v>
      </c>
      <c r="X2727">
        <f t="shared" si="309"/>
        <v>0.647122511868077</v>
      </c>
      <c r="AH2727" t="str">
        <f t="shared" si="312"/>
        <v>3rd Quality</v>
      </c>
      <c r="AJ2727">
        <f>((T2727-X2727)*2)/24</f>
        <v>13.250973124011</v>
      </c>
      <c r="AK2727">
        <f t="shared" si="310"/>
        <v>124054.8876</v>
      </c>
    </row>
    <row r="2728" spans="1:37">
      <c r="A2728" t="s">
        <v>2794</v>
      </c>
      <c r="B2728">
        <v>32</v>
      </c>
      <c r="C2728" t="s">
        <v>50</v>
      </c>
      <c r="D2728" t="s">
        <v>60</v>
      </c>
      <c r="E2728">
        <v>488</v>
      </c>
      <c r="F2728">
        <v>144</v>
      </c>
      <c r="G2728">
        <v>2</v>
      </c>
      <c r="H2728">
        <v>1481.84</v>
      </c>
      <c r="I2728">
        <v>3294.84</v>
      </c>
      <c r="J2728">
        <v>25</v>
      </c>
      <c r="K2728">
        <v>0</v>
      </c>
      <c r="L2728">
        <v>34.5</v>
      </c>
      <c r="M2728">
        <v>29.3</v>
      </c>
      <c r="N2728" t="s">
        <v>81</v>
      </c>
      <c r="O2728" t="s">
        <v>53</v>
      </c>
      <c r="P2728" t="s">
        <v>58</v>
      </c>
      <c r="R2728">
        <f>SUMIF(A2728:A7727,"C02727",I2728:I7727)</f>
        <v>3294.84</v>
      </c>
      <c r="S2728" s="1">
        <v>1326.53</v>
      </c>
      <c r="T2728">
        <f t="shared" si="314"/>
        <v>131.7936</v>
      </c>
      <c r="U2728">
        <f t="shared" si="315"/>
        <v>732.5</v>
      </c>
      <c r="V2728">
        <f t="shared" si="313"/>
        <v>61.0416666666667</v>
      </c>
      <c r="W2728">
        <f t="shared" si="311"/>
        <v>1592.56</v>
      </c>
      <c r="X2728">
        <f t="shared" si="309"/>
        <v>0.329320304486314</v>
      </c>
      <c r="AH2728" t="str">
        <f t="shared" si="312"/>
        <v>3rd Quality</v>
      </c>
      <c r="AJ2728">
        <f>((T2728-X2728)*2)/34.5</f>
        <v>7.62111766350804</v>
      </c>
      <c r="AK2728">
        <f t="shared" si="310"/>
        <v>64315.2768</v>
      </c>
    </row>
    <row r="2729" spans="1:37">
      <c r="A2729" t="s">
        <v>2795</v>
      </c>
      <c r="B2729">
        <v>18</v>
      </c>
      <c r="C2729" t="s">
        <v>44</v>
      </c>
      <c r="D2729" t="s">
        <v>45</v>
      </c>
      <c r="E2729">
        <v>1362</v>
      </c>
      <c r="F2729">
        <v>12</v>
      </c>
      <c r="G2729">
        <v>31</v>
      </c>
      <c r="H2729">
        <v>3744.9</v>
      </c>
      <c r="I2729">
        <v>119655.23</v>
      </c>
      <c r="J2729">
        <v>169</v>
      </c>
      <c r="K2729">
        <v>6</v>
      </c>
      <c r="L2729">
        <v>1.9</v>
      </c>
      <c r="M2729">
        <v>24.5</v>
      </c>
      <c r="N2729" t="s">
        <v>63</v>
      </c>
      <c r="O2729" t="s">
        <v>75</v>
      </c>
      <c r="P2729" t="s">
        <v>58</v>
      </c>
      <c r="R2729">
        <f>SUMIF(A2729:A7728,"C02728",I2729:I7728)</f>
        <v>119655.23</v>
      </c>
      <c r="S2729" s="1">
        <v>68118.16</v>
      </c>
      <c r="T2729">
        <f t="shared" si="314"/>
        <v>708.019112426035</v>
      </c>
      <c r="U2729">
        <f t="shared" si="315"/>
        <v>4140.5</v>
      </c>
      <c r="V2729">
        <f>U2729</f>
        <v>4140.5</v>
      </c>
      <c r="W2729">
        <f t="shared" si="311"/>
        <v>41133.71</v>
      </c>
      <c r="X2729">
        <f t="shared" si="309"/>
        <v>0.363694624689578</v>
      </c>
      <c r="AH2729" t="str">
        <f t="shared" si="312"/>
        <v>1st Quality</v>
      </c>
      <c r="AJ2729">
        <f>((T2729-X2729)*2)/1.9</f>
        <v>744.90043979089</v>
      </c>
      <c r="AK2729">
        <f t="shared" si="310"/>
        <v>964322.03112426</v>
      </c>
    </row>
    <row r="2730" spans="1:37">
      <c r="A2730" t="s">
        <v>2796</v>
      </c>
      <c r="B2730">
        <v>35</v>
      </c>
      <c r="C2730" t="s">
        <v>44</v>
      </c>
      <c r="D2730" t="s">
        <v>60</v>
      </c>
      <c r="E2730">
        <v>1044</v>
      </c>
      <c r="F2730">
        <v>22</v>
      </c>
      <c r="G2730">
        <v>5</v>
      </c>
      <c r="H2730">
        <v>2068.38</v>
      </c>
      <c r="I2730">
        <v>10505.96</v>
      </c>
      <c r="J2730">
        <v>30</v>
      </c>
      <c r="K2730">
        <v>0</v>
      </c>
      <c r="L2730">
        <v>12.7</v>
      </c>
      <c r="M2730">
        <v>43.7</v>
      </c>
      <c r="N2730" t="s">
        <v>57</v>
      </c>
      <c r="O2730" t="s">
        <v>53</v>
      </c>
      <c r="P2730" t="s">
        <v>58</v>
      </c>
      <c r="R2730">
        <f>SUMIF(A2730:A7729,"C02729",I2730:I7729)</f>
        <v>10505.96</v>
      </c>
      <c r="S2730" s="1">
        <v>7456.81</v>
      </c>
      <c r="T2730">
        <f t="shared" si="314"/>
        <v>350.198666666667</v>
      </c>
      <c r="U2730">
        <f t="shared" si="315"/>
        <v>1311</v>
      </c>
      <c r="V2730">
        <f t="shared" si="313"/>
        <v>109.25</v>
      </c>
      <c r="W2730">
        <f t="shared" si="311"/>
        <v>4191.78</v>
      </c>
      <c r="X2730">
        <f t="shared" si="309"/>
        <v>0.50474284222435</v>
      </c>
      <c r="AH2730" t="str">
        <f t="shared" si="312"/>
        <v>3rd Quality</v>
      </c>
      <c r="AJ2730">
        <f>((T2730-X2730)*2)/12.7</f>
        <v>55.0699092636918</v>
      </c>
      <c r="AK2730">
        <f t="shared" si="310"/>
        <v>365607.408</v>
      </c>
    </row>
    <row r="2731" spans="1:37">
      <c r="A2731" t="s">
        <v>2797</v>
      </c>
      <c r="B2731">
        <v>30</v>
      </c>
      <c r="C2731" t="s">
        <v>50</v>
      </c>
      <c r="D2731" t="s">
        <v>51</v>
      </c>
      <c r="E2731">
        <v>1396</v>
      </c>
      <c r="F2731">
        <v>248</v>
      </c>
      <c r="G2731">
        <v>1</v>
      </c>
      <c r="H2731">
        <v>1200.65</v>
      </c>
      <c r="I2731">
        <v>1326.53</v>
      </c>
      <c r="J2731">
        <v>9</v>
      </c>
      <c r="K2731">
        <v>0</v>
      </c>
      <c r="L2731">
        <v>14.5</v>
      </c>
      <c r="M2731">
        <v>25.8</v>
      </c>
      <c r="N2731" t="s">
        <v>46</v>
      </c>
      <c r="O2731" t="s">
        <v>47</v>
      </c>
      <c r="P2731" t="s">
        <v>68</v>
      </c>
      <c r="R2731">
        <f>SUMIF(A2731:A7730,"C02730",I2731:I7730)</f>
        <v>1326.53</v>
      </c>
      <c r="S2731" s="1">
        <v>20783.72</v>
      </c>
      <c r="T2731">
        <f t="shared" si="314"/>
        <v>147.392222222222</v>
      </c>
      <c r="U2731">
        <f t="shared" si="315"/>
        <v>232.2</v>
      </c>
      <c r="V2731">
        <f t="shared" si="313"/>
        <v>19.35</v>
      </c>
      <c r="W2731">
        <f t="shared" si="311"/>
        <v>842.726666666667</v>
      </c>
      <c r="X2731">
        <f t="shared" si="309"/>
        <v>1.16270353558489</v>
      </c>
      <c r="AH2731" t="str">
        <f t="shared" si="312"/>
        <v>3rd Quality</v>
      </c>
      <c r="AJ2731">
        <f>((T2731-X2731)*2)/14.5</f>
        <v>20.1695887843637</v>
      </c>
      <c r="AK2731">
        <f t="shared" si="310"/>
        <v>205759.542222222</v>
      </c>
    </row>
    <row r="2732" spans="1:37">
      <c r="A2732" t="s">
        <v>2798</v>
      </c>
      <c r="B2732">
        <v>31</v>
      </c>
      <c r="C2732" t="s">
        <v>50</v>
      </c>
      <c r="D2732" t="s">
        <v>51</v>
      </c>
      <c r="E2732">
        <v>631</v>
      </c>
      <c r="F2732">
        <v>4</v>
      </c>
      <c r="G2732">
        <v>28</v>
      </c>
      <c r="H2732">
        <v>2280.59</v>
      </c>
      <c r="I2732">
        <v>68118.16</v>
      </c>
      <c r="J2732">
        <v>115</v>
      </c>
      <c r="K2732">
        <v>4</v>
      </c>
      <c r="L2732">
        <v>10.8</v>
      </c>
      <c r="M2732">
        <v>70</v>
      </c>
      <c r="N2732" t="s">
        <v>81</v>
      </c>
      <c r="O2732" t="s">
        <v>47</v>
      </c>
      <c r="P2732" t="s">
        <v>66</v>
      </c>
      <c r="R2732">
        <f>SUMIF(A2732:A7731,"C02731",I2732:I7731)</f>
        <v>68118.16</v>
      </c>
      <c r="S2732" s="1">
        <v>13171.75</v>
      </c>
      <c r="T2732">
        <f t="shared" si="314"/>
        <v>592.331826086957</v>
      </c>
      <c r="U2732">
        <f t="shared" si="315"/>
        <v>8050</v>
      </c>
      <c r="V2732">
        <f>U2732</f>
        <v>8050</v>
      </c>
      <c r="W2732">
        <f t="shared" si="311"/>
        <v>23466.5833333333</v>
      </c>
      <c r="X2732">
        <f t="shared" si="309"/>
        <v>0.276682788225854</v>
      </c>
      <c r="AH2732" t="str">
        <f t="shared" si="312"/>
        <v>2nd Quality</v>
      </c>
      <c r="AJ2732">
        <f>((T2732-X2732)*2)/10.8</f>
        <v>109.639841351617</v>
      </c>
      <c r="AK2732">
        <f t="shared" si="310"/>
        <v>373761.38226087</v>
      </c>
    </row>
    <row r="2733" spans="1:37">
      <c r="A2733" t="s">
        <v>2799</v>
      </c>
      <c r="B2733">
        <v>26</v>
      </c>
      <c r="C2733" t="s">
        <v>50</v>
      </c>
      <c r="D2733" t="s">
        <v>60</v>
      </c>
      <c r="E2733">
        <v>1245</v>
      </c>
      <c r="F2733">
        <v>25</v>
      </c>
      <c r="G2733">
        <v>5</v>
      </c>
      <c r="H2733">
        <v>1641.58</v>
      </c>
      <c r="I2733">
        <v>7456.81</v>
      </c>
      <c r="J2733">
        <v>23</v>
      </c>
      <c r="K2733">
        <v>1</v>
      </c>
      <c r="L2733">
        <v>31.6</v>
      </c>
      <c r="M2733">
        <v>18</v>
      </c>
      <c r="N2733" t="s">
        <v>52</v>
      </c>
      <c r="O2733" t="s">
        <v>47</v>
      </c>
      <c r="P2733" t="s">
        <v>58</v>
      </c>
      <c r="R2733">
        <f>SUMIF(A2733:A7732,"C02732",I2733:I7732)</f>
        <v>7456.81</v>
      </c>
      <c r="S2733" s="1">
        <v>36798.3</v>
      </c>
      <c r="T2733">
        <f t="shared" si="314"/>
        <v>324.209130434783</v>
      </c>
      <c r="U2733">
        <f t="shared" si="315"/>
        <v>414</v>
      </c>
      <c r="V2733">
        <f>U2733</f>
        <v>414</v>
      </c>
      <c r="W2733">
        <f t="shared" si="311"/>
        <v>3033.13</v>
      </c>
      <c r="X2733">
        <f t="shared" si="309"/>
        <v>0.758415672705564</v>
      </c>
      <c r="AH2733" t="str">
        <f t="shared" si="312"/>
        <v>3rd Quality</v>
      </c>
      <c r="AJ2733">
        <f>((T2733-X2733)*2)/31.6</f>
        <v>20.4715642254479</v>
      </c>
      <c r="AK2733">
        <f t="shared" si="310"/>
        <v>403640.367391304</v>
      </c>
    </row>
    <row r="2734" spans="1:37">
      <c r="A2734" t="s">
        <v>2800</v>
      </c>
      <c r="B2734">
        <v>23</v>
      </c>
      <c r="C2734" t="s">
        <v>50</v>
      </c>
      <c r="D2734" t="s">
        <v>60</v>
      </c>
      <c r="E2734">
        <v>1107</v>
      </c>
      <c r="F2734">
        <v>4</v>
      </c>
      <c r="G2734">
        <v>2</v>
      </c>
      <c r="H2734">
        <v>9362.37</v>
      </c>
      <c r="I2734">
        <v>20783.72</v>
      </c>
      <c r="J2734">
        <v>17</v>
      </c>
      <c r="K2734">
        <v>0</v>
      </c>
      <c r="L2734">
        <v>8.4</v>
      </c>
      <c r="M2734">
        <v>9.4</v>
      </c>
      <c r="N2734" t="s">
        <v>78</v>
      </c>
      <c r="O2734" t="s">
        <v>47</v>
      </c>
      <c r="P2734" t="s">
        <v>58</v>
      </c>
      <c r="R2734">
        <f>SUMIF(A2734:A7733,"C02733",I2734:I7733)</f>
        <v>20783.72</v>
      </c>
      <c r="S2734" s="1">
        <v>19192.72</v>
      </c>
      <c r="T2734">
        <f t="shared" si="314"/>
        <v>1222.57176470588</v>
      </c>
      <c r="U2734">
        <f t="shared" si="315"/>
        <v>159.8</v>
      </c>
      <c r="V2734">
        <f t="shared" si="313"/>
        <v>13.3166666666667</v>
      </c>
      <c r="W2734">
        <f t="shared" si="311"/>
        <v>10049.03</v>
      </c>
      <c r="X2734">
        <f t="shared" si="309"/>
        <v>0.118239291974148</v>
      </c>
      <c r="AH2734" t="str">
        <f t="shared" si="312"/>
        <v>2nd Quality</v>
      </c>
      <c r="AJ2734">
        <f>((T2734-X2734)*2)/8.4</f>
        <v>291.060363193787</v>
      </c>
      <c r="AK2734">
        <f t="shared" si="310"/>
        <v>1353386.94352941</v>
      </c>
    </row>
    <row r="2735" spans="1:37">
      <c r="A2735" t="s">
        <v>2801</v>
      </c>
      <c r="B2735">
        <v>20</v>
      </c>
      <c r="C2735" t="s">
        <v>44</v>
      </c>
      <c r="D2735" t="s">
        <v>45</v>
      </c>
      <c r="E2735">
        <v>788</v>
      </c>
      <c r="F2735">
        <v>82</v>
      </c>
      <c r="G2735">
        <v>13</v>
      </c>
      <c r="H2735">
        <v>961.44</v>
      </c>
      <c r="I2735">
        <v>13171.75</v>
      </c>
      <c r="J2735">
        <v>73</v>
      </c>
      <c r="K2735">
        <v>1</v>
      </c>
      <c r="L2735">
        <v>25.6</v>
      </c>
      <c r="M2735">
        <v>29</v>
      </c>
      <c r="N2735" t="s">
        <v>46</v>
      </c>
      <c r="O2735" t="s">
        <v>75</v>
      </c>
      <c r="P2735" t="s">
        <v>68</v>
      </c>
      <c r="R2735">
        <f>SUMIF(A2735:A7734,"C02734",I2735:I7734)</f>
        <v>13171.75</v>
      </c>
      <c r="S2735" s="1">
        <v>81084.05</v>
      </c>
      <c r="T2735">
        <f t="shared" si="314"/>
        <v>180.434931506849</v>
      </c>
      <c r="U2735">
        <f t="shared" si="315"/>
        <v>2117</v>
      </c>
      <c r="V2735">
        <f>U2735</f>
        <v>2117</v>
      </c>
      <c r="W2735">
        <f t="shared" si="311"/>
        <v>4711.39666666667</v>
      </c>
      <c r="X2735">
        <f t="shared" si="309"/>
        <v>0.81960392744217</v>
      </c>
      <c r="AH2735" t="str">
        <f t="shared" si="312"/>
        <v>3rd Quality</v>
      </c>
      <c r="AJ2735">
        <f>((T2735-X2735)*2)/25.6</f>
        <v>14.0324474671412</v>
      </c>
      <c r="AK2735">
        <f t="shared" si="310"/>
        <v>142182.726027397</v>
      </c>
    </row>
    <row r="2736" spans="1:37">
      <c r="A2736" t="s">
        <v>2802</v>
      </c>
      <c r="B2736">
        <v>37</v>
      </c>
      <c r="C2736" t="s">
        <v>44</v>
      </c>
      <c r="D2736" t="s">
        <v>60</v>
      </c>
      <c r="E2736">
        <v>751</v>
      </c>
      <c r="F2736">
        <v>38</v>
      </c>
      <c r="G2736">
        <v>15</v>
      </c>
      <c r="H2736">
        <v>2320.13</v>
      </c>
      <c r="I2736">
        <v>36798.3</v>
      </c>
      <c r="J2736">
        <v>124</v>
      </c>
      <c r="K2736">
        <v>1</v>
      </c>
      <c r="L2736">
        <v>14.8</v>
      </c>
      <c r="M2736">
        <v>35.8</v>
      </c>
      <c r="N2736" t="s">
        <v>57</v>
      </c>
      <c r="O2736" t="s">
        <v>53</v>
      </c>
      <c r="P2736" t="s">
        <v>48</v>
      </c>
      <c r="R2736">
        <f>SUMIF(A2736:A7735,"C02735",I2736:I7735)</f>
        <v>36798.3</v>
      </c>
      <c r="S2736" s="1">
        <v>20849.83</v>
      </c>
      <c r="T2736">
        <f t="shared" si="314"/>
        <v>296.760483870968</v>
      </c>
      <c r="U2736">
        <f t="shared" si="315"/>
        <v>4439.2</v>
      </c>
      <c r="V2736">
        <f>U2736</f>
        <v>4439.2</v>
      </c>
      <c r="W2736">
        <f t="shared" si="311"/>
        <v>13039.81</v>
      </c>
      <c r="X2736">
        <f t="shared" si="309"/>
        <v>0.323688758819549</v>
      </c>
      <c r="AH2736" t="str">
        <f t="shared" si="312"/>
        <v>2nd Quality</v>
      </c>
      <c r="AJ2736">
        <f>((T2736-X2736)*2)/14.8</f>
        <v>40.0590263665065</v>
      </c>
      <c r="AK2736">
        <f t="shared" si="310"/>
        <v>222867.123387097</v>
      </c>
    </row>
    <row r="2737" spans="1:37">
      <c r="A2737" t="s">
        <v>2803</v>
      </c>
      <c r="B2737">
        <v>30</v>
      </c>
      <c r="C2737" t="s">
        <v>50</v>
      </c>
      <c r="D2737" t="s">
        <v>45</v>
      </c>
      <c r="E2737">
        <v>506</v>
      </c>
      <c r="F2737">
        <v>81</v>
      </c>
      <c r="G2737">
        <v>13</v>
      </c>
      <c r="H2737">
        <v>1512.32</v>
      </c>
      <c r="I2737">
        <v>19192.72</v>
      </c>
      <c r="J2737">
        <v>110</v>
      </c>
      <c r="K2737">
        <v>0</v>
      </c>
      <c r="L2737">
        <v>23.3</v>
      </c>
      <c r="M2737">
        <v>15.6</v>
      </c>
      <c r="N2737" t="s">
        <v>63</v>
      </c>
      <c r="O2737" t="s">
        <v>47</v>
      </c>
      <c r="P2737" t="s">
        <v>54</v>
      </c>
      <c r="R2737">
        <f>SUMIF(A2737:A7736,"C02736",I2737:I7736)</f>
        <v>19192.72</v>
      </c>
      <c r="S2737" s="1">
        <v>4632.44</v>
      </c>
      <c r="T2737">
        <f t="shared" si="314"/>
        <v>174.479272727273</v>
      </c>
      <c r="U2737">
        <f t="shared" si="315"/>
        <v>1716</v>
      </c>
      <c r="V2737">
        <f t="shared" si="313"/>
        <v>143</v>
      </c>
      <c r="W2737">
        <f t="shared" si="311"/>
        <v>6902.01333333333</v>
      </c>
      <c r="X2737">
        <f t="shared" si="309"/>
        <v>0.334585272958104</v>
      </c>
      <c r="AH2737" t="str">
        <f t="shared" si="312"/>
        <v>2nd Quality</v>
      </c>
      <c r="AJ2737">
        <f>((T2737-X2737)*2)/23.3</f>
        <v>14.9480418415721</v>
      </c>
      <c r="AK2737">
        <f t="shared" si="310"/>
        <v>88286.512</v>
      </c>
    </row>
    <row r="2738" spans="1:37">
      <c r="A2738" t="s">
        <v>2804</v>
      </c>
      <c r="B2738">
        <v>24</v>
      </c>
      <c r="C2738" t="s">
        <v>44</v>
      </c>
      <c r="D2738" t="s">
        <v>60</v>
      </c>
      <c r="E2738">
        <v>1241</v>
      </c>
      <c r="F2738">
        <v>10</v>
      </c>
      <c r="G2738">
        <v>22</v>
      </c>
      <c r="H2738">
        <v>4178.6</v>
      </c>
      <c r="I2738">
        <v>81084.05</v>
      </c>
      <c r="J2738">
        <v>138</v>
      </c>
      <c r="K2738">
        <v>3</v>
      </c>
      <c r="L2738">
        <v>1.2</v>
      </c>
      <c r="M2738">
        <v>37.4</v>
      </c>
      <c r="N2738" t="s">
        <v>52</v>
      </c>
      <c r="O2738" t="s">
        <v>47</v>
      </c>
      <c r="P2738" t="s">
        <v>58</v>
      </c>
      <c r="R2738">
        <f>SUMIF(A2738:A7737,"C02737",I2738:I7737)</f>
        <v>81084.05</v>
      </c>
      <c r="S2738" s="1">
        <v>79727.94</v>
      </c>
      <c r="T2738">
        <f t="shared" si="314"/>
        <v>587.565579710145</v>
      </c>
      <c r="U2738">
        <f t="shared" si="315"/>
        <v>5161.2</v>
      </c>
      <c r="V2738">
        <f>U2738</f>
        <v>5161.2</v>
      </c>
      <c r="W2738">
        <f t="shared" si="311"/>
        <v>28421.2166666667</v>
      </c>
      <c r="X2738">
        <f t="shared" si="309"/>
        <v>0.296989422294548</v>
      </c>
      <c r="AH2738" t="str">
        <f t="shared" si="312"/>
        <v>1st Quality</v>
      </c>
      <c r="AJ2738">
        <f>((T2738-X2738)*2)/1.2</f>
        <v>978.780983813084</v>
      </c>
      <c r="AK2738">
        <f t="shared" si="310"/>
        <v>729168.88442029</v>
      </c>
    </row>
    <row r="2739" spans="1:37">
      <c r="A2739" t="s">
        <v>2805</v>
      </c>
      <c r="B2739">
        <v>23</v>
      </c>
      <c r="C2739" t="s">
        <v>50</v>
      </c>
      <c r="D2739" t="s">
        <v>45</v>
      </c>
      <c r="E2739">
        <v>1231</v>
      </c>
      <c r="F2739">
        <v>33</v>
      </c>
      <c r="G2739">
        <v>3</v>
      </c>
      <c r="H2739">
        <v>7352.76</v>
      </c>
      <c r="I2739">
        <v>20849.83</v>
      </c>
      <c r="J2739">
        <v>17</v>
      </c>
      <c r="K2739">
        <v>1</v>
      </c>
      <c r="L2739">
        <v>12.4</v>
      </c>
      <c r="M2739">
        <v>31.9</v>
      </c>
      <c r="N2739" t="s">
        <v>63</v>
      </c>
      <c r="O2739" t="s">
        <v>47</v>
      </c>
      <c r="P2739" t="s">
        <v>68</v>
      </c>
      <c r="R2739">
        <f>SUMIF(A2739:A7738,"C02738",I2739:I7738)</f>
        <v>20849.83</v>
      </c>
      <c r="S2739" s="1">
        <v>123526.69</v>
      </c>
      <c r="T2739">
        <f t="shared" si="314"/>
        <v>1226.46058823529</v>
      </c>
      <c r="U2739">
        <f t="shared" si="315"/>
        <v>542.3</v>
      </c>
      <c r="V2739">
        <f>U2739</f>
        <v>542.3</v>
      </c>
      <c r="W2739">
        <f t="shared" si="311"/>
        <v>9401.19666666667</v>
      </c>
      <c r="X2739">
        <f t="shared" si="309"/>
        <v>0.167420125231886</v>
      </c>
      <c r="AH2739" t="str">
        <f t="shared" si="312"/>
        <v>2nd Quality</v>
      </c>
      <c r="AJ2739">
        <f>((T2739-X2739)*2)/12.4</f>
        <v>197.789220662913</v>
      </c>
      <c r="AK2739">
        <f t="shared" si="310"/>
        <v>1509772.98411765</v>
      </c>
    </row>
    <row r="2740" spans="1:37">
      <c r="A2740" t="s">
        <v>2806</v>
      </c>
      <c r="B2740">
        <v>26</v>
      </c>
      <c r="C2740" t="s">
        <v>50</v>
      </c>
      <c r="D2740" t="s">
        <v>45</v>
      </c>
      <c r="E2740">
        <v>981</v>
      </c>
      <c r="F2740">
        <v>138</v>
      </c>
      <c r="G2740">
        <v>3</v>
      </c>
      <c r="H2740">
        <v>1609.38</v>
      </c>
      <c r="I2740">
        <v>4632.44</v>
      </c>
      <c r="J2740">
        <v>19</v>
      </c>
      <c r="K2740">
        <v>1</v>
      </c>
      <c r="L2740">
        <v>29.8</v>
      </c>
      <c r="M2740">
        <v>23.1</v>
      </c>
      <c r="N2740" t="s">
        <v>46</v>
      </c>
      <c r="O2740" t="s">
        <v>47</v>
      </c>
      <c r="P2740" t="s">
        <v>54</v>
      </c>
      <c r="R2740">
        <f>SUMIF(A2740:A7739,"C02739",I2740:I7739)</f>
        <v>4632.44</v>
      </c>
      <c r="S2740" s="1">
        <v>3365.33</v>
      </c>
      <c r="T2740">
        <f t="shared" si="314"/>
        <v>243.812631578947</v>
      </c>
      <c r="U2740">
        <f t="shared" si="315"/>
        <v>438.9</v>
      </c>
      <c r="V2740">
        <f>U2740</f>
        <v>438.9</v>
      </c>
      <c r="W2740">
        <f t="shared" si="311"/>
        <v>2080.94</v>
      </c>
      <c r="X2740">
        <f t="shared" si="309"/>
        <v>0.609551504306006</v>
      </c>
      <c r="AH2740" t="str">
        <f t="shared" si="312"/>
        <v>3rd Quality</v>
      </c>
      <c r="AJ2740">
        <f>((T2740-X2740)*2)/29.8</f>
        <v>16.3223543674256</v>
      </c>
      <c r="AK2740">
        <f t="shared" si="310"/>
        <v>239180.191578947</v>
      </c>
    </row>
    <row r="2741" spans="1:37">
      <c r="A2741" t="s">
        <v>2807</v>
      </c>
      <c r="B2741">
        <v>18</v>
      </c>
      <c r="C2741" t="s">
        <v>50</v>
      </c>
      <c r="D2741" t="s">
        <v>45</v>
      </c>
      <c r="E2741">
        <v>1285</v>
      </c>
      <c r="F2741">
        <v>27</v>
      </c>
      <c r="G2741">
        <v>9</v>
      </c>
      <c r="H2741">
        <v>8953.45</v>
      </c>
      <c r="I2741">
        <v>79727.94</v>
      </c>
      <c r="J2741">
        <v>78</v>
      </c>
      <c r="K2741">
        <v>1</v>
      </c>
      <c r="L2741">
        <v>5.6</v>
      </c>
      <c r="M2741">
        <v>21.9</v>
      </c>
      <c r="N2741" t="s">
        <v>78</v>
      </c>
      <c r="O2741" t="s">
        <v>75</v>
      </c>
      <c r="P2741" t="s">
        <v>68</v>
      </c>
      <c r="R2741">
        <f>SUMIF(A2741:A7740,"C02740",I2741:I7740)</f>
        <v>79727.94</v>
      </c>
      <c r="S2741" s="1">
        <v>89291.31</v>
      </c>
      <c r="T2741">
        <f t="shared" si="314"/>
        <v>1022.15307692308</v>
      </c>
      <c r="U2741">
        <f t="shared" si="315"/>
        <v>1708.2</v>
      </c>
      <c r="V2741">
        <f>U2741</f>
        <v>1708.2</v>
      </c>
      <c r="W2741">
        <f t="shared" si="311"/>
        <v>29560.7966666667</v>
      </c>
      <c r="X2741">
        <f t="shared" si="309"/>
        <v>0.143520095605605</v>
      </c>
      <c r="AH2741" t="str">
        <f t="shared" si="312"/>
        <v>1st Quality</v>
      </c>
      <c r="AJ2741">
        <f>((T2741-X2741)*2)/5.6</f>
        <v>365.003413152669</v>
      </c>
      <c r="AK2741">
        <f t="shared" si="310"/>
        <v>1313466.70384615</v>
      </c>
    </row>
    <row r="2742" spans="1:37">
      <c r="A2742" t="s">
        <v>2808</v>
      </c>
      <c r="B2742">
        <v>32</v>
      </c>
      <c r="C2742" t="s">
        <v>50</v>
      </c>
      <c r="D2742" t="s">
        <v>45</v>
      </c>
      <c r="E2742">
        <v>1046</v>
      </c>
      <c r="F2742">
        <v>8</v>
      </c>
      <c r="G2742">
        <v>25</v>
      </c>
      <c r="H2742">
        <v>4713.32</v>
      </c>
      <c r="I2742">
        <v>123526.69</v>
      </c>
      <c r="J2742">
        <v>105</v>
      </c>
      <c r="K2742">
        <v>5</v>
      </c>
      <c r="L2742">
        <v>12.5</v>
      </c>
      <c r="M2742">
        <v>28.1</v>
      </c>
      <c r="N2742" t="s">
        <v>78</v>
      </c>
      <c r="O2742" t="s">
        <v>47</v>
      </c>
      <c r="P2742" t="s">
        <v>58</v>
      </c>
      <c r="R2742">
        <f>SUMIF(A2742:A7741,"C02741",I2742:I7741)</f>
        <v>123526.69</v>
      </c>
      <c r="S2742" s="1">
        <v>987.18</v>
      </c>
      <c r="T2742">
        <f t="shared" si="314"/>
        <v>1176.44466666667</v>
      </c>
      <c r="U2742">
        <f t="shared" si="315"/>
        <v>2950.5</v>
      </c>
      <c r="V2742">
        <f>U2742</f>
        <v>2950.5</v>
      </c>
      <c r="W2742">
        <f t="shared" si="311"/>
        <v>42747.0033333333</v>
      </c>
      <c r="X2742">
        <f t="shared" si="309"/>
        <v>0.22192424872489</v>
      </c>
      <c r="AH2742" t="str">
        <f t="shared" si="312"/>
        <v>1st Quality</v>
      </c>
      <c r="AJ2742">
        <f>((T2742-X2742)*2)/12.5</f>
        <v>188.195638786871</v>
      </c>
      <c r="AK2742">
        <f t="shared" si="310"/>
        <v>1230561.12133333</v>
      </c>
    </row>
    <row r="2743" spans="1:37">
      <c r="A2743" t="s">
        <v>2809</v>
      </c>
      <c r="B2743">
        <v>30</v>
      </c>
      <c r="C2743" t="s">
        <v>50</v>
      </c>
      <c r="D2743" t="s">
        <v>51</v>
      </c>
      <c r="E2743">
        <v>1149</v>
      </c>
      <c r="F2743">
        <v>69</v>
      </c>
      <c r="G2743">
        <v>5</v>
      </c>
      <c r="H2743">
        <v>681.14</v>
      </c>
      <c r="I2743">
        <v>3365.33</v>
      </c>
      <c r="J2743">
        <v>55</v>
      </c>
      <c r="K2743">
        <v>0</v>
      </c>
      <c r="L2743">
        <v>25.6</v>
      </c>
      <c r="M2743">
        <v>18.3</v>
      </c>
      <c r="N2743" t="s">
        <v>61</v>
      </c>
      <c r="O2743" t="s">
        <v>47</v>
      </c>
      <c r="P2743" t="s">
        <v>68</v>
      </c>
      <c r="R2743">
        <f>SUMIF(A2743:A7742,"C02742",I2743:I7742)</f>
        <v>3365.33</v>
      </c>
      <c r="S2743" s="1">
        <v>42942.65</v>
      </c>
      <c r="T2743">
        <f t="shared" si="314"/>
        <v>61.1878181818182</v>
      </c>
      <c r="U2743">
        <f t="shared" si="315"/>
        <v>1006.5</v>
      </c>
      <c r="V2743">
        <f t="shared" si="313"/>
        <v>83.875</v>
      </c>
      <c r="W2743">
        <f t="shared" si="311"/>
        <v>1349.15666666667</v>
      </c>
      <c r="X2743">
        <f t="shared" si="309"/>
        <v>1.68687788119917</v>
      </c>
      <c r="AH2743" t="str">
        <f t="shared" si="312"/>
        <v>3rd Quality</v>
      </c>
      <c r="AJ2743">
        <f>((T2743-X2743)*2)/25.6</f>
        <v>4.64851096098586</v>
      </c>
      <c r="AK2743">
        <f t="shared" si="310"/>
        <v>70304.8030909091</v>
      </c>
    </row>
    <row r="2744" spans="1:37">
      <c r="A2744" t="s">
        <v>2810</v>
      </c>
      <c r="B2744">
        <v>18</v>
      </c>
      <c r="C2744" t="s">
        <v>44</v>
      </c>
      <c r="D2744" t="s">
        <v>60</v>
      </c>
      <c r="E2744">
        <v>1457</v>
      </c>
      <c r="F2744">
        <v>4</v>
      </c>
      <c r="G2744">
        <v>27</v>
      </c>
      <c r="H2744">
        <v>3411.79</v>
      </c>
      <c r="I2744">
        <v>89291.31</v>
      </c>
      <c r="J2744">
        <v>144</v>
      </c>
      <c r="K2744">
        <v>1</v>
      </c>
      <c r="L2744">
        <v>5.6</v>
      </c>
      <c r="M2744">
        <v>37.1</v>
      </c>
      <c r="N2744" t="s">
        <v>78</v>
      </c>
      <c r="O2744" t="s">
        <v>47</v>
      </c>
      <c r="P2744" t="s">
        <v>58</v>
      </c>
      <c r="R2744">
        <f>SUMIF(A2744:A7743,"C02743",I2744:I7743)</f>
        <v>89291.31</v>
      </c>
      <c r="S2744" s="1">
        <v>2306.48</v>
      </c>
      <c r="T2744">
        <f t="shared" si="314"/>
        <v>620.078541666667</v>
      </c>
      <c r="U2744">
        <f t="shared" si="315"/>
        <v>5342.4</v>
      </c>
      <c r="V2744">
        <f>U2744</f>
        <v>5342.4</v>
      </c>
      <c r="W2744">
        <f t="shared" si="311"/>
        <v>30901.3666666667</v>
      </c>
      <c r="X2744">
        <f t="shared" ref="X2744:X2807" si="316">E2744/H2744</f>
        <v>0.427048558088276</v>
      </c>
      <c r="AH2744" t="str">
        <f t="shared" si="312"/>
        <v>1st Quality</v>
      </c>
      <c r="AJ2744">
        <f>((T2744-X2744)*2)/5.6</f>
        <v>221.304104681635</v>
      </c>
      <c r="AK2744">
        <f t="shared" si="310"/>
        <v>903454.435208333</v>
      </c>
    </row>
    <row r="2745" spans="1:37">
      <c r="A2745" t="s">
        <v>2811</v>
      </c>
      <c r="B2745">
        <v>36</v>
      </c>
      <c r="C2745" t="s">
        <v>50</v>
      </c>
      <c r="D2745" t="s">
        <v>51</v>
      </c>
      <c r="E2745">
        <v>738</v>
      </c>
      <c r="F2745">
        <v>69</v>
      </c>
      <c r="G2745">
        <v>1</v>
      </c>
      <c r="H2745">
        <v>1050.7</v>
      </c>
      <c r="I2745">
        <v>987.18</v>
      </c>
      <c r="J2745">
        <v>10</v>
      </c>
      <c r="K2745">
        <v>0</v>
      </c>
      <c r="L2745">
        <v>22.3</v>
      </c>
      <c r="M2745">
        <v>17.5</v>
      </c>
      <c r="N2745" t="s">
        <v>52</v>
      </c>
      <c r="O2745" t="s">
        <v>47</v>
      </c>
      <c r="P2745" t="s">
        <v>66</v>
      </c>
      <c r="R2745">
        <f>SUMIF(A2745:A7744,"C02744",I2745:I7744)</f>
        <v>987.18</v>
      </c>
      <c r="S2745" s="1">
        <v>46796.12</v>
      </c>
      <c r="T2745">
        <f t="shared" si="314"/>
        <v>98.718</v>
      </c>
      <c r="U2745">
        <f t="shared" si="315"/>
        <v>175</v>
      </c>
      <c r="V2745">
        <f t="shared" si="313"/>
        <v>14.5833333333333</v>
      </c>
      <c r="W2745">
        <f t="shared" si="311"/>
        <v>679.626666666667</v>
      </c>
      <c r="X2745">
        <f t="shared" si="316"/>
        <v>0.702388883601409</v>
      </c>
      <c r="AH2745" t="str">
        <f t="shared" si="312"/>
        <v>3rd Quality</v>
      </c>
      <c r="AJ2745">
        <f>((T2745-X2745)*2)/22.3</f>
        <v>8.79063776828687</v>
      </c>
      <c r="AK2745">
        <f t="shared" si="310"/>
        <v>72853.884</v>
      </c>
    </row>
    <row r="2746" spans="1:37">
      <c r="A2746" t="s">
        <v>2812</v>
      </c>
      <c r="B2746">
        <v>28</v>
      </c>
      <c r="C2746" t="s">
        <v>50</v>
      </c>
      <c r="D2746" t="s">
        <v>45</v>
      </c>
      <c r="E2746">
        <v>1083</v>
      </c>
      <c r="F2746">
        <v>69</v>
      </c>
      <c r="G2746">
        <v>14</v>
      </c>
      <c r="H2746">
        <v>2881.64</v>
      </c>
      <c r="I2746">
        <v>42942.65</v>
      </c>
      <c r="J2746">
        <v>61</v>
      </c>
      <c r="K2746">
        <v>0</v>
      </c>
      <c r="L2746">
        <v>34.5</v>
      </c>
      <c r="M2746">
        <v>22.8</v>
      </c>
      <c r="N2746" t="s">
        <v>57</v>
      </c>
      <c r="O2746" t="s">
        <v>47</v>
      </c>
      <c r="P2746" t="s">
        <v>68</v>
      </c>
      <c r="R2746">
        <f>SUMIF(A2746:A7745,"C02745",I2746:I7745)</f>
        <v>42942.65</v>
      </c>
      <c r="S2746" s="1">
        <v>108327.51</v>
      </c>
      <c r="T2746">
        <f t="shared" si="314"/>
        <v>703.977868852459</v>
      </c>
      <c r="U2746">
        <f t="shared" si="315"/>
        <v>1390.8</v>
      </c>
      <c r="V2746">
        <f t="shared" si="313"/>
        <v>115.9</v>
      </c>
      <c r="W2746">
        <f t="shared" si="311"/>
        <v>15275.0966666667</v>
      </c>
      <c r="X2746">
        <f t="shared" si="316"/>
        <v>0.3758276536972</v>
      </c>
      <c r="AH2746" t="str">
        <f t="shared" si="312"/>
        <v>1st Quality</v>
      </c>
      <c r="AJ2746">
        <f>((T2746-X2746)*2)/34.5</f>
        <v>40.7885241274644</v>
      </c>
      <c r="AK2746">
        <f t="shared" si="310"/>
        <v>762408.031967213</v>
      </c>
    </row>
    <row r="2747" spans="1:37">
      <c r="A2747" t="s">
        <v>2813</v>
      </c>
      <c r="B2747">
        <v>39</v>
      </c>
      <c r="C2747" t="s">
        <v>50</v>
      </c>
      <c r="D2747" t="s">
        <v>60</v>
      </c>
      <c r="E2747">
        <v>1081</v>
      </c>
      <c r="F2747">
        <v>64</v>
      </c>
      <c r="G2747">
        <v>3</v>
      </c>
      <c r="H2747">
        <v>719.2</v>
      </c>
      <c r="I2747">
        <v>2306.48</v>
      </c>
      <c r="J2747">
        <v>39</v>
      </c>
      <c r="K2747">
        <v>0</v>
      </c>
      <c r="L2747">
        <v>27.4</v>
      </c>
      <c r="M2747">
        <v>34.2</v>
      </c>
      <c r="N2747" t="s">
        <v>78</v>
      </c>
      <c r="O2747" t="s">
        <v>47</v>
      </c>
      <c r="P2747" t="s">
        <v>48</v>
      </c>
      <c r="R2747">
        <f>SUMIF(A2747:A7746,"C02746",I2747:I7746)</f>
        <v>2306.48</v>
      </c>
      <c r="S2747" s="1">
        <v>25881.74</v>
      </c>
      <c r="T2747">
        <f t="shared" si="314"/>
        <v>59.1405128205128</v>
      </c>
      <c r="U2747">
        <f t="shared" si="315"/>
        <v>1333.8</v>
      </c>
      <c r="V2747">
        <f t="shared" si="313"/>
        <v>111.15</v>
      </c>
      <c r="W2747">
        <f t="shared" si="311"/>
        <v>1008.89333333333</v>
      </c>
      <c r="X2747">
        <f t="shared" si="316"/>
        <v>1.50305895439377</v>
      </c>
      <c r="AH2747" t="str">
        <f t="shared" si="312"/>
        <v>3rd Quality</v>
      </c>
      <c r="AJ2747">
        <f>((T2747-X2747)*2)/27.4</f>
        <v>4.2071134208846</v>
      </c>
      <c r="AK2747">
        <f t="shared" si="310"/>
        <v>63930.8943589744</v>
      </c>
    </row>
    <row r="2748" spans="1:37">
      <c r="A2748" t="s">
        <v>2814</v>
      </c>
      <c r="B2748">
        <v>47</v>
      </c>
      <c r="C2748" t="s">
        <v>56</v>
      </c>
      <c r="D2748" t="s">
        <v>60</v>
      </c>
      <c r="E2748">
        <v>1360</v>
      </c>
      <c r="F2748">
        <v>33</v>
      </c>
      <c r="G2748">
        <v>14</v>
      </c>
      <c r="H2748">
        <v>3456.04</v>
      </c>
      <c r="I2748">
        <v>46796.12</v>
      </c>
      <c r="J2748">
        <v>61</v>
      </c>
      <c r="K2748">
        <v>0</v>
      </c>
      <c r="L2748">
        <v>6.8</v>
      </c>
      <c r="M2748">
        <v>18.2</v>
      </c>
      <c r="N2748" t="s">
        <v>57</v>
      </c>
      <c r="O2748" t="s">
        <v>53</v>
      </c>
      <c r="P2748" t="s">
        <v>66</v>
      </c>
      <c r="R2748">
        <f>SUMIF(A2748:A7747,"C02747",I2748:I7747)</f>
        <v>46796.12</v>
      </c>
      <c r="S2748" s="1">
        <v>40749.23</v>
      </c>
      <c r="T2748">
        <f t="shared" si="314"/>
        <v>767.149508196721</v>
      </c>
      <c r="U2748">
        <f t="shared" si="315"/>
        <v>1110.2</v>
      </c>
      <c r="V2748">
        <f t="shared" si="313"/>
        <v>92.5166666666667</v>
      </c>
      <c r="W2748">
        <f t="shared" si="311"/>
        <v>16751.0533333333</v>
      </c>
      <c r="X2748">
        <f t="shared" si="316"/>
        <v>0.39351396395875</v>
      </c>
      <c r="AH2748" t="str">
        <f t="shared" si="312"/>
        <v>3rd Quality</v>
      </c>
      <c r="AJ2748">
        <f>((T2748-X2748)*2)/6.8</f>
        <v>225.516468891989</v>
      </c>
      <c r="AK2748">
        <f t="shared" si="310"/>
        <v>1043323.33114754</v>
      </c>
    </row>
    <row r="2749" spans="1:37">
      <c r="A2749" t="s">
        <v>2815</v>
      </c>
      <c r="B2749">
        <v>28</v>
      </c>
      <c r="C2749" t="s">
        <v>50</v>
      </c>
      <c r="D2749" t="s">
        <v>51</v>
      </c>
      <c r="E2749">
        <v>1136</v>
      </c>
      <c r="F2749">
        <v>1</v>
      </c>
      <c r="G2749">
        <v>29</v>
      </c>
      <c r="H2749">
        <v>4007.05</v>
      </c>
      <c r="I2749">
        <v>108327.51</v>
      </c>
      <c r="J2749">
        <v>207</v>
      </c>
      <c r="K2749">
        <v>3</v>
      </c>
      <c r="L2749">
        <v>13.9</v>
      </c>
      <c r="M2749">
        <v>54.5</v>
      </c>
      <c r="N2749" t="s">
        <v>52</v>
      </c>
      <c r="O2749" t="s">
        <v>47</v>
      </c>
      <c r="P2749" t="s">
        <v>58</v>
      </c>
      <c r="R2749">
        <f>SUMIF(A2749:A7748,"C02748",I2749:I7748)</f>
        <v>108327.51</v>
      </c>
      <c r="S2749" s="1">
        <v>8866.44</v>
      </c>
      <c r="T2749">
        <f t="shared" si="314"/>
        <v>523.321304347826</v>
      </c>
      <c r="U2749">
        <f t="shared" si="315"/>
        <v>11281.5</v>
      </c>
      <c r="V2749">
        <f>U2749</f>
        <v>11281.5</v>
      </c>
      <c r="W2749">
        <f t="shared" si="311"/>
        <v>37445.1866666667</v>
      </c>
      <c r="X2749">
        <f t="shared" si="316"/>
        <v>0.283500330667199</v>
      </c>
      <c r="AH2749" t="str">
        <f t="shared" si="312"/>
        <v>1st Quality</v>
      </c>
      <c r="AJ2749">
        <f>((T2749-X2749)*2)/13.9</f>
        <v>75.2572379880804</v>
      </c>
      <c r="AK2749">
        <f t="shared" si="310"/>
        <v>594493.00173913</v>
      </c>
    </row>
    <row r="2750" spans="1:37">
      <c r="A2750" t="s">
        <v>2816</v>
      </c>
      <c r="B2750">
        <v>48</v>
      </c>
      <c r="C2750" t="s">
        <v>50</v>
      </c>
      <c r="D2750" t="s">
        <v>45</v>
      </c>
      <c r="E2750">
        <v>660</v>
      </c>
      <c r="F2750">
        <v>59</v>
      </c>
      <c r="G2750">
        <v>5</v>
      </c>
      <c r="H2750">
        <v>5549.19</v>
      </c>
      <c r="I2750">
        <v>25881.74</v>
      </c>
      <c r="J2750">
        <v>46</v>
      </c>
      <c r="K2750">
        <v>0</v>
      </c>
      <c r="L2750">
        <v>6.1</v>
      </c>
      <c r="M2750">
        <v>20.8</v>
      </c>
      <c r="N2750" t="s">
        <v>57</v>
      </c>
      <c r="O2750" t="s">
        <v>53</v>
      </c>
      <c r="P2750" t="s">
        <v>66</v>
      </c>
      <c r="R2750">
        <f>SUMIF(A2750:A7749,"C02749",I2750:I7749)</f>
        <v>25881.74</v>
      </c>
      <c r="S2750" s="1">
        <v>2623</v>
      </c>
      <c r="T2750">
        <f t="shared" si="314"/>
        <v>562.64652173913</v>
      </c>
      <c r="U2750">
        <f t="shared" si="315"/>
        <v>956.8</v>
      </c>
      <c r="V2750">
        <f t="shared" si="313"/>
        <v>79.7333333333333</v>
      </c>
      <c r="W2750">
        <f t="shared" si="311"/>
        <v>10477.31</v>
      </c>
      <c r="X2750">
        <f t="shared" si="316"/>
        <v>0.1189362771864</v>
      </c>
      <c r="AH2750" t="str">
        <f t="shared" si="312"/>
        <v>3rd Quality</v>
      </c>
      <c r="AJ2750">
        <f>((T2750-X2750)*2)/6.1</f>
        <v>184.435273921949</v>
      </c>
      <c r="AK2750">
        <f t="shared" si="310"/>
        <v>371346.704347826</v>
      </c>
    </row>
    <row r="2751" spans="1:37">
      <c r="A2751" t="s">
        <v>2817</v>
      </c>
      <c r="B2751">
        <v>31</v>
      </c>
      <c r="C2751" t="s">
        <v>50</v>
      </c>
      <c r="D2751" t="s">
        <v>60</v>
      </c>
      <c r="E2751">
        <v>1338</v>
      </c>
      <c r="F2751">
        <v>8</v>
      </c>
      <c r="G2751">
        <v>28</v>
      </c>
      <c r="H2751">
        <v>1400.6</v>
      </c>
      <c r="I2751">
        <v>40749.23</v>
      </c>
      <c r="J2751">
        <v>66</v>
      </c>
      <c r="K2751">
        <v>0</v>
      </c>
      <c r="L2751">
        <v>0</v>
      </c>
      <c r="M2751">
        <v>49.4</v>
      </c>
      <c r="N2751" t="s">
        <v>78</v>
      </c>
      <c r="O2751" t="s">
        <v>47</v>
      </c>
      <c r="P2751" t="s">
        <v>68</v>
      </c>
      <c r="R2751">
        <f>SUMIF(A2751:A7750,"C02750",I2751:I7750)</f>
        <v>40749.23</v>
      </c>
      <c r="S2751" s="1">
        <v>5331.06</v>
      </c>
      <c r="T2751">
        <f t="shared" si="314"/>
        <v>617.412575757576</v>
      </c>
      <c r="U2751">
        <f t="shared" si="315"/>
        <v>3260.4</v>
      </c>
      <c r="V2751">
        <f t="shared" si="313"/>
        <v>271.7</v>
      </c>
      <c r="W2751">
        <f t="shared" si="311"/>
        <v>14050.2766666667</v>
      </c>
      <c r="X2751">
        <f t="shared" si="316"/>
        <v>0.955304869341711</v>
      </c>
      <c r="AH2751" t="str">
        <f t="shared" si="312"/>
        <v>1st Quality</v>
      </c>
      <c r="AJ2751">
        <f>((T2751-X2751)*2)</f>
        <v>1232.91454177647</v>
      </c>
      <c r="AK2751">
        <f t="shared" si="310"/>
        <v>826098.026363636</v>
      </c>
    </row>
    <row r="2752" spans="1:37">
      <c r="A2752" t="s">
        <v>2818</v>
      </c>
      <c r="B2752">
        <v>42</v>
      </c>
      <c r="C2752" t="s">
        <v>50</v>
      </c>
      <c r="D2752" t="s">
        <v>60</v>
      </c>
      <c r="E2752">
        <v>1257</v>
      </c>
      <c r="F2752">
        <v>48</v>
      </c>
      <c r="G2752">
        <v>9</v>
      </c>
      <c r="H2752">
        <v>924.67</v>
      </c>
      <c r="I2752">
        <v>8866.44</v>
      </c>
      <c r="J2752">
        <v>87</v>
      </c>
      <c r="K2752">
        <v>0</v>
      </c>
      <c r="L2752">
        <v>36.2</v>
      </c>
      <c r="M2752">
        <v>4.7</v>
      </c>
      <c r="N2752" t="s">
        <v>52</v>
      </c>
      <c r="O2752" t="s">
        <v>47</v>
      </c>
      <c r="P2752" t="s">
        <v>68</v>
      </c>
      <c r="R2752">
        <f>SUMIF(A2752:A7751,"C02751",I2752:I7751)</f>
        <v>8866.44</v>
      </c>
      <c r="S2752" s="1">
        <v>59774.21</v>
      </c>
      <c r="T2752">
        <f t="shared" si="314"/>
        <v>101.913103448276</v>
      </c>
      <c r="U2752">
        <f t="shared" si="315"/>
        <v>408.9</v>
      </c>
      <c r="V2752">
        <f t="shared" si="313"/>
        <v>34.075</v>
      </c>
      <c r="W2752">
        <f t="shared" si="311"/>
        <v>3264.03666666667</v>
      </c>
      <c r="X2752">
        <f t="shared" si="316"/>
        <v>1.35940389544378</v>
      </c>
      <c r="AH2752" t="str">
        <f t="shared" si="312"/>
        <v>3rd Quality</v>
      </c>
      <c r="AJ2752">
        <f>((T2752-X2752)*2)/36.2</f>
        <v>5.55545301396863</v>
      </c>
      <c r="AK2752">
        <f t="shared" si="310"/>
        <v>128104.771034483</v>
      </c>
    </row>
    <row r="2753" spans="1:37">
      <c r="A2753" t="s">
        <v>2819</v>
      </c>
      <c r="B2753">
        <v>40</v>
      </c>
      <c r="C2753" t="s">
        <v>44</v>
      </c>
      <c r="D2753" t="s">
        <v>51</v>
      </c>
      <c r="E2753">
        <v>521</v>
      </c>
      <c r="F2753">
        <v>43</v>
      </c>
      <c r="G2753">
        <v>2</v>
      </c>
      <c r="H2753">
        <v>1227.54</v>
      </c>
      <c r="I2753">
        <v>2623</v>
      </c>
      <c r="J2753">
        <v>26</v>
      </c>
      <c r="K2753">
        <v>0</v>
      </c>
      <c r="L2753">
        <v>25.6</v>
      </c>
      <c r="M2753">
        <v>13</v>
      </c>
      <c r="N2753" t="s">
        <v>78</v>
      </c>
      <c r="O2753" t="s">
        <v>75</v>
      </c>
      <c r="P2753" t="s">
        <v>48</v>
      </c>
      <c r="R2753">
        <f>SUMIF(A2753:A7752,"C02752",I2753:I7752)</f>
        <v>2623</v>
      </c>
      <c r="S2753" s="1">
        <v>1067.05</v>
      </c>
      <c r="T2753">
        <f t="shared" si="314"/>
        <v>100.884615384615</v>
      </c>
      <c r="U2753">
        <f t="shared" si="315"/>
        <v>338</v>
      </c>
      <c r="V2753">
        <f t="shared" si="313"/>
        <v>28.1666666666667</v>
      </c>
      <c r="W2753">
        <f t="shared" si="311"/>
        <v>1283.84666666667</v>
      </c>
      <c r="X2753">
        <f t="shared" si="316"/>
        <v>0.424426087948254</v>
      </c>
      <c r="AH2753" t="str">
        <f t="shared" si="312"/>
        <v>3rd Quality</v>
      </c>
      <c r="AJ2753">
        <f>((T2753-X2753)*2)/25.6</f>
        <v>7.84845228880209</v>
      </c>
      <c r="AK2753">
        <f t="shared" si="310"/>
        <v>52560.8846153846</v>
      </c>
    </row>
    <row r="2754" spans="1:37">
      <c r="A2754" t="s">
        <v>2820</v>
      </c>
      <c r="B2754">
        <v>21</v>
      </c>
      <c r="C2754" t="s">
        <v>44</v>
      </c>
      <c r="D2754" t="s">
        <v>51</v>
      </c>
      <c r="E2754">
        <v>1174</v>
      </c>
      <c r="F2754">
        <v>19</v>
      </c>
      <c r="G2754">
        <v>3</v>
      </c>
      <c r="H2754">
        <v>1631.85</v>
      </c>
      <c r="I2754">
        <v>5331.06</v>
      </c>
      <c r="J2754">
        <v>27</v>
      </c>
      <c r="K2754">
        <v>0</v>
      </c>
      <c r="L2754">
        <v>23.1</v>
      </c>
      <c r="M2754">
        <v>24.5</v>
      </c>
      <c r="N2754" t="s">
        <v>57</v>
      </c>
      <c r="O2754" t="s">
        <v>75</v>
      </c>
      <c r="P2754" t="s">
        <v>58</v>
      </c>
      <c r="R2754">
        <f>SUMIF(A2754:A7753,"C02753",I2754:I7753)</f>
        <v>5331.06</v>
      </c>
      <c r="S2754" s="1">
        <v>5751.87</v>
      </c>
      <c r="T2754">
        <f t="shared" si="314"/>
        <v>197.446666666667</v>
      </c>
      <c r="U2754">
        <f t="shared" si="315"/>
        <v>661.5</v>
      </c>
      <c r="V2754">
        <f t="shared" si="313"/>
        <v>55.125</v>
      </c>
      <c r="W2754">
        <f t="shared" si="311"/>
        <v>2321.30333333333</v>
      </c>
      <c r="X2754">
        <f t="shared" si="316"/>
        <v>0.719428869074976</v>
      </c>
      <c r="AH2754" t="str">
        <f t="shared" si="312"/>
        <v>3rd Quality</v>
      </c>
      <c r="AJ2754">
        <f>((T2754-X2754)*2)/23.1</f>
        <v>17.0326612811768</v>
      </c>
      <c r="AK2754">
        <f t="shared" si="310"/>
        <v>231802.386666667</v>
      </c>
    </row>
    <row r="2755" spans="1:37">
      <c r="A2755" t="s">
        <v>2821</v>
      </c>
      <c r="B2755">
        <v>35</v>
      </c>
      <c r="C2755" t="s">
        <v>44</v>
      </c>
      <c r="D2755" t="s">
        <v>60</v>
      </c>
      <c r="E2755">
        <v>657</v>
      </c>
      <c r="F2755">
        <v>17</v>
      </c>
      <c r="G2755">
        <v>25</v>
      </c>
      <c r="H2755">
        <v>2253.35</v>
      </c>
      <c r="I2755">
        <v>59774.21</v>
      </c>
      <c r="J2755">
        <v>128</v>
      </c>
      <c r="K2755">
        <v>4</v>
      </c>
      <c r="L2755">
        <v>7.9</v>
      </c>
      <c r="M2755">
        <v>40</v>
      </c>
      <c r="N2755" t="s">
        <v>61</v>
      </c>
      <c r="O2755" t="s">
        <v>47</v>
      </c>
      <c r="P2755" t="s">
        <v>48</v>
      </c>
      <c r="R2755">
        <f>SUMIF(A2755:A7754,"C02754",I2755:I7754)</f>
        <v>59774.21</v>
      </c>
      <c r="S2755" s="1">
        <v>3989.31</v>
      </c>
      <c r="T2755">
        <f t="shared" si="314"/>
        <v>466.986015625</v>
      </c>
      <c r="U2755">
        <f t="shared" si="315"/>
        <v>5120</v>
      </c>
      <c r="V2755">
        <f>U2755</f>
        <v>5120</v>
      </c>
      <c r="W2755">
        <f t="shared" si="311"/>
        <v>20676.1866666667</v>
      </c>
      <c r="X2755">
        <f t="shared" si="316"/>
        <v>0.291565890784831</v>
      </c>
      <c r="AH2755" t="str">
        <f t="shared" si="312"/>
        <v>2nd Quality</v>
      </c>
      <c r="AJ2755">
        <f>((T2755-X2755)*2)/7.9</f>
        <v>118.150493603599</v>
      </c>
      <c r="AK2755">
        <f t="shared" ref="AK2755:AK2818" si="317">I2755/J2755*E2755</f>
        <v>306809.812265625</v>
      </c>
    </row>
    <row r="2756" spans="1:37">
      <c r="A2756" t="s">
        <v>2822</v>
      </c>
      <c r="B2756">
        <v>36</v>
      </c>
      <c r="C2756" t="s">
        <v>44</v>
      </c>
      <c r="D2756" t="s">
        <v>51</v>
      </c>
      <c r="E2756">
        <v>665</v>
      </c>
      <c r="F2756">
        <v>365</v>
      </c>
      <c r="G2756">
        <v>1</v>
      </c>
      <c r="H2756">
        <v>1070.66</v>
      </c>
      <c r="I2756">
        <v>1067.05</v>
      </c>
      <c r="J2756">
        <v>11</v>
      </c>
      <c r="K2756">
        <v>0</v>
      </c>
      <c r="L2756">
        <v>13.4</v>
      </c>
      <c r="M2756">
        <v>40.1</v>
      </c>
      <c r="N2756" t="s">
        <v>81</v>
      </c>
      <c r="O2756" t="s">
        <v>47</v>
      </c>
      <c r="P2756" t="s">
        <v>58</v>
      </c>
      <c r="R2756">
        <f>SUMIF(A2756:A7755,"C02755",I2756:I7755)</f>
        <v>1067.05</v>
      </c>
      <c r="S2756" s="1">
        <v>699.7</v>
      </c>
      <c r="T2756">
        <f t="shared" si="314"/>
        <v>97.0045454545455</v>
      </c>
      <c r="U2756">
        <f t="shared" si="315"/>
        <v>441.1</v>
      </c>
      <c r="V2756">
        <f t="shared" si="313"/>
        <v>36.7583333333333</v>
      </c>
      <c r="W2756">
        <f t="shared" si="311"/>
        <v>712.903333333333</v>
      </c>
      <c r="X2756">
        <f t="shared" si="316"/>
        <v>0.621112211159472</v>
      </c>
      <c r="AH2756" t="str">
        <f t="shared" si="312"/>
        <v>3rd Quality</v>
      </c>
      <c r="AJ2756">
        <f>((T2756-X2756)*2)/13.4</f>
        <v>14.3855870512516</v>
      </c>
      <c r="AK2756">
        <f t="shared" si="317"/>
        <v>64508.0227272727</v>
      </c>
    </row>
    <row r="2757" spans="1:37">
      <c r="A2757" t="s">
        <v>2823</v>
      </c>
      <c r="B2757">
        <v>42</v>
      </c>
      <c r="C2757" t="s">
        <v>50</v>
      </c>
      <c r="D2757" t="s">
        <v>60</v>
      </c>
      <c r="E2757">
        <v>810</v>
      </c>
      <c r="F2757">
        <v>92</v>
      </c>
      <c r="G2757">
        <v>4</v>
      </c>
      <c r="H2757">
        <v>1523</v>
      </c>
      <c r="I2757">
        <v>5751.87</v>
      </c>
      <c r="J2757">
        <v>20</v>
      </c>
      <c r="K2757">
        <v>0</v>
      </c>
      <c r="L2757">
        <v>25.5</v>
      </c>
      <c r="M2757">
        <v>51.8</v>
      </c>
      <c r="N2757" t="s">
        <v>63</v>
      </c>
      <c r="O2757" t="s">
        <v>53</v>
      </c>
      <c r="P2757" t="s">
        <v>58</v>
      </c>
      <c r="R2757">
        <f>SUMIF(A2757:A7756,"C02756",I2757:I7756)</f>
        <v>5751.87</v>
      </c>
      <c r="S2757" s="1">
        <v>1337.62</v>
      </c>
      <c r="T2757">
        <f t="shared" si="314"/>
        <v>287.5935</v>
      </c>
      <c r="U2757">
        <f t="shared" si="315"/>
        <v>1036</v>
      </c>
      <c r="V2757">
        <f t="shared" si="313"/>
        <v>86.3333333333333</v>
      </c>
      <c r="W2757">
        <f t="shared" si="311"/>
        <v>2425.29</v>
      </c>
      <c r="X2757">
        <f t="shared" si="316"/>
        <v>0.531845042678923</v>
      </c>
      <c r="AH2757" t="str">
        <f t="shared" si="312"/>
        <v>3rd Quality</v>
      </c>
      <c r="AJ2757">
        <f>((T2757-X2757)*2)/25.5</f>
        <v>22.5146396044958</v>
      </c>
      <c r="AK2757">
        <f t="shared" si="317"/>
        <v>232950.735</v>
      </c>
    </row>
    <row r="2758" spans="1:37">
      <c r="A2758" t="s">
        <v>2824</v>
      </c>
      <c r="B2758">
        <v>34</v>
      </c>
      <c r="C2758" t="s">
        <v>101</v>
      </c>
      <c r="D2758" t="s">
        <v>60</v>
      </c>
      <c r="E2758">
        <v>712</v>
      </c>
      <c r="F2758">
        <v>144</v>
      </c>
      <c r="G2758">
        <v>3</v>
      </c>
      <c r="H2758">
        <v>1371.31</v>
      </c>
      <c r="I2758">
        <v>3989.31</v>
      </c>
      <c r="J2758">
        <v>29</v>
      </c>
      <c r="K2758">
        <v>0</v>
      </c>
      <c r="L2758">
        <v>17.8</v>
      </c>
      <c r="M2758">
        <v>59.4</v>
      </c>
      <c r="N2758" t="s">
        <v>81</v>
      </c>
      <c r="O2758" t="s">
        <v>47</v>
      </c>
      <c r="P2758" t="s">
        <v>68</v>
      </c>
      <c r="R2758">
        <f>SUMIF(A2758:A7757,"C02757",I2758:I7757)</f>
        <v>3989.31</v>
      </c>
      <c r="S2758" s="1">
        <v>28419.84</v>
      </c>
      <c r="T2758">
        <f t="shared" si="314"/>
        <v>137.562413793103</v>
      </c>
      <c r="U2758">
        <f t="shared" si="315"/>
        <v>1722.6</v>
      </c>
      <c r="V2758">
        <f t="shared" si="313"/>
        <v>143.55</v>
      </c>
      <c r="W2758">
        <f t="shared" si="311"/>
        <v>1787.20666666667</v>
      </c>
      <c r="X2758">
        <f t="shared" si="316"/>
        <v>0.519211556832518</v>
      </c>
      <c r="AH2758" t="str">
        <f t="shared" si="312"/>
        <v>3rd Quality</v>
      </c>
      <c r="AJ2758">
        <f>((T2758-X2758)*2)/17.8</f>
        <v>15.3981126108169</v>
      </c>
      <c r="AK2758">
        <f t="shared" si="317"/>
        <v>97944.4386206897</v>
      </c>
    </row>
    <row r="2759" spans="1:37">
      <c r="A2759" t="s">
        <v>2825</v>
      </c>
      <c r="B2759">
        <v>34</v>
      </c>
      <c r="C2759" t="s">
        <v>50</v>
      </c>
      <c r="D2759" t="s">
        <v>60</v>
      </c>
      <c r="E2759">
        <v>1255</v>
      </c>
      <c r="F2759">
        <v>87</v>
      </c>
      <c r="G2759">
        <v>1</v>
      </c>
      <c r="H2759">
        <v>738.01</v>
      </c>
      <c r="I2759">
        <v>699.7</v>
      </c>
      <c r="J2759">
        <v>12</v>
      </c>
      <c r="K2759">
        <v>1</v>
      </c>
      <c r="L2759">
        <v>16</v>
      </c>
      <c r="M2759">
        <v>40</v>
      </c>
      <c r="N2759" t="s">
        <v>57</v>
      </c>
      <c r="O2759" t="s">
        <v>75</v>
      </c>
      <c r="P2759" t="s">
        <v>58</v>
      </c>
      <c r="R2759">
        <f>SUMIF(A2759:A7758,"C02758",I2759:I7758)</f>
        <v>699.7</v>
      </c>
      <c r="S2759" s="1">
        <v>11963.49</v>
      </c>
      <c r="T2759">
        <f t="shared" si="314"/>
        <v>58.3083333333333</v>
      </c>
      <c r="U2759">
        <f t="shared" si="315"/>
        <v>480</v>
      </c>
      <c r="V2759">
        <f>U2759</f>
        <v>480</v>
      </c>
      <c r="W2759">
        <f t="shared" si="311"/>
        <v>479.57</v>
      </c>
      <c r="X2759">
        <f t="shared" si="316"/>
        <v>1.70051896315768</v>
      </c>
      <c r="AH2759" t="str">
        <f t="shared" si="312"/>
        <v>3rd Quality</v>
      </c>
      <c r="AJ2759">
        <f>((T2759-X2759)*2)/16</f>
        <v>7.07597679627195</v>
      </c>
      <c r="AK2759">
        <f t="shared" si="317"/>
        <v>73176.9583333333</v>
      </c>
    </row>
    <row r="2760" spans="1:37">
      <c r="A2760" t="s">
        <v>2826</v>
      </c>
      <c r="B2760">
        <v>22</v>
      </c>
      <c r="C2760" t="s">
        <v>50</v>
      </c>
      <c r="D2760" t="s">
        <v>60</v>
      </c>
      <c r="E2760">
        <v>582</v>
      </c>
      <c r="F2760">
        <v>87</v>
      </c>
      <c r="G2760">
        <v>1</v>
      </c>
      <c r="H2760">
        <v>1479.87</v>
      </c>
      <c r="I2760">
        <v>1337.62</v>
      </c>
      <c r="J2760">
        <v>10</v>
      </c>
      <c r="K2760">
        <v>1</v>
      </c>
      <c r="L2760">
        <v>34.1</v>
      </c>
      <c r="M2760">
        <v>47.2</v>
      </c>
      <c r="N2760" t="s">
        <v>81</v>
      </c>
      <c r="O2760" t="s">
        <v>47</v>
      </c>
      <c r="P2760" t="s">
        <v>68</v>
      </c>
      <c r="R2760">
        <f>SUMIF(A2760:A7759,"C02759",I2760:I7759)</f>
        <v>1337.62</v>
      </c>
      <c r="S2760" s="1">
        <v>822.59</v>
      </c>
      <c r="T2760">
        <f t="shared" si="314"/>
        <v>133.762</v>
      </c>
      <c r="U2760">
        <f t="shared" si="315"/>
        <v>472</v>
      </c>
      <c r="V2760">
        <f>U2760</f>
        <v>472</v>
      </c>
      <c r="W2760">
        <f t="shared" si="311"/>
        <v>939.496666666667</v>
      </c>
      <c r="X2760">
        <f t="shared" si="316"/>
        <v>0.393277787913803</v>
      </c>
      <c r="AH2760" t="str">
        <f t="shared" si="312"/>
        <v>3rd Quality</v>
      </c>
      <c r="AJ2760">
        <f>((T2760-X2760)*2)/34.1</f>
        <v>7.82221244645667</v>
      </c>
      <c r="AK2760">
        <f t="shared" si="317"/>
        <v>77849.484</v>
      </c>
    </row>
    <row r="2761" spans="1:37">
      <c r="A2761" t="s">
        <v>2827</v>
      </c>
      <c r="B2761">
        <v>36</v>
      </c>
      <c r="C2761" t="s">
        <v>44</v>
      </c>
      <c r="D2761" t="s">
        <v>60</v>
      </c>
      <c r="E2761">
        <v>1345</v>
      </c>
      <c r="F2761">
        <v>23</v>
      </c>
      <c r="G2761">
        <v>2</v>
      </c>
      <c r="H2761">
        <v>15537.84</v>
      </c>
      <c r="I2761">
        <v>28419.84</v>
      </c>
      <c r="J2761">
        <v>18</v>
      </c>
      <c r="K2761">
        <v>0</v>
      </c>
      <c r="L2761">
        <v>12.7</v>
      </c>
      <c r="M2761">
        <v>29.2</v>
      </c>
      <c r="N2761" t="s">
        <v>78</v>
      </c>
      <c r="O2761" t="s">
        <v>75</v>
      </c>
      <c r="P2761" t="s">
        <v>58</v>
      </c>
      <c r="R2761">
        <f>SUMIF(A2761:A7760,"C02760",I2761:I7760)</f>
        <v>28419.84</v>
      </c>
      <c r="S2761" s="1">
        <v>51437.64</v>
      </c>
      <c r="T2761">
        <f t="shared" si="314"/>
        <v>1578.88</v>
      </c>
      <c r="U2761">
        <f t="shared" si="315"/>
        <v>525.6</v>
      </c>
      <c r="V2761">
        <f t="shared" si="313"/>
        <v>43.8</v>
      </c>
      <c r="W2761">
        <f t="shared" ref="W2761:W2824" si="318">(H2761+I2761+1)/3</f>
        <v>14652.8933333333</v>
      </c>
      <c r="X2761">
        <f t="shared" si="316"/>
        <v>0.0865628684553323</v>
      </c>
      <c r="AH2761" t="str">
        <f t="shared" si="312"/>
        <v>2nd Quality</v>
      </c>
      <c r="AJ2761">
        <f>((T2761-X2761)*2)/12.7</f>
        <v>248.628887737251</v>
      </c>
      <c r="AK2761">
        <f t="shared" si="317"/>
        <v>2123593.6</v>
      </c>
    </row>
    <row r="2762" spans="1:37">
      <c r="A2762" t="s">
        <v>2828</v>
      </c>
      <c r="B2762">
        <v>21</v>
      </c>
      <c r="C2762" t="s">
        <v>44</v>
      </c>
      <c r="D2762" t="s">
        <v>60</v>
      </c>
      <c r="E2762">
        <v>430</v>
      </c>
      <c r="F2762">
        <v>31</v>
      </c>
      <c r="G2762">
        <v>1</v>
      </c>
      <c r="H2762">
        <v>13547.97</v>
      </c>
      <c r="I2762">
        <v>11963.49</v>
      </c>
      <c r="J2762">
        <v>5</v>
      </c>
      <c r="K2762">
        <v>0</v>
      </c>
      <c r="L2762">
        <v>0</v>
      </c>
      <c r="M2762">
        <v>10.6</v>
      </c>
      <c r="N2762" t="s">
        <v>63</v>
      </c>
      <c r="O2762" t="s">
        <v>75</v>
      </c>
      <c r="P2762" t="s">
        <v>68</v>
      </c>
      <c r="R2762">
        <f>SUMIF(A2762:A7761,"C02761",I2762:I7761)</f>
        <v>11963.49</v>
      </c>
      <c r="S2762" s="1">
        <v>20850.04</v>
      </c>
      <c r="T2762">
        <f t="shared" si="314"/>
        <v>2392.698</v>
      </c>
      <c r="U2762">
        <f t="shared" si="315"/>
        <v>53</v>
      </c>
      <c r="V2762">
        <f t="shared" si="313"/>
        <v>4.41666666666667</v>
      </c>
      <c r="W2762">
        <f t="shared" si="318"/>
        <v>8504.15333333333</v>
      </c>
      <c r="X2762">
        <f t="shared" si="316"/>
        <v>0.0317390723481082</v>
      </c>
      <c r="AH2762" t="str">
        <f t="shared" si="312"/>
        <v>3rd Quality</v>
      </c>
      <c r="AJ2762">
        <f>((T2762-X2762)*2)</f>
        <v>4785.3325218553</v>
      </c>
      <c r="AK2762">
        <f t="shared" si="317"/>
        <v>1028860.14</v>
      </c>
    </row>
    <row r="2763" spans="1:37">
      <c r="A2763" t="s">
        <v>2829</v>
      </c>
      <c r="B2763">
        <v>33</v>
      </c>
      <c r="C2763" t="s">
        <v>44</v>
      </c>
      <c r="D2763" t="s">
        <v>60</v>
      </c>
      <c r="E2763">
        <v>673</v>
      </c>
      <c r="F2763">
        <v>295</v>
      </c>
      <c r="G2763">
        <v>1</v>
      </c>
      <c r="H2763">
        <v>887.16</v>
      </c>
      <c r="I2763">
        <v>822.59</v>
      </c>
      <c r="J2763">
        <v>11</v>
      </c>
      <c r="K2763">
        <v>0</v>
      </c>
      <c r="L2763">
        <v>20.2</v>
      </c>
      <c r="M2763">
        <v>64.1</v>
      </c>
      <c r="N2763" t="s">
        <v>63</v>
      </c>
      <c r="O2763" t="s">
        <v>47</v>
      </c>
      <c r="P2763" t="s">
        <v>48</v>
      </c>
      <c r="R2763">
        <f>SUMIF(A2763:A7762,"C02762",I2763:I7762)</f>
        <v>822.59</v>
      </c>
      <c r="S2763" s="1">
        <v>91391.54</v>
      </c>
      <c r="T2763">
        <f t="shared" si="314"/>
        <v>74.7809090909091</v>
      </c>
      <c r="U2763">
        <f t="shared" si="315"/>
        <v>705.1</v>
      </c>
      <c r="V2763">
        <f t="shared" si="313"/>
        <v>58.7583333333333</v>
      </c>
      <c r="W2763">
        <f t="shared" si="318"/>
        <v>570.25</v>
      </c>
      <c r="X2763">
        <f t="shared" si="316"/>
        <v>0.758600477929573</v>
      </c>
      <c r="AH2763" t="str">
        <f t="shared" si="312"/>
        <v>3rd Quality</v>
      </c>
      <c r="AJ2763">
        <f>((T2763-X2763)*2)/20.2</f>
        <v>7.32894144682966</v>
      </c>
      <c r="AK2763">
        <f t="shared" si="317"/>
        <v>50327.5518181818</v>
      </c>
    </row>
    <row r="2764" spans="1:37">
      <c r="A2764" t="s">
        <v>2830</v>
      </c>
      <c r="B2764">
        <v>36</v>
      </c>
      <c r="C2764" t="s">
        <v>44</v>
      </c>
      <c r="D2764" t="s">
        <v>60</v>
      </c>
      <c r="E2764">
        <v>863</v>
      </c>
      <c r="F2764">
        <v>13</v>
      </c>
      <c r="G2764">
        <v>24</v>
      </c>
      <c r="H2764">
        <v>1983.65</v>
      </c>
      <c r="I2764">
        <v>51437.64</v>
      </c>
      <c r="J2764">
        <v>81</v>
      </c>
      <c r="K2764">
        <v>1</v>
      </c>
      <c r="L2764">
        <v>3</v>
      </c>
      <c r="M2764">
        <v>16.6</v>
      </c>
      <c r="N2764" t="s">
        <v>63</v>
      </c>
      <c r="O2764" t="s">
        <v>47</v>
      </c>
      <c r="P2764" t="s">
        <v>54</v>
      </c>
      <c r="R2764">
        <f>SUMIF(A2764:A7763,"C02763",I2764:I7763)</f>
        <v>51437.64</v>
      </c>
      <c r="S2764" s="1">
        <v>1185.29</v>
      </c>
      <c r="T2764">
        <f t="shared" si="314"/>
        <v>635.032592592593</v>
      </c>
      <c r="U2764">
        <f t="shared" si="315"/>
        <v>1344.6</v>
      </c>
      <c r="V2764">
        <f>U2764</f>
        <v>1344.6</v>
      </c>
      <c r="W2764">
        <f t="shared" si="318"/>
        <v>17807.43</v>
      </c>
      <c r="X2764">
        <f t="shared" si="316"/>
        <v>0.43505658760366</v>
      </c>
      <c r="AH2764" t="str">
        <f t="shared" si="312"/>
        <v>2nd Quality</v>
      </c>
      <c r="AJ2764">
        <f>((T2764-X2764)*2)/3</f>
        <v>423.065024003326</v>
      </c>
      <c r="AK2764">
        <f t="shared" si="317"/>
        <v>548033.127407407</v>
      </c>
    </row>
    <row r="2765" spans="1:37">
      <c r="A2765" t="s">
        <v>2831</v>
      </c>
      <c r="B2765">
        <v>50</v>
      </c>
      <c r="C2765" t="s">
        <v>50</v>
      </c>
      <c r="D2765" t="s">
        <v>60</v>
      </c>
      <c r="E2765">
        <v>920</v>
      </c>
      <c r="F2765">
        <v>20</v>
      </c>
      <c r="G2765">
        <v>10</v>
      </c>
      <c r="H2765">
        <v>2066.59</v>
      </c>
      <c r="I2765">
        <v>20850.04</v>
      </c>
      <c r="J2765">
        <v>95</v>
      </c>
      <c r="K2765">
        <v>1</v>
      </c>
      <c r="L2765">
        <v>18.9</v>
      </c>
      <c r="M2765">
        <v>6.7</v>
      </c>
      <c r="N2765" t="s">
        <v>78</v>
      </c>
      <c r="O2765" t="s">
        <v>47</v>
      </c>
      <c r="P2765" t="s">
        <v>58</v>
      </c>
      <c r="R2765">
        <f>SUMIF(A2765:A7764,"C02764",I2765:I7764)</f>
        <v>20850.04</v>
      </c>
      <c r="S2765" s="1">
        <v>14518.36</v>
      </c>
      <c r="T2765">
        <f t="shared" si="314"/>
        <v>219.474105263158</v>
      </c>
      <c r="U2765">
        <f t="shared" si="315"/>
        <v>636.5</v>
      </c>
      <c r="V2765">
        <f>U2765</f>
        <v>636.5</v>
      </c>
      <c r="W2765">
        <f t="shared" si="318"/>
        <v>7639.21</v>
      </c>
      <c r="X2765">
        <f t="shared" si="316"/>
        <v>0.445177804983088</v>
      </c>
      <c r="AH2765" t="str">
        <f t="shared" si="312"/>
        <v>3rd Quality</v>
      </c>
      <c r="AJ2765">
        <f>((T2765-X2765)*2)/18.9</f>
        <v>23.1776642812884</v>
      </c>
      <c r="AK2765">
        <f t="shared" si="317"/>
        <v>201916.176842105</v>
      </c>
    </row>
    <row r="2766" spans="1:37">
      <c r="A2766" t="s">
        <v>2832</v>
      </c>
      <c r="B2766">
        <v>18</v>
      </c>
      <c r="C2766" t="s">
        <v>50</v>
      </c>
      <c r="D2766" t="s">
        <v>45</v>
      </c>
      <c r="E2766">
        <v>1335</v>
      </c>
      <c r="F2766">
        <v>8</v>
      </c>
      <c r="G2766">
        <v>26</v>
      </c>
      <c r="H2766">
        <v>3610.87</v>
      </c>
      <c r="I2766">
        <v>91391.54</v>
      </c>
      <c r="J2766">
        <v>84</v>
      </c>
      <c r="K2766">
        <v>1</v>
      </c>
      <c r="L2766">
        <v>11.5</v>
      </c>
      <c r="M2766">
        <v>29.6</v>
      </c>
      <c r="N2766" t="s">
        <v>46</v>
      </c>
      <c r="O2766" t="s">
        <v>53</v>
      </c>
      <c r="P2766" t="s">
        <v>58</v>
      </c>
      <c r="R2766">
        <f>SUMIF(A2766:A7765,"C02765",I2766:I7765)</f>
        <v>91391.54</v>
      </c>
      <c r="S2766" s="1">
        <v>2887.56</v>
      </c>
      <c r="T2766">
        <f t="shared" si="314"/>
        <v>1087.99452380952</v>
      </c>
      <c r="U2766">
        <f t="shared" si="315"/>
        <v>2486.4</v>
      </c>
      <c r="V2766">
        <f>U2766</f>
        <v>2486.4</v>
      </c>
      <c r="W2766">
        <f t="shared" si="318"/>
        <v>31667.8033333333</v>
      </c>
      <c r="X2766">
        <f t="shared" si="316"/>
        <v>0.36971699341156</v>
      </c>
      <c r="AH2766" t="str">
        <f t="shared" ref="AH2766:AH2829" si="319">IF(AND(W2766&gt;=12550,B2766&lt;=33,E2766&gt;=915),"1st Quality",IF(AND(W2766&gt;=6275,B2766&lt;=43,E2766&gt;=457),"2nd Quality","3rd Quality"))</f>
        <v>1st Quality</v>
      </c>
      <c r="AJ2766">
        <f>((T2766-X2766)*2)/11.5</f>
        <v>189.152140315845</v>
      </c>
      <c r="AK2766">
        <f t="shared" si="317"/>
        <v>1452472.68928571</v>
      </c>
    </row>
    <row r="2767" spans="1:37">
      <c r="A2767" t="s">
        <v>2833</v>
      </c>
      <c r="B2767">
        <v>45</v>
      </c>
      <c r="C2767" t="s">
        <v>50</v>
      </c>
      <c r="D2767" t="s">
        <v>60</v>
      </c>
      <c r="E2767">
        <v>1033</v>
      </c>
      <c r="F2767">
        <v>80</v>
      </c>
      <c r="G2767">
        <v>1</v>
      </c>
      <c r="H2767">
        <v>1265.02</v>
      </c>
      <c r="I2767">
        <v>1185.29</v>
      </c>
      <c r="J2767">
        <v>13</v>
      </c>
      <c r="K2767">
        <v>0</v>
      </c>
      <c r="L2767">
        <v>23.1</v>
      </c>
      <c r="M2767">
        <v>6.1</v>
      </c>
      <c r="N2767" t="s">
        <v>78</v>
      </c>
      <c r="O2767" t="s">
        <v>47</v>
      </c>
      <c r="P2767" t="s">
        <v>68</v>
      </c>
      <c r="R2767">
        <f>SUMIF(A2767:A7766,"C02766",I2767:I7766)</f>
        <v>1185.29</v>
      </c>
      <c r="S2767" s="1">
        <v>5853.84</v>
      </c>
      <c r="T2767">
        <f t="shared" si="314"/>
        <v>91.1761538461538</v>
      </c>
      <c r="U2767">
        <f t="shared" si="315"/>
        <v>79.3</v>
      </c>
      <c r="V2767">
        <f t="shared" si="313"/>
        <v>6.60833333333333</v>
      </c>
      <c r="W2767">
        <f t="shared" si="318"/>
        <v>817.103333333333</v>
      </c>
      <c r="X2767">
        <f t="shared" si="316"/>
        <v>0.816587880033517</v>
      </c>
      <c r="AH2767" t="str">
        <f t="shared" si="319"/>
        <v>3rd Quality</v>
      </c>
      <c r="AJ2767">
        <f>((T2767-X2767)*2)/23.1</f>
        <v>7.82333904468574</v>
      </c>
      <c r="AK2767">
        <f t="shared" si="317"/>
        <v>94184.9669230769</v>
      </c>
    </row>
    <row r="2768" spans="1:37">
      <c r="A2768" t="s">
        <v>2834</v>
      </c>
      <c r="B2768">
        <v>48</v>
      </c>
      <c r="C2768" t="s">
        <v>50</v>
      </c>
      <c r="D2768" t="s">
        <v>60</v>
      </c>
      <c r="E2768">
        <v>947</v>
      </c>
      <c r="F2768">
        <v>46</v>
      </c>
      <c r="G2768">
        <v>12</v>
      </c>
      <c r="H2768">
        <v>1184.32</v>
      </c>
      <c r="I2768">
        <v>14518.36</v>
      </c>
      <c r="J2768">
        <v>77</v>
      </c>
      <c r="K2768">
        <v>0</v>
      </c>
      <c r="L2768">
        <v>24.3</v>
      </c>
      <c r="M2768">
        <v>32.9</v>
      </c>
      <c r="N2768" t="s">
        <v>78</v>
      </c>
      <c r="O2768" t="s">
        <v>47</v>
      </c>
      <c r="P2768" t="s">
        <v>58</v>
      </c>
      <c r="R2768">
        <f>SUMIF(A2768:A7767,"C02767",I2768:I7767)</f>
        <v>14518.36</v>
      </c>
      <c r="S2768" s="1">
        <v>1837.61</v>
      </c>
      <c r="T2768">
        <f t="shared" si="314"/>
        <v>188.55012987013</v>
      </c>
      <c r="U2768">
        <f t="shared" si="315"/>
        <v>2533.3</v>
      </c>
      <c r="V2768">
        <f t="shared" si="313"/>
        <v>211.108333333333</v>
      </c>
      <c r="W2768">
        <f t="shared" si="318"/>
        <v>5234.56</v>
      </c>
      <c r="X2768">
        <f t="shared" si="316"/>
        <v>0.799614968927317</v>
      </c>
      <c r="AH2768" t="str">
        <f t="shared" si="319"/>
        <v>3rd Quality</v>
      </c>
      <c r="AJ2768">
        <f>((T2768-X2768)*2)/24.3</f>
        <v>15.4527172758192</v>
      </c>
      <c r="AK2768">
        <f t="shared" si="317"/>
        <v>178556.972987013</v>
      </c>
    </row>
    <row r="2769" spans="1:37">
      <c r="A2769" t="s">
        <v>2835</v>
      </c>
      <c r="B2769">
        <v>33</v>
      </c>
      <c r="C2769" t="s">
        <v>44</v>
      </c>
      <c r="D2769" t="s">
        <v>45</v>
      </c>
      <c r="E2769">
        <v>550</v>
      </c>
      <c r="F2769">
        <v>46</v>
      </c>
      <c r="G2769">
        <v>2</v>
      </c>
      <c r="H2769">
        <v>1296.48</v>
      </c>
      <c r="I2769">
        <v>2887.56</v>
      </c>
      <c r="J2769">
        <v>22</v>
      </c>
      <c r="K2769">
        <v>0</v>
      </c>
      <c r="L2769">
        <v>19.3</v>
      </c>
      <c r="M2769">
        <v>18.5</v>
      </c>
      <c r="N2769" t="s">
        <v>63</v>
      </c>
      <c r="O2769" t="s">
        <v>47</v>
      </c>
      <c r="P2769" t="s">
        <v>68</v>
      </c>
      <c r="R2769">
        <f>SUMIF(A2769:A7768,"C02768",I2769:I7768)</f>
        <v>2887.56</v>
      </c>
      <c r="S2769" s="1">
        <v>73564.95</v>
      </c>
      <c r="T2769">
        <f t="shared" si="314"/>
        <v>131.252727272727</v>
      </c>
      <c r="U2769">
        <f t="shared" si="315"/>
        <v>407</v>
      </c>
      <c r="V2769">
        <f t="shared" si="313"/>
        <v>33.9166666666667</v>
      </c>
      <c r="W2769">
        <f t="shared" si="318"/>
        <v>1395.01333333333</v>
      </c>
      <c r="X2769">
        <f t="shared" si="316"/>
        <v>0.424225595458472</v>
      </c>
      <c r="AH2769" t="str">
        <f t="shared" si="319"/>
        <v>3rd Quality</v>
      </c>
      <c r="AJ2769">
        <f>((T2769-X2769)*2)/19.3</f>
        <v>13.5573576867636</v>
      </c>
      <c r="AK2769">
        <f t="shared" si="317"/>
        <v>72189</v>
      </c>
    </row>
    <row r="2770" spans="1:37">
      <c r="A2770" t="s">
        <v>2836</v>
      </c>
      <c r="B2770">
        <v>40</v>
      </c>
      <c r="C2770" t="s">
        <v>44</v>
      </c>
      <c r="D2770" t="s">
        <v>51</v>
      </c>
      <c r="E2770">
        <v>416</v>
      </c>
      <c r="F2770">
        <v>7</v>
      </c>
      <c r="G2770">
        <v>4</v>
      </c>
      <c r="H2770">
        <v>1518.88</v>
      </c>
      <c r="I2770">
        <v>5853.84</v>
      </c>
      <c r="J2770">
        <v>34</v>
      </c>
      <c r="K2770">
        <v>0</v>
      </c>
      <c r="L2770">
        <v>29.4</v>
      </c>
      <c r="M2770">
        <v>54.2</v>
      </c>
      <c r="N2770" t="s">
        <v>81</v>
      </c>
      <c r="O2770" t="s">
        <v>47</v>
      </c>
      <c r="P2770" t="s">
        <v>58</v>
      </c>
      <c r="R2770">
        <f>SUMIF(A2770:A7769,"C02769",I2770:I7769)</f>
        <v>5853.84</v>
      </c>
      <c r="S2770" s="1">
        <v>2454.71</v>
      </c>
      <c r="T2770">
        <f t="shared" si="314"/>
        <v>172.171764705882</v>
      </c>
      <c r="U2770">
        <f t="shared" si="315"/>
        <v>1842.8</v>
      </c>
      <c r="V2770">
        <f t="shared" ref="V2770:V2833" si="320">U2770/12</f>
        <v>153.566666666667</v>
      </c>
      <c r="W2770">
        <f t="shared" si="318"/>
        <v>2457.90666666667</v>
      </c>
      <c r="X2770">
        <f t="shared" si="316"/>
        <v>0.273886021278837</v>
      </c>
      <c r="AH2770" t="str">
        <f t="shared" si="319"/>
        <v>3rd Quality</v>
      </c>
      <c r="AJ2770">
        <f>((T2770-X2770)*2)/29.4</f>
        <v>11.6937332438506</v>
      </c>
      <c r="AK2770">
        <f t="shared" si="317"/>
        <v>71623.4541176471</v>
      </c>
    </row>
    <row r="2771" spans="1:37">
      <c r="A2771" t="s">
        <v>2837</v>
      </c>
      <c r="B2771">
        <v>29</v>
      </c>
      <c r="C2771" t="s">
        <v>50</v>
      </c>
      <c r="D2771" t="s">
        <v>60</v>
      </c>
      <c r="E2771">
        <v>1234</v>
      </c>
      <c r="F2771">
        <v>133</v>
      </c>
      <c r="G2771">
        <v>1</v>
      </c>
      <c r="H2771">
        <v>1696.15</v>
      </c>
      <c r="I2771">
        <v>1837.61</v>
      </c>
      <c r="J2771">
        <v>14</v>
      </c>
      <c r="K2771">
        <v>0</v>
      </c>
      <c r="L2771">
        <v>20.4</v>
      </c>
      <c r="M2771">
        <v>23.9</v>
      </c>
      <c r="N2771" t="s">
        <v>81</v>
      </c>
      <c r="O2771" t="s">
        <v>53</v>
      </c>
      <c r="P2771" t="s">
        <v>58</v>
      </c>
      <c r="R2771">
        <f>SUMIF(A2771:A7770,"C02770",I2771:I7770)</f>
        <v>1837.61</v>
      </c>
      <c r="S2771" s="1">
        <v>2894.18</v>
      </c>
      <c r="T2771">
        <f t="shared" si="314"/>
        <v>131.257857142857</v>
      </c>
      <c r="U2771">
        <f t="shared" si="315"/>
        <v>334.6</v>
      </c>
      <c r="V2771">
        <f t="shared" si="320"/>
        <v>27.8833333333333</v>
      </c>
      <c r="W2771">
        <f t="shared" si="318"/>
        <v>1178.25333333333</v>
      </c>
      <c r="X2771">
        <f t="shared" si="316"/>
        <v>0.72752999439908</v>
      </c>
      <c r="AH2771" t="str">
        <f t="shared" si="319"/>
        <v>3rd Quality</v>
      </c>
      <c r="AJ2771">
        <f>((T2771-X2771)*2)/20.4</f>
        <v>12.7970908969076</v>
      </c>
      <c r="AK2771">
        <f t="shared" si="317"/>
        <v>161972.195714286</v>
      </c>
    </row>
    <row r="2772" spans="1:37">
      <c r="A2772" t="s">
        <v>2838</v>
      </c>
      <c r="B2772">
        <v>19</v>
      </c>
      <c r="C2772" t="s">
        <v>44</v>
      </c>
      <c r="D2772" t="s">
        <v>51</v>
      </c>
      <c r="E2772">
        <v>997</v>
      </c>
      <c r="F2772">
        <v>13</v>
      </c>
      <c r="G2772">
        <v>27</v>
      </c>
      <c r="H2772">
        <v>2464.83</v>
      </c>
      <c r="I2772">
        <v>73564.95</v>
      </c>
      <c r="J2772">
        <v>89</v>
      </c>
      <c r="K2772">
        <v>0</v>
      </c>
      <c r="L2772">
        <v>3.6</v>
      </c>
      <c r="M2772">
        <v>31.2</v>
      </c>
      <c r="N2772" t="s">
        <v>78</v>
      </c>
      <c r="O2772" t="s">
        <v>47</v>
      </c>
      <c r="P2772" t="s">
        <v>58</v>
      </c>
      <c r="R2772">
        <f>SUMIF(A2772:A7771,"C02771",I2772:I7771)</f>
        <v>73564.95</v>
      </c>
      <c r="S2772" s="1">
        <v>166321.76</v>
      </c>
      <c r="T2772">
        <f t="shared" si="314"/>
        <v>826.572471910112</v>
      </c>
      <c r="U2772">
        <f t="shared" si="315"/>
        <v>2776.8</v>
      </c>
      <c r="V2772">
        <f t="shared" si="320"/>
        <v>231.4</v>
      </c>
      <c r="W2772">
        <f t="shared" si="318"/>
        <v>25343.5933333333</v>
      </c>
      <c r="X2772">
        <f t="shared" si="316"/>
        <v>0.404490370532653</v>
      </c>
      <c r="AH2772" t="str">
        <f t="shared" si="319"/>
        <v>1st Quality</v>
      </c>
      <c r="AJ2772">
        <f>((T2772-X2772)*2)/3.6</f>
        <v>458.982211966433</v>
      </c>
      <c r="AK2772">
        <f t="shared" si="317"/>
        <v>824092.754494382</v>
      </c>
    </row>
    <row r="2773" spans="1:37">
      <c r="A2773" t="s">
        <v>2839</v>
      </c>
      <c r="B2773">
        <v>48</v>
      </c>
      <c r="C2773" t="s">
        <v>50</v>
      </c>
      <c r="D2773" t="s">
        <v>45</v>
      </c>
      <c r="E2773">
        <v>883</v>
      </c>
      <c r="F2773">
        <v>131</v>
      </c>
      <c r="G2773">
        <v>3</v>
      </c>
      <c r="H2773">
        <v>765.52</v>
      </c>
      <c r="I2773">
        <v>2454.71</v>
      </c>
      <c r="J2773">
        <v>29</v>
      </c>
      <c r="K2773">
        <v>0</v>
      </c>
      <c r="L2773">
        <v>23.1</v>
      </c>
      <c r="M2773">
        <v>13.6</v>
      </c>
      <c r="N2773" t="s">
        <v>57</v>
      </c>
      <c r="O2773" t="s">
        <v>47</v>
      </c>
      <c r="P2773" t="s">
        <v>68</v>
      </c>
      <c r="R2773">
        <f>SUMIF(A2773:A7772,"C02772",I2773:I7772)</f>
        <v>2454.71</v>
      </c>
      <c r="S2773" s="1">
        <v>4063.19</v>
      </c>
      <c r="T2773">
        <f t="shared" si="314"/>
        <v>84.6451724137931</v>
      </c>
      <c r="U2773">
        <f t="shared" si="315"/>
        <v>394.4</v>
      </c>
      <c r="V2773">
        <f t="shared" si="320"/>
        <v>32.8666666666667</v>
      </c>
      <c r="W2773">
        <f t="shared" si="318"/>
        <v>1073.74333333333</v>
      </c>
      <c r="X2773">
        <f t="shared" si="316"/>
        <v>1.15346431184032</v>
      </c>
      <c r="AH2773" t="str">
        <f t="shared" si="319"/>
        <v>3rd Quality</v>
      </c>
      <c r="AJ2773">
        <f>((T2773-X2773)*2)/23.1</f>
        <v>7.22871931618639</v>
      </c>
      <c r="AK2773">
        <f t="shared" si="317"/>
        <v>74741.6872413793</v>
      </c>
    </row>
    <row r="2774" spans="1:37">
      <c r="A2774" t="s">
        <v>2840</v>
      </c>
      <c r="B2774">
        <v>35</v>
      </c>
      <c r="C2774" t="s">
        <v>44</v>
      </c>
      <c r="D2774" t="s">
        <v>45</v>
      </c>
      <c r="E2774">
        <v>919</v>
      </c>
      <c r="F2774">
        <v>365</v>
      </c>
      <c r="G2774">
        <v>1</v>
      </c>
      <c r="H2774">
        <v>2832.03</v>
      </c>
      <c r="I2774">
        <v>2894.18</v>
      </c>
      <c r="J2774">
        <v>7</v>
      </c>
      <c r="K2774">
        <v>0</v>
      </c>
      <c r="L2774">
        <v>16.5</v>
      </c>
      <c r="M2774">
        <v>18</v>
      </c>
      <c r="N2774" t="s">
        <v>63</v>
      </c>
      <c r="O2774" t="s">
        <v>75</v>
      </c>
      <c r="P2774" t="s">
        <v>58</v>
      </c>
      <c r="R2774">
        <f>SUMIF(A2774:A7773,"C02773",I2774:I7773)</f>
        <v>2894.18</v>
      </c>
      <c r="S2774" s="1">
        <v>15166.24</v>
      </c>
      <c r="T2774">
        <f t="shared" ref="T2774:T2837" si="321">I2774/J2774</f>
        <v>413.454285714286</v>
      </c>
      <c r="U2774">
        <f t="shared" si="315"/>
        <v>126</v>
      </c>
      <c r="V2774">
        <f t="shared" si="320"/>
        <v>10.5</v>
      </c>
      <c r="W2774">
        <f t="shared" si="318"/>
        <v>1909.07</v>
      </c>
      <c r="X2774">
        <f t="shared" si="316"/>
        <v>0.32450221219408</v>
      </c>
      <c r="AH2774" t="str">
        <f t="shared" si="319"/>
        <v>3rd Quality</v>
      </c>
      <c r="AJ2774">
        <f>((T2774-X2774)*2)/16.5</f>
        <v>50.076337394193</v>
      </c>
      <c r="AK2774">
        <f t="shared" si="317"/>
        <v>379964.488571429</v>
      </c>
    </row>
    <row r="2775" spans="1:37">
      <c r="A2775" t="s">
        <v>2841</v>
      </c>
      <c r="B2775">
        <v>39</v>
      </c>
      <c r="C2775" t="s">
        <v>50</v>
      </c>
      <c r="D2775" t="s">
        <v>45</v>
      </c>
      <c r="E2775">
        <v>1346</v>
      </c>
      <c r="F2775">
        <v>37</v>
      </c>
      <c r="G2775">
        <v>33</v>
      </c>
      <c r="H2775">
        <v>5291.46</v>
      </c>
      <c r="I2775">
        <v>166321.76</v>
      </c>
      <c r="J2775">
        <v>145</v>
      </c>
      <c r="K2775">
        <v>3</v>
      </c>
      <c r="L2775">
        <v>13</v>
      </c>
      <c r="M2775">
        <v>49.1</v>
      </c>
      <c r="N2775" t="s">
        <v>46</v>
      </c>
      <c r="O2775" t="s">
        <v>47</v>
      </c>
      <c r="P2775" t="s">
        <v>58</v>
      </c>
      <c r="R2775">
        <f>SUMIF(A2775:A7774,"C02774",I2775:I7774)</f>
        <v>166321.76</v>
      </c>
      <c r="S2775" s="1">
        <v>47712.95</v>
      </c>
      <c r="T2775">
        <f t="shared" si="321"/>
        <v>1147.04662068966</v>
      </c>
      <c r="U2775">
        <f t="shared" si="315"/>
        <v>7119.5</v>
      </c>
      <c r="V2775">
        <f>U2775</f>
        <v>7119.5</v>
      </c>
      <c r="W2775">
        <f t="shared" si="318"/>
        <v>57204.74</v>
      </c>
      <c r="X2775">
        <f t="shared" si="316"/>
        <v>0.254372139258352</v>
      </c>
      <c r="AH2775" t="str">
        <f t="shared" si="319"/>
        <v>2nd Quality</v>
      </c>
      <c r="AJ2775">
        <f>((T2775-X2775)*2)/13</f>
        <v>176.429576700062</v>
      </c>
      <c r="AK2775">
        <f t="shared" si="317"/>
        <v>1543924.75144828</v>
      </c>
    </row>
    <row r="2776" spans="1:37">
      <c r="A2776" t="s">
        <v>2842</v>
      </c>
      <c r="B2776">
        <v>18</v>
      </c>
      <c r="C2776" t="s">
        <v>50</v>
      </c>
      <c r="D2776" t="s">
        <v>51</v>
      </c>
      <c r="E2776">
        <v>868</v>
      </c>
      <c r="F2776">
        <v>89</v>
      </c>
      <c r="G2776">
        <v>5</v>
      </c>
      <c r="H2776">
        <v>915.12</v>
      </c>
      <c r="I2776">
        <v>4063.19</v>
      </c>
      <c r="J2776">
        <v>26</v>
      </c>
      <c r="K2776">
        <v>2</v>
      </c>
      <c r="L2776">
        <v>25</v>
      </c>
      <c r="M2776">
        <v>5.2</v>
      </c>
      <c r="N2776" t="s">
        <v>81</v>
      </c>
      <c r="O2776" t="s">
        <v>47</v>
      </c>
      <c r="P2776" t="s">
        <v>54</v>
      </c>
      <c r="R2776">
        <f>SUMIF(A2776:A7775,"C02775",I2776:I7775)</f>
        <v>4063.19</v>
      </c>
      <c r="S2776" s="1">
        <v>55203.68</v>
      </c>
      <c r="T2776">
        <f t="shared" si="321"/>
        <v>156.276538461538</v>
      </c>
      <c r="U2776">
        <f t="shared" si="315"/>
        <v>135.2</v>
      </c>
      <c r="V2776">
        <f>U2776</f>
        <v>135.2</v>
      </c>
      <c r="W2776">
        <f t="shared" si="318"/>
        <v>1659.77</v>
      </c>
      <c r="X2776">
        <f t="shared" si="316"/>
        <v>0.948509485094851</v>
      </c>
      <c r="AH2776" t="str">
        <f t="shared" si="319"/>
        <v>3rd Quality</v>
      </c>
      <c r="AJ2776">
        <f>((T2776-X2776)*2)/25</f>
        <v>12.4262423181155</v>
      </c>
      <c r="AK2776">
        <f t="shared" si="317"/>
        <v>135648.035384615</v>
      </c>
    </row>
    <row r="2777" spans="1:37">
      <c r="A2777" t="s">
        <v>2843</v>
      </c>
      <c r="B2777">
        <v>35</v>
      </c>
      <c r="C2777" t="s">
        <v>50</v>
      </c>
      <c r="D2777" t="s">
        <v>60</v>
      </c>
      <c r="E2777">
        <v>968</v>
      </c>
      <c r="F2777">
        <v>29</v>
      </c>
      <c r="G2777">
        <v>13</v>
      </c>
      <c r="H2777">
        <v>1103.95</v>
      </c>
      <c r="I2777">
        <v>15166.24</v>
      </c>
      <c r="J2777">
        <v>98</v>
      </c>
      <c r="K2777">
        <v>0</v>
      </c>
      <c r="L2777">
        <v>23.7</v>
      </c>
      <c r="M2777">
        <v>50.6</v>
      </c>
      <c r="N2777" t="s">
        <v>78</v>
      </c>
      <c r="O2777" t="s">
        <v>47</v>
      </c>
      <c r="P2777" t="s">
        <v>58</v>
      </c>
      <c r="R2777">
        <f>SUMIF(A2777:A7776,"C02776",I2777:I7776)</f>
        <v>15166.24</v>
      </c>
      <c r="S2777" s="1">
        <v>5524.62</v>
      </c>
      <c r="T2777">
        <f t="shared" si="321"/>
        <v>154.757551020408</v>
      </c>
      <c r="U2777">
        <f t="shared" si="315"/>
        <v>4958.8</v>
      </c>
      <c r="V2777">
        <f t="shared" si="320"/>
        <v>413.233333333333</v>
      </c>
      <c r="W2777">
        <f t="shared" si="318"/>
        <v>5423.73</v>
      </c>
      <c r="X2777">
        <f t="shared" si="316"/>
        <v>0.876851306671498</v>
      </c>
      <c r="AH2777" t="str">
        <f t="shared" si="319"/>
        <v>3rd Quality</v>
      </c>
      <c r="AJ2777">
        <f>((T2777-X2777)*2)/23.7</f>
        <v>12.9857130560115</v>
      </c>
      <c r="AK2777">
        <f t="shared" si="317"/>
        <v>149805.309387755</v>
      </c>
    </row>
    <row r="2778" spans="1:37">
      <c r="A2778" t="s">
        <v>2844</v>
      </c>
      <c r="B2778">
        <v>20</v>
      </c>
      <c r="C2778" t="s">
        <v>44</v>
      </c>
      <c r="D2778" t="s">
        <v>45</v>
      </c>
      <c r="E2778">
        <v>932</v>
      </c>
      <c r="F2778">
        <v>31</v>
      </c>
      <c r="G2778">
        <v>3</v>
      </c>
      <c r="H2778">
        <v>14335.55</v>
      </c>
      <c r="I2778">
        <v>47712.95</v>
      </c>
      <c r="J2778">
        <v>21</v>
      </c>
      <c r="K2778">
        <v>0</v>
      </c>
      <c r="L2778">
        <v>0</v>
      </c>
      <c r="M2778">
        <v>52.1</v>
      </c>
      <c r="N2778" t="s">
        <v>61</v>
      </c>
      <c r="O2778" t="s">
        <v>47</v>
      </c>
      <c r="P2778" t="s">
        <v>68</v>
      </c>
      <c r="R2778">
        <f>SUMIF(A2778:A7777,"C02777",I2778:I7777)</f>
        <v>47712.95</v>
      </c>
      <c r="S2778" s="1">
        <v>82955.77</v>
      </c>
      <c r="T2778">
        <f t="shared" si="321"/>
        <v>2272.04523809524</v>
      </c>
      <c r="U2778">
        <f t="shared" si="315"/>
        <v>1094.1</v>
      </c>
      <c r="V2778">
        <f t="shared" si="320"/>
        <v>91.175</v>
      </c>
      <c r="W2778">
        <f t="shared" si="318"/>
        <v>20683.1666666667</v>
      </c>
      <c r="X2778">
        <f t="shared" si="316"/>
        <v>0.065013201446753</v>
      </c>
      <c r="AH2778" t="str">
        <f t="shared" si="319"/>
        <v>1st Quality</v>
      </c>
      <c r="AJ2778">
        <f>((T2778-X2778)*2)</f>
        <v>4543.96044978759</v>
      </c>
      <c r="AK2778">
        <f t="shared" si="317"/>
        <v>2117546.16190476</v>
      </c>
    </row>
    <row r="2779" spans="1:37">
      <c r="A2779" t="s">
        <v>2845</v>
      </c>
      <c r="B2779">
        <v>52</v>
      </c>
      <c r="C2779" t="s">
        <v>44</v>
      </c>
      <c r="D2779" t="s">
        <v>45</v>
      </c>
      <c r="E2779">
        <v>1278</v>
      </c>
      <c r="F2779">
        <v>21</v>
      </c>
      <c r="G2779">
        <v>3</v>
      </c>
      <c r="H2779">
        <v>17601.97</v>
      </c>
      <c r="I2779">
        <v>55203.68</v>
      </c>
      <c r="J2779">
        <v>21</v>
      </c>
      <c r="K2779">
        <v>0</v>
      </c>
      <c r="L2779">
        <v>7.9</v>
      </c>
      <c r="M2779">
        <v>13</v>
      </c>
      <c r="N2779" t="s">
        <v>57</v>
      </c>
      <c r="O2779" t="s">
        <v>47</v>
      </c>
      <c r="P2779" t="s">
        <v>58</v>
      </c>
      <c r="R2779">
        <f>SUMIF(A2779:A7778,"C02778",I2779:I7778)</f>
        <v>55203.68</v>
      </c>
      <c r="S2779" s="1">
        <v>154798.56</v>
      </c>
      <c r="T2779">
        <f t="shared" si="321"/>
        <v>2628.74666666667</v>
      </c>
      <c r="U2779">
        <f t="shared" si="315"/>
        <v>273</v>
      </c>
      <c r="V2779">
        <f t="shared" si="320"/>
        <v>22.75</v>
      </c>
      <c r="W2779">
        <f t="shared" si="318"/>
        <v>24268.8833333333</v>
      </c>
      <c r="X2779">
        <f t="shared" si="316"/>
        <v>0.0726055094969483</v>
      </c>
      <c r="AH2779" t="str">
        <f t="shared" si="319"/>
        <v>3rd Quality</v>
      </c>
      <c r="AJ2779">
        <f>((T2779-X2779)*2)/7.9</f>
        <v>665.487104090424</v>
      </c>
      <c r="AK2779">
        <f t="shared" si="317"/>
        <v>3359538.24</v>
      </c>
    </row>
    <row r="2780" spans="1:37">
      <c r="A2780" t="s">
        <v>2846</v>
      </c>
      <c r="B2780">
        <v>38</v>
      </c>
      <c r="C2780" t="s">
        <v>56</v>
      </c>
      <c r="D2780" t="s">
        <v>51</v>
      </c>
      <c r="E2780">
        <v>614</v>
      </c>
      <c r="F2780">
        <v>12</v>
      </c>
      <c r="G2780">
        <v>8</v>
      </c>
      <c r="H2780">
        <v>777.07</v>
      </c>
      <c r="I2780">
        <v>5524.62</v>
      </c>
      <c r="J2780">
        <v>25</v>
      </c>
      <c r="K2780">
        <v>0</v>
      </c>
      <c r="L2780">
        <v>9.3</v>
      </c>
      <c r="M2780">
        <v>4.9</v>
      </c>
      <c r="N2780" t="s">
        <v>63</v>
      </c>
      <c r="O2780" t="s">
        <v>53</v>
      </c>
      <c r="P2780" t="s">
        <v>68</v>
      </c>
      <c r="R2780">
        <f>SUMIF(A2780:A7779,"C02779",I2780:I7779)</f>
        <v>5524.62</v>
      </c>
      <c r="S2780" s="1">
        <v>99286.89</v>
      </c>
      <c r="T2780">
        <f t="shared" si="321"/>
        <v>220.9848</v>
      </c>
      <c r="U2780">
        <f t="shared" si="315"/>
        <v>122.5</v>
      </c>
      <c r="V2780">
        <f t="shared" si="320"/>
        <v>10.2083333333333</v>
      </c>
      <c r="W2780">
        <f t="shared" si="318"/>
        <v>2100.89666666667</v>
      </c>
      <c r="X2780">
        <f t="shared" si="316"/>
        <v>0.790147605749804</v>
      </c>
      <c r="AH2780" t="str">
        <f t="shared" si="319"/>
        <v>3rd Quality</v>
      </c>
      <c r="AJ2780">
        <f>((T2780-X2780)*2)/9.3</f>
        <v>47.3536886869355</v>
      </c>
      <c r="AK2780">
        <f t="shared" si="317"/>
        <v>135684.6672</v>
      </c>
    </row>
    <row r="2781" spans="1:37">
      <c r="A2781" t="s">
        <v>2847</v>
      </c>
      <c r="B2781">
        <v>41</v>
      </c>
      <c r="C2781" t="s">
        <v>56</v>
      </c>
      <c r="D2781" t="s">
        <v>45</v>
      </c>
      <c r="E2781">
        <v>423</v>
      </c>
      <c r="F2781">
        <v>3</v>
      </c>
      <c r="G2781">
        <v>31</v>
      </c>
      <c r="H2781">
        <v>2929.49</v>
      </c>
      <c r="I2781">
        <v>82955.77</v>
      </c>
      <c r="J2781">
        <v>253</v>
      </c>
      <c r="K2781">
        <v>1</v>
      </c>
      <c r="L2781">
        <v>11.2</v>
      </c>
      <c r="M2781">
        <v>13.7</v>
      </c>
      <c r="N2781" t="s">
        <v>52</v>
      </c>
      <c r="O2781" t="s">
        <v>75</v>
      </c>
      <c r="P2781" t="s">
        <v>66</v>
      </c>
      <c r="R2781">
        <f>SUMIF(A2781:A7780,"C02780",I2781:I7780)</f>
        <v>82955.77</v>
      </c>
      <c r="S2781" s="1">
        <v>63937.74</v>
      </c>
      <c r="T2781">
        <f t="shared" si="321"/>
        <v>327.888418972332</v>
      </c>
      <c r="U2781">
        <f t="shared" si="315"/>
        <v>3466.1</v>
      </c>
      <c r="V2781">
        <f>U2781</f>
        <v>3466.1</v>
      </c>
      <c r="W2781">
        <f t="shared" si="318"/>
        <v>28628.7533333333</v>
      </c>
      <c r="X2781">
        <f t="shared" si="316"/>
        <v>0.144393734062926</v>
      </c>
      <c r="AH2781" t="str">
        <f t="shared" si="319"/>
        <v>3rd Quality</v>
      </c>
      <c r="AJ2781">
        <f>((T2781-X2781)*2)/11.2</f>
        <v>58.525718792548</v>
      </c>
      <c r="AK2781">
        <f t="shared" si="317"/>
        <v>138696.801225296</v>
      </c>
    </row>
    <row r="2782" spans="1:37">
      <c r="A2782" t="s">
        <v>2848</v>
      </c>
      <c r="B2782">
        <v>18</v>
      </c>
      <c r="C2782" t="s">
        <v>50</v>
      </c>
      <c r="D2782" t="s">
        <v>51</v>
      </c>
      <c r="E2782">
        <v>1415</v>
      </c>
      <c r="F2782">
        <v>8</v>
      </c>
      <c r="G2782">
        <v>32</v>
      </c>
      <c r="H2782">
        <v>4965.01</v>
      </c>
      <c r="I2782">
        <v>154798.56</v>
      </c>
      <c r="J2782">
        <v>138</v>
      </c>
      <c r="K2782">
        <v>4</v>
      </c>
      <c r="L2782">
        <v>15.2</v>
      </c>
      <c r="M2782">
        <v>49.9</v>
      </c>
      <c r="N2782" t="s">
        <v>46</v>
      </c>
      <c r="O2782" t="s">
        <v>47</v>
      </c>
      <c r="P2782" t="s">
        <v>58</v>
      </c>
      <c r="R2782">
        <f>SUMIF(A2782:A7781,"C02781",I2782:I7781)</f>
        <v>154798.56</v>
      </c>
      <c r="S2782" s="1">
        <v>12466.01</v>
      </c>
      <c r="T2782">
        <f t="shared" si="321"/>
        <v>1121.72869565217</v>
      </c>
      <c r="U2782">
        <f t="shared" si="315"/>
        <v>6886.2</v>
      </c>
      <c r="V2782">
        <f>U2782</f>
        <v>6886.2</v>
      </c>
      <c r="W2782">
        <f t="shared" si="318"/>
        <v>53254.8566666667</v>
      </c>
      <c r="X2782">
        <f t="shared" si="316"/>
        <v>0.284994390746444</v>
      </c>
      <c r="AH2782" t="str">
        <f t="shared" si="319"/>
        <v>1st Quality</v>
      </c>
      <c r="AJ2782">
        <f>((T2782-X2782)*2)/15.2</f>
        <v>147.558381744924</v>
      </c>
      <c r="AK2782">
        <f t="shared" si="317"/>
        <v>1587246.10434783</v>
      </c>
    </row>
    <row r="2783" spans="1:37">
      <c r="A2783" t="s">
        <v>2849</v>
      </c>
      <c r="B2783">
        <v>43</v>
      </c>
      <c r="C2783" t="s">
        <v>50</v>
      </c>
      <c r="D2783" t="s">
        <v>51</v>
      </c>
      <c r="E2783">
        <v>848</v>
      </c>
      <c r="F2783">
        <v>24</v>
      </c>
      <c r="G2783">
        <v>27</v>
      </c>
      <c r="H2783">
        <v>3290.85</v>
      </c>
      <c r="I2783">
        <v>99286.89</v>
      </c>
      <c r="J2783">
        <v>60</v>
      </c>
      <c r="K2783">
        <v>2</v>
      </c>
      <c r="L2783">
        <v>7.8</v>
      </c>
      <c r="M2783">
        <v>7.6</v>
      </c>
      <c r="N2783" t="s">
        <v>52</v>
      </c>
      <c r="O2783" t="s">
        <v>47</v>
      </c>
      <c r="P2783" t="s">
        <v>68</v>
      </c>
      <c r="R2783">
        <f>SUMIF(A2783:A7782,"C02782",I2783:I7782)</f>
        <v>99286.89</v>
      </c>
      <c r="S2783" s="1">
        <v>67138.96</v>
      </c>
      <c r="T2783">
        <f t="shared" si="321"/>
        <v>1654.7815</v>
      </c>
      <c r="U2783">
        <f t="shared" si="315"/>
        <v>456</v>
      </c>
      <c r="V2783">
        <f>U2783</f>
        <v>456</v>
      </c>
      <c r="W2783">
        <f t="shared" si="318"/>
        <v>34192.9133333333</v>
      </c>
      <c r="X2783">
        <f t="shared" si="316"/>
        <v>0.257684184937022</v>
      </c>
      <c r="AH2783" t="str">
        <f t="shared" si="319"/>
        <v>2nd Quality</v>
      </c>
      <c r="AJ2783">
        <f>((T2783-X2783)*2)/7.8</f>
        <v>424.236875850016</v>
      </c>
      <c r="AK2783">
        <f t="shared" si="317"/>
        <v>1403254.712</v>
      </c>
    </row>
    <row r="2784" spans="1:37">
      <c r="A2784" t="s">
        <v>2850</v>
      </c>
      <c r="B2784">
        <v>35</v>
      </c>
      <c r="C2784" t="s">
        <v>44</v>
      </c>
      <c r="D2784" t="s">
        <v>51</v>
      </c>
      <c r="E2784">
        <v>999</v>
      </c>
      <c r="F2784">
        <v>20</v>
      </c>
      <c r="G2784">
        <v>9</v>
      </c>
      <c r="H2784">
        <v>7890.26</v>
      </c>
      <c r="I2784">
        <v>63937.74</v>
      </c>
      <c r="J2784">
        <v>32</v>
      </c>
      <c r="K2784">
        <v>0</v>
      </c>
      <c r="L2784">
        <v>9.9</v>
      </c>
      <c r="M2784">
        <v>27.6</v>
      </c>
      <c r="N2784" t="s">
        <v>63</v>
      </c>
      <c r="O2784" t="s">
        <v>47</v>
      </c>
      <c r="P2784" t="s">
        <v>68</v>
      </c>
      <c r="R2784">
        <f>SUMIF(A2784:A7783,"C02783",I2784:I7783)</f>
        <v>63937.74</v>
      </c>
      <c r="S2784" s="1">
        <v>2009.37</v>
      </c>
      <c r="T2784">
        <f t="shared" si="321"/>
        <v>1998.054375</v>
      </c>
      <c r="U2784">
        <f t="shared" si="315"/>
        <v>883.2</v>
      </c>
      <c r="V2784">
        <f t="shared" si="320"/>
        <v>73.6</v>
      </c>
      <c r="W2784">
        <f t="shared" si="318"/>
        <v>23943</v>
      </c>
      <c r="X2784">
        <f t="shared" si="316"/>
        <v>0.126611797329873</v>
      </c>
      <c r="AH2784" t="str">
        <f t="shared" si="319"/>
        <v>2nd Quality</v>
      </c>
      <c r="AJ2784">
        <f>((T2784-X2784)*2)/9.9</f>
        <v>403.621770343974</v>
      </c>
      <c r="AK2784">
        <f t="shared" si="317"/>
        <v>1996056.320625</v>
      </c>
    </row>
    <row r="2785" spans="1:37">
      <c r="A2785" t="s">
        <v>2851</v>
      </c>
      <c r="B2785">
        <v>45</v>
      </c>
      <c r="C2785" t="s">
        <v>50</v>
      </c>
      <c r="D2785" t="s">
        <v>51</v>
      </c>
      <c r="E2785">
        <v>827</v>
      </c>
      <c r="F2785">
        <v>56</v>
      </c>
      <c r="G2785">
        <v>9</v>
      </c>
      <c r="H2785">
        <v>1448.42</v>
      </c>
      <c r="I2785">
        <v>12466.01</v>
      </c>
      <c r="J2785">
        <v>72</v>
      </c>
      <c r="K2785">
        <v>0</v>
      </c>
      <c r="L2785">
        <v>23.7</v>
      </c>
      <c r="M2785">
        <v>70</v>
      </c>
      <c r="N2785" t="s">
        <v>61</v>
      </c>
      <c r="O2785" t="s">
        <v>47</v>
      </c>
      <c r="P2785" t="s">
        <v>58</v>
      </c>
      <c r="R2785">
        <f>SUMIF(A2785:A7784,"C02784",I2785:I7784)</f>
        <v>12466.01</v>
      </c>
      <c r="S2785" s="1">
        <v>4794.56</v>
      </c>
      <c r="T2785">
        <f t="shared" si="321"/>
        <v>173.139027777778</v>
      </c>
      <c r="U2785">
        <f t="shared" si="315"/>
        <v>5040</v>
      </c>
      <c r="V2785">
        <f t="shared" si="320"/>
        <v>420</v>
      </c>
      <c r="W2785">
        <f t="shared" si="318"/>
        <v>4638.47666666667</v>
      </c>
      <c r="X2785">
        <f t="shared" si="316"/>
        <v>0.570966984714378</v>
      </c>
      <c r="AH2785" t="str">
        <f t="shared" si="319"/>
        <v>3rd Quality</v>
      </c>
      <c r="AJ2785">
        <f>((T2785-X2785)*2)/23.7</f>
        <v>14.5627055521573</v>
      </c>
      <c r="AK2785">
        <f t="shared" si="317"/>
        <v>143185.975972222</v>
      </c>
    </row>
    <row r="2786" spans="1:37">
      <c r="A2786" t="s">
        <v>2852</v>
      </c>
      <c r="B2786">
        <v>42</v>
      </c>
      <c r="C2786" t="s">
        <v>50</v>
      </c>
      <c r="D2786" t="s">
        <v>60</v>
      </c>
      <c r="E2786">
        <v>691</v>
      </c>
      <c r="F2786">
        <v>21</v>
      </c>
      <c r="G2786">
        <v>18</v>
      </c>
      <c r="H2786">
        <v>3684.07</v>
      </c>
      <c r="I2786">
        <v>67138.96</v>
      </c>
      <c r="J2786">
        <v>43</v>
      </c>
      <c r="K2786">
        <v>0</v>
      </c>
      <c r="L2786">
        <v>0</v>
      </c>
      <c r="M2786">
        <v>41.4</v>
      </c>
      <c r="N2786" t="s">
        <v>63</v>
      </c>
      <c r="O2786" t="s">
        <v>53</v>
      </c>
      <c r="P2786" t="s">
        <v>68</v>
      </c>
      <c r="R2786">
        <f>SUMIF(A2786:A7785,"C02785",I2786:I7785)</f>
        <v>67138.96</v>
      </c>
      <c r="S2786" s="1">
        <v>58754.46</v>
      </c>
      <c r="T2786">
        <f t="shared" si="321"/>
        <v>1561.3711627907</v>
      </c>
      <c r="U2786">
        <f t="shared" ref="U2786:U2849" si="322">J2786*M2786</f>
        <v>1780.2</v>
      </c>
      <c r="V2786">
        <f t="shared" si="320"/>
        <v>148.35</v>
      </c>
      <c r="W2786">
        <f t="shared" si="318"/>
        <v>23608.01</v>
      </c>
      <c r="X2786">
        <f t="shared" si="316"/>
        <v>0.187564297095332</v>
      </c>
      <c r="AH2786" t="str">
        <f t="shared" si="319"/>
        <v>2nd Quality</v>
      </c>
      <c r="AJ2786">
        <f>((T2786-X2786)*2)</f>
        <v>3122.36719698721</v>
      </c>
      <c r="AK2786">
        <f t="shared" si="317"/>
        <v>1078907.47348837</v>
      </c>
    </row>
    <row r="2787" spans="1:37">
      <c r="A2787" t="s">
        <v>2853</v>
      </c>
      <c r="B2787">
        <v>51</v>
      </c>
      <c r="C2787" t="s">
        <v>44</v>
      </c>
      <c r="D2787" t="s">
        <v>45</v>
      </c>
      <c r="E2787">
        <v>581</v>
      </c>
      <c r="F2787">
        <v>145</v>
      </c>
      <c r="G2787">
        <v>4</v>
      </c>
      <c r="H2787">
        <v>553.93</v>
      </c>
      <c r="I2787">
        <v>2009.37</v>
      </c>
      <c r="J2787">
        <v>33</v>
      </c>
      <c r="K2787">
        <v>0</v>
      </c>
      <c r="L2787">
        <v>20.7</v>
      </c>
      <c r="M2787">
        <v>17.5</v>
      </c>
      <c r="N2787" t="s">
        <v>46</v>
      </c>
      <c r="O2787" t="s">
        <v>75</v>
      </c>
      <c r="P2787" t="s">
        <v>54</v>
      </c>
      <c r="R2787">
        <f>SUMIF(A2787:A7786,"C02786",I2787:I7786)</f>
        <v>2009.37</v>
      </c>
      <c r="S2787" s="1">
        <v>1411.67</v>
      </c>
      <c r="T2787">
        <f t="shared" si="321"/>
        <v>60.89</v>
      </c>
      <c r="U2787">
        <f t="shared" si="322"/>
        <v>577.5</v>
      </c>
      <c r="V2787">
        <f t="shared" si="320"/>
        <v>48.125</v>
      </c>
      <c r="W2787">
        <f t="shared" si="318"/>
        <v>854.766666666667</v>
      </c>
      <c r="X2787">
        <f t="shared" si="316"/>
        <v>1.04886899066669</v>
      </c>
      <c r="AH2787" t="str">
        <f t="shared" si="319"/>
        <v>3rd Quality</v>
      </c>
      <c r="AJ2787">
        <f>((T2787-X2787)*2)/20.7</f>
        <v>5.78175178834138</v>
      </c>
      <c r="AK2787">
        <f t="shared" si="317"/>
        <v>35377.09</v>
      </c>
    </row>
    <row r="2788" spans="1:37">
      <c r="A2788" t="s">
        <v>2854</v>
      </c>
      <c r="B2788">
        <v>31</v>
      </c>
      <c r="C2788" t="s">
        <v>44</v>
      </c>
      <c r="D2788" t="s">
        <v>60</v>
      </c>
      <c r="E2788">
        <v>1109</v>
      </c>
      <c r="F2788">
        <v>157</v>
      </c>
      <c r="G2788">
        <v>6</v>
      </c>
      <c r="H2788">
        <v>879.84</v>
      </c>
      <c r="I2788">
        <v>4794.56</v>
      </c>
      <c r="J2788">
        <v>36</v>
      </c>
      <c r="K2788">
        <v>0</v>
      </c>
      <c r="L2788">
        <v>26.5</v>
      </c>
      <c r="M2788">
        <v>46</v>
      </c>
      <c r="N2788" t="s">
        <v>57</v>
      </c>
      <c r="O2788" t="s">
        <v>47</v>
      </c>
      <c r="P2788" t="s">
        <v>48</v>
      </c>
      <c r="R2788">
        <f>SUMIF(A2788:A7787,"C02787",I2788:I7787)</f>
        <v>4794.56</v>
      </c>
      <c r="S2788" s="1">
        <v>12382.17</v>
      </c>
      <c r="T2788">
        <f t="shared" si="321"/>
        <v>133.182222222222</v>
      </c>
      <c r="U2788">
        <f t="shared" si="322"/>
        <v>1656</v>
      </c>
      <c r="V2788">
        <f t="shared" si="320"/>
        <v>138</v>
      </c>
      <c r="W2788">
        <f t="shared" si="318"/>
        <v>1891.8</v>
      </c>
      <c r="X2788">
        <f t="shared" si="316"/>
        <v>1.26045644662666</v>
      </c>
      <c r="AH2788" t="str">
        <f t="shared" si="319"/>
        <v>3rd Quality</v>
      </c>
      <c r="AJ2788">
        <f>((T2788-X2788)*2)/26.5</f>
        <v>9.95635968117701</v>
      </c>
      <c r="AK2788">
        <f t="shared" si="317"/>
        <v>147699.084444444</v>
      </c>
    </row>
    <row r="2789" spans="1:37">
      <c r="A2789" t="s">
        <v>2855</v>
      </c>
      <c r="B2789">
        <v>43</v>
      </c>
      <c r="C2789" t="s">
        <v>50</v>
      </c>
      <c r="D2789" t="s">
        <v>45</v>
      </c>
      <c r="E2789">
        <v>982</v>
      </c>
      <c r="F2789">
        <v>10</v>
      </c>
      <c r="G2789">
        <v>6</v>
      </c>
      <c r="H2789">
        <v>10923.09</v>
      </c>
      <c r="I2789">
        <v>58754.46</v>
      </c>
      <c r="J2789">
        <v>47</v>
      </c>
      <c r="K2789">
        <v>0</v>
      </c>
      <c r="L2789">
        <v>5</v>
      </c>
      <c r="M2789">
        <v>58.9</v>
      </c>
      <c r="N2789" t="s">
        <v>52</v>
      </c>
      <c r="O2789" t="s">
        <v>75</v>
      </c>
      <c r="P2789" t="s">
        <v>68</v>
      </c>
      <c r="R2789">
        <f>SUMIF(A2789:A7788,"C02788",I2789:I7788)</f>
        <v>58754.46</v>
      </c>
      <c r="S2789" s="1">
        <v>3081.47</v>
      </c>
      <c r="T2789">
        <f t="shared" si="321"/>
        <v>1250.09489361702</v>
      </c>
      <c r="U2789">
        <f t="shared" si="322"/>
        <v>2768.3</v>
      </c>
      <c r="V2789">
        <f t="shared" si="320"/>
        <v>230.691666666667</v>
      </c>
      <c r="W2789">
        <f t="shared" si="318"/>
        <v>23226.1833333333</v>
      </c>
      <c r="X2789">
        <f t="shared" si="316"/>
        <v>0.0899013008223863</v>
      </c>
      <c r="AH2789" t="str">
        <f t="shared" si="319"/>
        <v>2nd Quality</v>
      </c>
      <c r="AJ2789">
        <f>((T2789-X2789)*2)/5</f>
        <v>500.001996926479</v>
      </c>
      <c r="AK2789">
        <f t="shared" si="317"/>
        <v>1227593.18553191</v>
      </c>
    </row>
    <row r="2790" spans="1:37">
      <c r="A2790" t="s">
        <v>2856</v>
      </c>
      <c r="B2790">
        <v>34</v>
      </c>
      <c r="C2790" t="s">
        <v>44</v>
      </c>
      <c r="D2790" t="s">
        <v>60</v>
      </c>
      <c r="E2790">
        <v>1051</v>
      </c>
      <c r="F2790">
        <v>163</v>
      </c>
      <c r="G2790">
        <v>1</v>
      </c>
      <c r="H2790">
        <v>1410.73</v>
      </c>
      <c r="I2790">
        <v>1411.67</v>
      </c>
      <c r="J2790">
        <v>15</v>
      </c>
      <c r="K2790">
        <v>0</v>
      </c>
      <c r="L2790">
        <v>11.5</v>
      </c>
      <c r="M2790">
        <v>48.7</v>
      </c>
      <c r="N2790" t="s">
        <v>81</v>
      </c>
      <c r="O2790" t="s">
        <v>47</v>
      </c>
      <c r="P2790" t="s">
        <v>68</v>
      </c>
      <c r="R2790">
        <f>SUMIF(A2790:A7789,"C02789",I2790:I7789)</f>
        <v>1411.67</v>
      </c>
      <c r="S2790" s="1">
        <v>68623.11</v>
      </c>
      <c r="T2790">
        <f t="shared" si="321"/>
        <v>94.1113333333333</v>
      </c>
      <c r="U2790">
        <f t="shared" si="322"/>
        <v>730.5</v>
      </c>
      <c r="V2790">
        <f t="shared" si="320"/>
        <v>60.875</v>
      </c>
      <c r="W2790">
        <f t="shared" si="318"/>
        <v>941.133333333333</v>
      </c>
      <c r="X2790">
        <f t="shared" si="316"/>
        <v>0.74500435944511</v>
      </c>
      <c r="AH2790" t="str">
        <f t="shared" si="319"/>
        <v>3rd Quality</v>
      </c>
      <c r="AJ2790">
        <f>((T2790-X2790)*2)/11.5</f>
        <v>16.2376224302414</v>
      </c>
      <c r="AK2790">
        <f t="shared" si="317"/>
        <v>98911.0113333333</v>
      </c>
    </row>
    <row r="2791" spans="1:37">
      <c r="A2791" t="s">
        <v>2857</v>
      </c>
      <c r="B2791">
        <v>21</v>
      </c>
      <c r="C2791" t="s">
        <v>101</v>
      </c>
      <c r="D2791" t="s">
        <v>45</v>
      </c>
      <c r="E2791">
        <v>1188</v>
      </c>
      <c r="F2791">
        <v>8</v>
      </c>
      <c r="G2791">
        <v>13</v>
      </c>
      <c r="H2791">
        <v>1003.91</v>
      </c>
      <c r="I2791">
        <v>12382.17</v>
      </c>
      <c r="J2791">
        <v>60</v>
      </c>
      <c r="K2791">
        <v>2</v>
      </c>
      <c r="L2791">
        <v>13.5</v>
      </c>
      <c r="M2791">
        <v>56</v>
      </c>
      <c r="N2791" t="s">
        <v>46</v>
      </c>
      <c r="O2791" t="s">
        <v>47</v>
      </c>
      <c r="P2791" t="s">
        <v>68</v>
      </c>
      <c r="R2791">
        <f>SUMIF(A2791:A7790,"C02790",I2791:I7790)</f>
        <v>12382.17</v>
      </c>
      <c r="S2791" s="1">
        <v>3717.9</v>
      </c>
      <c r="T2791">
        <f t="shared" si="321"/>
        <v>206.3695</v>
      </c>
      <c r="U2791">
        <f t="shared" si="322"/>
        <v>3360</v>
      </c>
      <c r="V2791">
        <f>U2791</f>
        <v>3360</v>
      </c>
      <c r="W2791">
        <f t="shared" si="318"/>
        <v>4462.36</v>
      </c>
      <c r="X2791">
        <f t="shared" si="316"/>
        <v>1.18337301152494</v>
      </c>
      <c r="AH2791" t="str">
        <f t="shared" si="319"/>
        <v>3rd Quality</v>
      </c>
      <c r="AJ2791">
        <f>((T2791-X2791)*2)/13.5</f>
        <v>30.3979447390333</v>
      </c>
      <c r="AK2791">
        <f t="shared" si="317"/>
        <v>245166.966</v>
      </c>
    </row>
    <row r="2792" spans="1:37">
      <c r="A2792" t="s">
        <v>2858</v>
      </c>
      <c r="B2792">
        <v>38</v>
      </c>
      <c r="C2792" t="s">
        <v>101</v>
      </c>
      <c r="D2792" t="s">
        <v>60</v>
      </c>
      <c r="E2792">
        <v>697</v>
      </c>
      <c r="F2792">
        <v>54</v>
      </c>
      <c r="G2792">
        <v>5</v>
      </c>
      <c r="H2792">
        <v>692.87</v>
      </c>
      <c r="I2792">
        <v>3081.47</v>
      </c>
      <c r="J2792">
        <v>31</v>
      </c>
      <c r="K2792">
        <v>0</v>
      </c>
      <c r="L2792">
        <v>9</v>
      </c>
      <c r="M2792">
        <v>61.4</v>
      </c>
      <c r="N2792" t="s">
        <v>63</v>
      </c>
      <c r="O2792" t="s">
        <v>47</v>
      </c>
      <c r="P2792" t="s">
        <v>48</v>
      </c>
      <c r="R2792">
        <f>SUMIF(A2792:A7791,"C02791",I2792:I7791)</f>
        <v>3081.47</v>
      </c>
      <c r="S2792" s="1">
        <v>1217.21</v>
      </c>
      <c r="T2792">
        <f t="shared" si="321"/>
        <v>99.4022580645161</v>
      </c>
      <c r="U2792">
        <f t="shared" si="322"/>
        <v>1903.4</v>
      </c>
      <c r="V2792">
        <f t="shared" si="320"/>
        <v>158.616666666667</v>
      </c>
      <c r="W2792">
        <f t="shared" si="318"/>
        <v>1258.44666666667</v>
      </c>
      <c r="X2792">
        <f t="shared" si="316"/>
        <v>1.00596071413108</v>
      </c>
      <c r="AH2792" t="str">
        <f t="shared" si="319"/>
        <v>3rd Quality</v>
      </c>
      <c r="AJ2792">
        <f>((T2792-X2792)*2)/9</f>
        <v>21.8658438556411</v>
      </c>
      <c r="AK2792">
        <f t="shared" si="317"/>
        <v>69283.3738709677</v>
      </c>
    </row>
    <row r="2793" spans="1:37">
      <c r="A2793" t="s">
        <v>2859</v>
      </c>
      <c r="B2793">
        <v>22</v>
      </c>
      <c r="C2793" t="s">
        <v>101</v>
      </c>
      <c r="D2793" t="s">
        <v>51</v>
      </c>
      <c r="E2793">
        <v>908</v>
      </c>
      <c r="F2793">
        <v>3</v>
      </c>
      <c r="G2793">
        <v>31</v>
      </c>
      <c r="H2793">
        <v>2212.68</v>
      </c>
      <c r="I2793">
        <v>68623.11</v>
      </c>
      <c r="J2793">
        <v>104</v>
      </c>
      <c r="K2793">
        <v>0</v>
      </c>
      <c r="L2793">
        <v>20.7</v>
      </c>
      <c r="M2793">
        <v>32.7</v>
      </c>
      <c r="N2793" t="s">
        <v>46</v>
      </c>
      <c r="O2793" t="s">
        <v>47</v>
      </c>
      <c r="P2793" t="s">
        <v>58</v>
      </c>
      <c r="R2793">
        <f>SUMIF(A2793:A7792,"C02792",I2793:I7792)</f>
        <v>68623.11</v>
      </c>
      <c r="S2793" s="1">
        <v>1907.42</v>
      </c>
      <c r="T2793">
        <f t="shared" si="321"/>
        <v>659.837596153846</v>
      </c>
      <c r="U2793">
        <f t="shared" si="322"/>
        <v>3400.8</v>
      </c>
      <c r="V2793">
        <f t="shared" si="320"/>
        <v>283.4</v>
      </c>
      <c r="W2793">
        <f t="shared" si="318"/>
        <v>23612.2633333333</v>
      </c>
      <c r="X2793">
        <f t="shared" si="316"/>
        <v>0.410362094835222</v>
      </c>
      <c r="AH2793" t="str">
        <f t="shared" si="319"/>
        <v>2nd Quality</v>
      </c>
      <c r="AJ2793">
        <f>((T2793-X2793)*2)/20.7</f>
        <v>63.7127762375856</v>
      </c>
      <c r="AK2793">
        <f t="shared" si="317"/>
        <v>599132.537307692</v>
      </c>
    </row>
    <row r="2794" spans="1:37">
      <c r="A2794" t="s">
        <v>2860</v>
      </c>
      <c r="B2794">
        <v>37</v>
      </c>
      <c r="C2794" t="s">
        <v>44</v>
      </c>
      <c r="D2794" t="s">
        <v>60</v>
      </c>
      <c r="E2794">
        <v>1024</v>
      </c>
      <c r="F2794">
        <v>126</v>
      </c>
      <c r="G2794">
        <v>3</v>
      </c>
      <c r="H2794">
        <v>1174.35</v>
      </c>
      <c r="I2794">
        <v>3717.9</v>
      </c>
      <c r="J2794">
        <v>25</v>
      </c>
      <c r="K2794">
        <v>0</v>
      </c>
      <c r="L2794">
        <v>40.9</v>
      </c>
      <c r="M2794">
        <v>11.7</v>
      </c>
      <c r="N2794" t="s">
        <v>63</v>
      </c>
      <c r="O2794" t="s">
        <v>47</v>
      </c>
      <c r="P2794" t="s">
        <v>48</v>
      </c>
      <c r="R2794">
        <f>SUMIF(A2794:A7793,"C02793",I2794:I7793)</f>
        <v>3717.9</v>
      </c>
      <c r="S2794" s="1">
        <v>25022.79</v>
      </c>
      <c r="T2794">
        <f t="shared" si="321"/>
        <v>148.716</v>
      </c>
      <c r="U2794">
        <f t="shared" si="322"/>
        <v>292.5</v>
      </c>
      <c r="V2794">
        <f t="shared" si="320"/>
        <v>24.375</v>
      </c>
      <c r="W2794">
        <f t="shared" si="318"/>
        <v>1631.08333333333</v>
      </c>
      <c r="X2794">
        <f t="shared" si="316"/>
        <v>0.871971729041598</v>
      </c>
      <c r="AH2794" t="str">
        <f t="shared" si="319"/>
        <v>3rd Quality</v>
      </c>
      <c r="AJ2794">
        <f>((T2794-X2794)*2)/40.9</f>
        <v>7.22953683476569</v>
      </c>
      <c r="AK2794">
        <f t="shared" si="317"/>
        <v>152285.184</v>
      </c>
    </row>
    <row r="2795" spans="1:37">
      <c r="A2795" t="s">
        <v>2861</v>
      </c>
      <c r="B2795">
        <v>25</v>
      </c>
      <c r="C2795" t="s">
        <v>44</v>
      </c>
      <c r="D2795" t="s">
        <v>60</v>
      </c>
      <c r="E2795">
        <v>1277</v>
      </c>
      <c r="F2795">
        <v>66</v>
      </c>
      <c r="G2795">
        <v>1</v>
      </c>
      <c r="H2795">
        <v>1169.81</v>
      </c>
      <c r="I2795">
        <v>1217.21</v>
      </c>
      <c r="J2795">
        <v>16</v>
      </c>
      <c r="K2795">
        <v>0</v>
      </c>
      <c r="L2795">
        <v>11.1</v>
      </c>
      <c r="M2795">
        <v>4.7</v>
      </c>
      <c r="N2795" t="s">
        <v>61</v>
      </c>
      <c r="O2795" t="s">
        <v>47</v>
      </c>
      <c r="P2795" t="s">
        <v>58</v>
      </c>
      <c r="R2795">
        <f>SUMIF(A2795:A7794,"C02794",I2795:I7794)</f>
        <v>1217.21</v>
      </c>
      <c r="S2795" s="1">
        <v>38771.91</v>
      </c>
      <c r="T2795">
        <f t="shared" si="321"/>
        <v>76.075625</v>
      </c>
      <c r="U2795">
        <f t="shared" si="322"/>
        <v>75.2</v>
      </c>
      <c r="V2795">
        <f t="shared" si="320"/>
        <v>6.26666666666667</v>
      </c>
      <c r="W2795">
        <f t="shared" si="318"/>
        <v>796.006666666667</v>
      </c>
      <c r="X2795">
        <f t="shared" si="316"/>
        <v>1.09163026474385</v>
      </c>
      <c r="AH2795" t="str">
        <f t="shared" si="319"/>
        <v>3rd Quality</v>
      </c>
      <c r="AJ2795">
        <f>((T2795-X2795)*2)/11.1</f>
        <v>13.5106296820281</v>
      </c>
      <c r="AK2795">
        <f t="shared" si="317"/>
        <v>97148.573125</v>
      </c>
    </row>
    <row r="2796" spans="1:37">
      <c r="A2796" t="s">
        <v>2862</v>
      </c>
      <c r="B2796">
        <v>30</v>
      </c>
      <c r="C2796" t="s">
        <v>50</v>
      </c>
      <c r="D2796" t="s">
        <v>45</v>
      </c>
      <c r="E2796">
        <v>476</v>
      </c>
      <c r="F2796">
        <v>30</v>
      </c>
      <c r="G2796">
        <v>2</v>
      </c>
      <c r="H2796">
        <v>913.31</v>
      </c>
      <c r="I2796">
        <v>1907.42</v>
      </c>
      <c r="J2796">
        <v>17</v>
      </c>
      <c r="K2796">
        <v>0</v>
      </c>
      <c r="L2796">
        <v>18.9</v>
      </c>
      <c r="M2796">
        <v>37.1</v>
      </c>
      <c r="N2796" t="s">
        <v>78</v>
      </c>
      <c r="O2796" t="s">
        <v>47</v>
      </c>
      <c r="P2796" t="s">
        <v>48</v>
      </c>
      <c r="R2796">
        <f>SUMIF(A2796:A7795,"C02795",I2796:I7795)</f>
        <v>1907.42</v>
      </c>
      <c r="S2796" s="1">
        <v>18310.44</v>
      </c>
      <c r="T2796">
        <f t="shared" si="321"/>
        <v>112.201176470588</v>
      </c>
      <c r="U2796">
        <f t="shared" si="322"/>
        <v>630.7</v>
      </c>
      <c r="V2796">
        <f t="shared" si="320"/>
        <v>52.5583333333333</v>
      </c>
      <c r="W2796">
        <f t="shared" si="318"/>
        <v>940.576666666667</v>
      </c>
      <c r="X2796">
        <f t="shared" si="316"/>
        <v>0.521181198059804</v>
      </c>
      <c r="AH2796" t="str">
        <f t="shared" si="319"/>
        <v>3rd Quality</v>
      </c>
      <c r="AJ2796">
        <f>((T2796-X2796)*2)/18.9</f>
        <v>11.8179889177279</v>
      </c>
      <c r="AK2796">
        <f t="shared" si="317"/>
        <v>53407.76</v>
      </c>
    </row>
    <row r="2797" spans="1:37">
      <c r="A2797" t="s">
        <v>2863</v>
      </c>
      <c r="B2797">
        <v>22</v>
      </c>
      <c r="C2797" t="s">
        <v>44</v>
      </c>
      <c r="D2797" t="s">
        <v>60</v>
      </c>
      <c r="E2797">
        <v>689</v>
      </c>
      <c r="F2797">
        <v>27</v>
      </c>
      <c r="G2797">
        <v>3</v>
      </c>
      <c r="H2797">
        <v>8240.79</v>
      </c>
      <c r="I2797">
        <v>25022.79</v>
      </c>
      <c r="J2797">
        <v>13</v>
      </c>
      <c r="K2797">
        <v>1</v>
      </c>
      <c r="L2797">
        <v>16.2</v>
      </c>
      <c r="M2797">
        <v>13.1</v>
      </c>
      <c r="N2797" t="s">
        <v>81</v>
      </c>
      <c r="O2797" t="s">
        <v>53</v>
      </c>
      <c r="P2797" t="s">
        <v>58</v>
      </c>
      <c r="R2797">
        <f>SUMIF(A2797:A7796,"C02796",I2797:I7796)</f>
        <v>25022.79</v>
      </c>
      <c r="S2797" s="1">
        <v>1497.51</v>
      </c>
      <c r="T2797">
        <f t="shared" si="321"/>
        <v>1924.83</v>
      </c>
      <c r="U2797">
        <f t="shared" si="322"/>
        <v>170.3</v>
      </c>
      <c r="V2797">
        <f>U2797</f>
        <v>170.3</v>
      </c>
      <c r="W2797">
        <f t="shared" si="318"/>
        <v>11088.1933333333</v>
      </c>
      <c r="X2797">
        <f t="shared" si="316"/>
        <v>0.0836084889919534</v>
      </c>
      <c r="AH2797" t="str">
        <f t="shared" si="319"/>
        <v>2nd Quality</v>
      </c>
      <c r="AJ2797">
        <f>((T2797-X2797)*2)/16.2</f>
        <v>237.623011297655</v>
      </c>
      <c r="AK2797">
        <f t="shared" si="317"/>
        <v>1326207.87</v>
      </c>
    </row>
    <row r="2798" spans="1:37">
      <c r="A2798" t="s">
        <v>2864</v>
      </c>
      <c r="B2798">
        <v>53</v>
      </c>
      <c r="C2798" t="s">
        <v>44</v>
      </c>
      <c r="D2798" t="s">
        <v>60</v>
      </c>
      <c r="E2798">
        <v>585</v>
      </c>
      <c r="F2798">
        <v>4</v>
      </c>
      <c r="G2798">
        <v>5</v>
      </c>
      <c r="H2798">
        <v>7264.08</v>
      </c>
      <c r="I2798">
        <v>38771.91</v>
      </c>
      <c r="J2798">
        <v>19</v>
      </c>
      <c r="K2798">
        <v>1</v>
      </c>
      <c r="L2798">
        <v>0</v>
      </c>
      <c r="M2798">
        <v>33</v>
      </c>
      <c r="N2798" t="s">
        <v>52</v>
      </c>
      <c r="O2798" t="s">
        <v>47</v>
      </c>
      <c r="P2798" t="s">
        <v>66</v>
      </c>
      <c r="R2798">
        <f>SUMIF(A2798:A7797,"C02797",I2798:I7797)</f>
        <v>38771.91</v>
      </c>
      <c r="S2798" s="1">
        <v>3456.24</v>
      </c>
      <c r="T2798">
        <f t="shared" si="321"/>
        <v>2040.62684210526</v>
      </c>
      <c r="U2798">
        <f t="shared" si="322"/>
        <v>627</v>
      </c>
      <c r="V2798">
        <f>U2798</f>
        <v>627</v>
      </c>
      <c r="W2798">
        <f t="shared" si="318"/>
        <v>15345.6633333333</v>
      </c>
      <c r="X2798">
        <f t="shared" si="316"/>
        <v>0.0805332540390524</v>
      </c>
      <c r="AH2798" t="str">
        <f t="shared" si="319"/>
        <v>3rd Quality</v>
      </c>
      <c r="AJ2798">
        <f>((T2798-X2798)*2)</f>
        <v>4081.09261770244</v>
      </c>
      <c r="AK2798">
        <f t="shared" si="317"/>
        <v>1193766.70263158</v>
      </c>
    </row>
    <row r="2799" spans="1:37">
      <c r="A2799" t="s">
        <v>2865</v>
      </c>
      <c r="B2799">
        <v>25</v>
      </c>
      <c r="C2799" t="s">
        <v>44</v>
      </c>
      <c r="D2799" t="s">
        <v>51</v>
      </c>
      <c r="E2799">
        <v>695</v>
      </c>
      <c r="F2799">
        <v>123</v>
      </c>
      <c r="G2799">
        <v>9</v>
      </c>
      <c r="H2799">
        <v>2273.25</v>
      </c>
      <c r="I2799">
        <v>18310.44</v>
      </c>
      <c r="J2799">
        <v>73</v>
      </c>
      <c r="K2799">
        <v>1</v>
      </c>
      <c r="L2799">
        <v>29.2</v>
      </c>
      <c r="M2799">
        <v>42.7</v>
      </c>
      <c r="N2799" t="s">
        <v>46</v>
      </c>
      <c r="O2799" t="s">
        <v>75</v>
      </c>
      <c r="P2799" t="s">
        <v>58</v>
      </c>
      <c r="R2799">
        <f>SUMIF(A2799:A7798,"C02798",I2799:I7798)</f>
        <v>18310.44</v>
      </c>
      <c r="S2799" s="1">
        <v>1220.99</v>
      </c>
      <c r="T2799">
        <f t="shared" si="321"/>
        <v>250.827945205479</v>
      </c>
      <c r="U2799">
        <f t="shared" si="322"/>
        <v>3117.1</v>
      </c>
      <c r="V2799">
        <f>U2799</f>
        <v>3117.1</v>
      </c>
      <c r="W2799">
        <f t="shared" si="318"/>
        <v>6861.56333333333</v>
      </c>
      <c r="X2799">
        <f t="shared" si="316"/>
        <v>0.3057296821731</v>
      </c>
      <c r="AH2799" t="str">
        <f t="shared" si="319"/>
        <v>2nd Quality</v>
      </c>
      <c r="AJ2799">
        <f>((T2799-X2799)*2)/29.2</f>
        <v>17.1590558577607</v>
      </c>
      <c r="AK2799">
        <f t="shared" si="317"/>
        <v>174325.421917808</v>
      </c>
    </row>
    <row r="2800" spans="1:37">
      <c r="A2800" t="s">
        <v>2866</v>
      </c>
      <c r="B2800">
        <v>32</v>
      </c>
      <c r="C2800" t="s">
        <v>50</v>
      </c>
      <c r="D2800" t="s">
        <v>45</v>
      </c>
      <c r="E2800">
        <v>1389</v>
      </c>
      <c r="F2800">
        <v>72</v>
      </c>
      <c r="G2800">
        <v>2</v>
      </c>
      <c r="H2800">
        <v>808.79</v>
      </c>
      <c r="I2800">
        <v>1497.51</v>
      </c>
      <c r="J2800">
        <v>24</v>
      </c>
      <c r="K2800">
        <v>0</v>
      </c>
      <c r="L2800">
        <v>33.5</v>
      </c>
      <c r="M2800">
        <v>18.7</v>
      </c>
      <c r="N2800" t="s">
        <v>52</v>
      </c>
      <c r="O2800" t="s">
        <v>47</v>
      </c>
      <c r="P2800" t="s">
        <v>68</v>
      </c>
      <c r="R2800">
        <f>SUMIF(A2800:A7799,"C02799",I2800:I7799)</f>
        <v>1497.51</v>
      </c>
      <c r="S2800" s="1">
        <v>40516.29</v>
      </c>
      <c r="T2800">
        <f t="shared" si="321"/>
        <v>62.39625</v>
      </c>
      <c r="U2800">
        <f t="shared" si="322"/>
        <v>448.8</v>
      </c>
      <c r="V2800">
        <f t="shared" si="320"/>
        <v>37.4</v>
      </c>
      <c r="W2800">
        <f t="shared" si="318"/>
        <v>769.1</v>
      </c>
      <c r="X2800">
        <f t="shared" si="316"/>
        <v>1.71738028412814</v>
      </c>
      <c r="AH2800" t="str">
        <f t="shared" si="319"/>
        <v>3rd Quality</v>
      </c>
      <c r="AJ2800">
        <f>((T2800-X2800)*2)/33.5</f>
        <v>3.62261908751474</v>
      </c>
      <c r="AK2800">
        <f t="shared" si="317"/>
        <v>86668.39125</v>
      </c>
    </row>
    <row r="2801" spans="1:37">
      <c r="A2801" t="s">
        <v>2867</v>
      </c>
      <c r="B2801">
        <v>31</v>
      </c>
      <c r="C2801" t="s">
        <v>50</v>
      </c>
      <c r="D2801" t="s">
        <v>45</v>
      </c>
      <c r="E2801">
        <v>552</v>
      </c>
      <c r="F2801">
        <v>194</v>
      </c>
      <c r="G2801">
        <v>5</v>
      </c>
      <c r="H2801">
        <v>659.09</v>
      </c>
      <c r="I2801">
        <v>3456.24</v>
      </c>
      <c r="J2801">
        <v>29</v>
      </c>
      <c r="K2801">
        <v>0</v>
      </c>
      <c r="L2801">
        <v>26.6</v>
      </c>
      <c r="M2801">
        <v>39.1</v>
      </c>
      <c r="N2801" t="s">
        <v>52</v>
      </c>
      <c r="O2801" t="s">
        <v>47</v>
      </c>
      <c r="P2801" t="s">
        <v>58</v>
      </c>
      <c r="R2801">
        <f>SUMIF(A2801:A7800,"C02800",I2801:I7800)</f>
        <v>3456.24</v>
      </c>
      <c r="S2801" s="1">
        <v>97090.73</v>
      </c>
      <c r="T2801">
        <f t="shared" si="321"/>
        <v>119.180689655172</v>
      </c>
      <c r="U2801">
        <f t="shared" si="322"/>
        <v>1133.9</v>
      </c>
      <c r="V2801">
        <f t="shared" si="320"/>
        <v>94.4916666666667</v>
      </c>
      <c r="W2801">
        <f t="shared" si="318"/>
        <v>1372.11</v>
      </c>
      <c r="X2801">
        <f t="shared" si="316"/>
        <v>0.837518396577099</v>
      </c>
      <c r="AH2801" t="str">
        <f t="shared" si="319"/>
        <v>3rd Quality</v>
      </c>
      <c r="AJ2801">
        <f>((T2801-X2801)*2)/26.6</f>
        <v>8.89798280139811</v>
      </c>
      <c r="AK2801">
        <f t="shared" si="317"/>
        <v>65787.7406896552</v>
      </c>
    </row>
    <row r="2802" spans="1:37">
      <c r="A2802" t="s">
        <v>2868</v>
      </c>
      <c r="B2802">
        <v>34</v>
      </c>
      <c r="C2802" t="s">
        <v>50</v>
      </c>
      <c r="D2802" t="s">
        <v>60</v>
      </c>
      <c r="E2802">
        <v>1188</v>
      </c>
      <c r="F2802">
        <v>71</v>
      </c>
      <c r="G2802">
        <v>1</v>
      </c>
      <c r="H2802">
        <v>1271.1</v>
      </c>
      <c r="I2802">
        <v>1220.99</v>
      </c>
      <c r="J2802">
        <v>11</v>
      </c>
      <c r="K2802">
        <v>0</v>
      </c>
      <c r="L2802">
        <v>26.8</v>
      </c>
      <c r="M2802">
        <v>18.2</v>
      </c>
      <c r="N2802" t="s">
        <v>78</v>
      </c>
      <c r="O2802" t="s">
        <v>47</v>
      </c>
      <c r="P2802" t="s">
        <v>68</v>
      </c>
      <c r="R2802">
        <f>SUMIF(A2802:A7801,"C02801",I2802:I7801)</f>
        <v>1220.99</v>
      </c>
      <c r="S2802" s="1">
        <v>83793.64</v>
      </c>
      <c r="T2802">
        <f t="shared" si="321"/>
        <v>110.999090909091</v>
      </c>
      <c r="U2802">
        <f t="shared" si="322"/>
        <v>200.2</v>
      </c>
      <c r="V2802">
        <f t="shared" si="320"/>
        <v>16.6833333333333</v>
      </c>
      <c r="W2802">
        <f t="shared" si="318"/>
        <v>831.03</v>
      </c>
      <c r="X2802">
        <f t="shared" si="316"/>
        <v>0.934623554401699</v>
      </c>
      <c r="AH2802" t="str">
        <f t="shared" si="319"/>
        <v>3rd Quality</v>
      </c>
      <c r="AJ2802">
        <f>((T2802-X2802)*2)/26.8</f>
        <v>8.2137662204992</v>
      </c>
      <c r="AK2802">
        <f t="shared" si="317"/>
        <v>131866.92</v>
      </c>
    </row>
    <row r="2803" spans="1:37">
      <c r="A2803" t="s">
        <v>2869</v>
      </c>
      <c r="B2803">
        <v>23</v>
      </c>
      <c r="C2803" t="s">
        <v>44</v>
      </c>
      <c r="D2803" t="s">
        <v>51</v>
      </c>
      <c r="E2803">
        <v>1225</v>
      </c>
      <c r="F2803">
        <v>35</v>
      </c>
      <c r="G2803">
        <v>4</v>
      </c>
      <c r="H2803">
        <v>10806.38</v>
      </c>
      <c r="I2803">
        <v>40516.29</v>
      </c>
      <c r="J2803">
        <v>29</v>
      </c>
      <c r="K2803">
        <v>0</v>
      </c>
      <c r="L2803">
        <v>1.4</v>
      </c>
      <c r="M2803">
        <v>12.6</v>
      </c>
      <c r="N2803" t="s">
        <v>78</v>
      </c>
      <c r="O2803" t="s">
        <v>53</v>
      </c>
      <c r="P2803" t="s">
        <v>48</v>
      </c>
      <c r="R2803">
        <f>SUMIF(A2803:A7802,"C02802",I2803:I7802)</f>
        <v>40516.29</v>
      </c>
      <c r="S2803" s="1">
        <v>87642.91</v>
      </c>
      <c r="T2803">
        <f t="shared" si="321"/>
        <v>1397.11344827586</v>
      </c>
      <c r="U2803">
        <f t="shared" si="322"/>
        <v>365.4</v>
      </c>
      <c r="V2803">
        <f t="shared" si="320"/>
        <v>30.45</v>
      </c>
      <c r="W2803">
        <f t="shared" si="318"/>
        <v>17107.89</v>
      </c>
      <c r="X2803">
        <f t="shared" si="316"/>
        <v>0.113358960169826</v>
      </c>
      <c r="AH2803" t="str">
        <f t="shared" si="319"/>
        <v>1st Quality</v>
      </c>
      <c r="AJ2803">
        <f>((T2803-X2803)*2)/1.4</f>
        <v>1995.71441330813</v>
      </c>
      <c r="AK2803">
        <f t="shared" si="317"/>
        <v>1711463.97413793</v>
      </c>
    </row>
    <row r="2804" spans="1:37">
      <c r="A2804" t="s">
        <v>2870</v>
      </c>
      <c r="B2804">
        <v>33</v>
      </c>
      <c r="C2804" t="s">
        <v>44</v>
      </c>
      <c r="D2804" t="s">
        <v>45</v>
      </c>
      <c r="E2804">
        <v>1182</v>
      </c>
      <c r="F2804">
        <v>14</v>
      </c>
      <c r="G2804">
        <v>25</v>
      </c>
      <c r="H2804">
        <v>4380.9</v>
      </c>
      <c r="I2804">
        <v>97090.73</v>
      </c>
      <c r="J2804">
        <v>131</v>
      </c>
      <c r="K2804">
        <v>1</v>
      </c>
      <c r="L2804">
        <v>14.9</v>
      </c>
      <c r="M2804">
        <v>41.1</v>
      </c>
      <c r="N2804" t="s">
        <v>46</v>
      </c>
      <c r="O2804" t="s">
        <v>75</v>
      </c>
      <c r="P2804" t="s">
        <v>48</v>
      </c>
      <c r="R2804">
        <f>SUMIF(A2804:A7803,"C02803",I2804:I7803)</f>
        <v>97090.73</v>
      </c>
      <c r="S2804" s="1">
        <v>13289.86</v>
      </c>
      <c r="T2804">
        <f t="shared" si="321"/>
        <v>741.150610687023</v>
      </c>
      <c r="U2804">
        <f t="shared" si="322"/>
        <v>5384.1</v>
      </c>
      <c r="V2804">
        <f>U2804</f>
        <v>5384.1</v>
      </c>
      <c r="W2804">
        <f t="shared" si="318"/>
        <v>33824.21</v>
      </c>
      <c r="X2804">
        <f t="shared" si="316"/>
        <v>0.269807573786208</v>
      </c>
      <c r="AH2804" t="str">
        <f t="shared" si="319"/>
        <v>1st Quality</v>
      </c>
      <c r="AJ2804">
        <f>((T2804-X2804)*2)/14.9</f>
        <v>99.4470876662063</v>
      </c>
      <c r="AK2804">
        <f t="shared" si="317"/>
        <v>876040.021832061</v>
      </c>
    </row>
    <row r="2805" spans="1:37">
      <c r="A2805" t="s">
        <v>2871</v>
      </c>
      <c r="B2805">
        <v>35</v>
      </c>
      <c r="C2805" t="s">
        <v>50</v>
      </c>
      <c r="D2805" t="s">
        <v>51</v>
      </c>
      <c r="E2805">
        <v>531</v>
      </c>
      <c r="F2805">
        <v>12</v>
      </c>
      <c r="G2805">
        <v>5</v>
      </c>
      <c r="H2805">
        <v>15397.09</v>
      </c>
      <c r="I2805">
        <v>83793.64</v>
      </c>
      <c r="J2805">
        <v>29</v>
      </c>
      <c r="K2805">
        <v>0</v>
      </c>
      <c r="L2805">
        <v>4.3</v>
      </c>
      <c r="M2805">
        <v>80.1</v>
      </c>
      <c r="N2805" t="s">
        <v>63</v>
      </c>
      <c r="O2805" t="s">
        <v>47</v>
      </c>
      <c r="P2805" t="s">
        <v>66</v>
      </c>
      <c r="R2805">
        <f>SUMIF(A2805:A7804,"C02804",I2805:I7804)</f>
        <v>83793.64</v>
      </c>
      <c r="S2805" s="1">
        <v>17579.49</v>
      </c>
      <c r="T2805">
        <f t="shared" si="321"/>
        <v>2889.43586206897</v>
      </c>
      <c r="U2805">
        <f t="shared" si="322"/>
        <v>2322.9</v>
      </c>
      <c r="V2805">
        <f t="shared" si="320"/>
        <v>193.575</v>
      </c>
      <c r="W2805">
        <f t="shared" si="318"/>
        <v>33063.91</v>
      </c>
      <c r="X2805">
        <f t="shared" si="316"/>
        <v>0.034487036186708</v>
      </c>
      <c r="AH2805" t="str">
        <f t="shared" si="319"/>
        <v>2nd Quality</v>
      </c>
      <c r="AJ2805">
        <f>((T2805-X2805)*2)/4.3</f>
        <v>1343.90761629432</v>
      </c>
      <c r="AK2805">
        <f t="shared" si="317"/>
        <v>1534290.44275862</v>
      </c>
    </row>
    <row r="2806" spans="1:37">
      <c r="A2806" t="s">
        <v>2872</v>
      </c>
      <c r="B2806">
        <v>36</v>
      </c>
      <c r="C2806" t="s">
        <v>50</v>
      </c>
      <c r="D2806" t="s">
        <v>51</v>
      </c>
      <c r="E2806">
        <v>460</v>
      </c>
      <c r="F2806">
        <v>16</v>
      </c>
      <c r="G2806">
        <v>27</v>
      </c>
      <c r="H2806">
        <v>3002.49</v>
      </c>
      <c r="I2806">
        <v>87642.91</v>
      </c>
      <c r="J2806">
        <v>142</v>
      </c>
      <c r="K2806">
        <v>4</v>
      </c>
      <c r="L2806">
        <v>0.5</v>
      </c>
      <c r="M2806">
        <v>56.7</v>
      </c>
      <c r="N2806" t="s">
        <v>46</v>
      </c>
      <c r="O2806" t="s">
        <v>47</v>
      </c>
      <c r="P2806" t="s">
        <v>58</v>
      </c>
      <c r="R2806">
        <f>SUMIF(A2806:A7805,"C02805",I2806:I7805)</f>
        <v>87642.91</v>
      </c>
      <c r="S2806" s="1">
        <v>843.68</v>
      </c>
      <c r="T2806">
        <f t="shared" si="321"/>
        <v>617.203591549296</v>
      </c>
      <c r="U2806">
        <f t="shared" si="322"/>
        <v>8051.4</v>
      </c>
      <c r="V2806">
        <f>U2806</f>
        <v>8051.4</v>
      </c>
      <c r="W2806">
        <f t="shared" si="318"/>
        <v>30215.4666666667</v>
      </c>
      <c r="X2806">
        <f t="shared" si="316"/>
        <v>0.153206172210399</v>
      </c>
      <c r="AH2806" t="str">
        <f t="shared" si="319"/>
        <v>2nd Quality</v>
      </c>
      <c r="AJ2806">
        <f>((T2806-X2806)*2)/0.5</f>
        <v>2468.20154150834</v>
      </c>
      <c r="AK2806">
        <f t="shared" si="317"/>
        <v>283913.652112676</v>
      </c>
    </row>
    <row r="2807" spans="1:37">
      <c r="A2807" t="s">
        <v>2873</v>
      </c>
      <c r="B2807">
        <v>49</v>
      </c>
      <c r="C2807" t="s">
        <v>50</v>
      </c>
      <c r="D2807" t="s">
        <v>51</v>
      </c>
      <c r="E2807">
        <v>533</v>
      </c>
      <c r="F2807">
        <v>20</v>
      </c>
      <c r="G2807">
        <v>12</v>
      </c>
      <c r="H2807">
        <v>1238.09</v>
      </c>
      <c r="I2807">
        <v>13289.86</v>
      </c>
      <c r="J2807">
        <v>33</v>
      </c>
      <c r="K2807">
        <v>1</v>
      </c>
      <c r="L2807">
        <v>36.3</v>
      </c>
      <c r="M2807">
        <v>71.3</v>
      </c>
      <c r="N2807" t="s">
        <v>46</v>
      </c>
      <c r="O2807" t="s">
        <v>47</v>
      </c>
      <c r="P2807" t="s">
        <v>58</v>
      </c>
      <c r="R2807">
        <f>SUMIF(A2807:A7806,"C02806",I2807:I7806)</f>
        <v>13289.86</v>
      </c>
      <c r="S2807" s="1">
        <v>53242.27</v>
      </c>
      <c r="T2807">
        <f t="shared" si="321"/>
        <v>402.72303030303</v>
      </c>
      <c r="U2807">
        <f t="shared" si="322"/>
        <v>2352.9</v>
      </c>
      <c r="V2807">
        <f>U2807</f>
        <v>2352.9</v>
      </c>
      <c r="W2807">
        <f t="shared" si="318"/>
        <v>4842.98333333333</v>
      </c>
      <c r="X2807">
        <f t="shared" si="316"/>
        <v>0.43050182135386</v>
      </c>
      <c r="AH2807" t="str">
        <f t="shared" si="319"/>
        <v>3rd Quality</v>
      </c>
      <c r="AJ2807">
        <f>((T2807-X2807)*2)/36.3</f>
        <v>22.1648776022962</v>
      </c>
      <c r="AK2807">
        <f t="shared" si="317"/>
        <v>214651.375151515</v>
      </c>
    </row>
    <row r="2808" spans="1:37">
      <c r="A2808" t="s">
        <v>2874</v>
      </c>
      <c r="B2808">
        <v>41</v>
      </c>
      <c r="C2808" t="s">
        <v>50</v>
      </c>
      <c r="D2808" t="s">
        <v>45</v>
      </c>
      <c r="E2808">
        <v>1282</v>
      </c>
      <c r="F2808">
        <v>23</v>
      </c>
      <c r="G2808">
        <v>13</v>
      </c>
      <c r="H2808">
        <v>1418.88</v>
      </c>
      <c r="I2808">
        <v>17579.49</v>
      </c>
      <c r="J2808">
        <v>74</v>
      </c>
      <c r="K2808">
        <v>0</v>
      </c>
      <c r="L2808">
        <v>17</v>
      </c>
      <c r="M2808">
        <v>17.5</v>
      </c>
      <c r="N2808" t="s">
        <v>52</v>
      </c>
      <c r="O2808" t="s">
        <v>47</v>
      </c>
      <c r="P2808" t="s">
        <v>48</v>
      </c>
      <c r="R2808">
        <f>SUMIF(A2808:A7807,"C02807",I2808:I7807)</f>
        <v>17579.49</v>
      </c>
      <c r="S2808" s="1">
        <v>204919.05</v>
      </c>
      <c r="T2808">
        <f t="shared" si="321"/>
        <v>237.560675675676</v>
      </c>
      <c r="U2808">
        <f t="shared" si="322"/>
        <v>1295</v>
      </c>
      <c r="V2808">
        <f t="shared" si="320"/>
        <v>107.916666666667</v>
      </c>
      <c r="W2808">
        <f t="shared" si="318"/>
        <v>6333.12333333333</v>
      </c>
      <c r="X2808">
        <f t="shared" ref="X2808:X2871" si="323">E2808/H2808</f>
        <v>0.903529544429409</v>
      </c>
      <c r="AH2808" t="str">
        <f t="shared" si="319"/>
        <v>2nd Quality</v>
      </c>
      <c r="AJ2808">
        <f>((T2808-X2808)*2)/17</f>
        <v>27.8420171919114</v>
      </c>
      <c r="AK2808">
        <f t="shared" si="317"/>
        <v>304552.786216216</v>
      </c>
    </row>
    <row r="2809" spans="1:37">
      <c r="A2809" t="s">
        <v>2875</v>
      </c>
      <c r="B2809">
        <v>54</v>
      </c>
      <c r="C2809" t="s">
        <v>44</v>
      </c>
      <c r="D2809" t="s">
        <v>45</v>
      </c>
      <c r="E2809">
        <v>377</v>
      </c>
      <c r="F2809">
        <v>38</v>
      </c>
      <c r="G2809">
        <v>1</v>
      </c>
      <c r="H2809">
        <v>905.73</v>
      </c>
      <c r="I2809">
        <v>843.68</v>
      </c>
      <c r="J2809">
        <v>19</v>
      </c>
      <c r="K2809">
        <v>0</v>
      </c>
      <c r="L2809">
        <v>26</v>
      </c>
      <c r="M2809">
        <v>49.7</v>
      </c>
      <c r="N2809" t="s">
        <v>81</v>
      </c>
      <c r="O2809" t="s">
        <v>47</v>
      </c>
      <c r="P2809" t="s">
        <v>68</v>
      </c>
      <c r="R2809">
        <f>SUMIF(A2809:A7808,"C02808",I2809:I7808)</f>
        <v>843.68</v>
      </c>
      <c r="S2809" s="1">
        <v>76748.57</v>
      </c>
      <c r="T2809">
        <f t="shared" si="321"/>
        <v>44.4042105263158</v>
      </c>
      <c r="U2809">
        <f t="shared" si="322"/>
        <v>944.3</v>
      </c>
      <c r="V2809">
        <f t="shared" si="320"/>
        <v>78.6916666666667</v>
      </c>
      <c r="W2809">
        <f t="shared" si="318"/>
        <v>583.47</v>
      </c>
      <c r="X2809">
        <f t="shared" si="323"/>
        <v>0.416238834972895</v>
      </c>
      <c r="AH2809" t="str">
        <f t="shared" si="319"/>
        <v>3rd Quality</v>
      </c>
      <c r="AJ2809">
        <f>((T2809-X2809)*2)/26</f>
        <v>3.3836901301033</v>
      </c>
      <c r="AK2809">
        <f t="shared" si="317"/>
        <v>16740.3873684211</v>
      </c>
    </row>
    <row r="2810" spans="1:37">
      <c r="A2810" t="s">
        <v>2876</v>
      </c>
      <c r="B2810">
        <v>34</v>
      </c>
      <c r="C2810" t="s">
        <v>44</v>
      </c>
      <c r="D2810" t="s">
        <v>45</v>
      </c>
      <c r="E2810">
        <v>1156</v>
      </c>
      <c r="F2810">
        <v>17</v>
      </c>
      <c r="G2810">
        <v>24</v>
      </c>
      <c r="H2810">
        <v>2386.36</v>
      </c>
      <c r="I2810">
        <v>53242.27</v>
      </c>
      <c r="J2810">
        <v>156</v>
      </c>
      <c r="K2810">
        <v>0</v>
      </c>
      <c r="L2810">
        <v>14.7</v>
      </c>
      <c r="M2810">
        <v>46.5</v>
      </c>
      <c r="N2810" t="s">
        <v>52</v>
      </c>
      <c r="O2810" t="s">
        <v>75</v>
      </c>
      <c r="P2810" t="s">
        <v>68</v>
      </c>
      <c r="R2810">
        <f>SUMIF(A2810:A7809,"C02809",I2810:I7809)</f>
        <v>53242.27</v>
      </c>
      <c r="S2810" s="1">
        <v>2186.29</v>
      </c>
      <c r="T2810">
        <f t="shared" si="321"/>
        <v>341.296602564103</v>
      </c>
      <c r="U2810">
        <f t="shared" si="322"/>
        <v>7254</v>
      </c>
      <c r="V2810">
        <f t="shared" si="320"/>
        <v>604.5</v>
      </c>
      <c r="W2810">
        <f t="shared" si="318"/>
        <v>18543.21</v>
      </c>
      <c r="X2810">
        <f t="shared" si="323"/>
        <v>0.484419785782531</v>
      </c>
      <c r="AH2810" t="str">
        <f t="shared" si="319"/>
        <v>2nd Quality</v>
      </c>
      <c r="AJ2810">
        <f>((T2810-X2810)*2)/14.7</f>
        <v>46.3690044596354</v>
      </c>
      <c r="AK2810">
        <f t="shared" si="317"/>
        <v>394538.872564103</v>
      </c>
    </row>
    <row r="2811" spans="1:37">
      <c r="A2811" t="s">
        <v>2877</v>
      </c>
      <c r="B2811">
        <v>33</v>
      </c>
      <c r="C2811" t="s">
        <v>50</v>
      </c>
      <c r="D2811" t="s">
        <v>45</v>
      </c>
      <c r="E2811">
        <v>793</v>
      </c>
      <c r="F2811">
        <v>12</v>
      </c>
      <c r="G2811">
        <v>39</v>
      </c>
      <c r="H2811">
        <v>5578.21</v>
      </c>
      <c r="I2811">
        <v>204919.05</v>
      </c>
      <c r="J2811">
        <v>240</v>
      </c>
      <c r="K2811">
        <v>3</v>
      </c>
      <c r="L2811">
        <v>17.7</v>
      </c>
      <c r="M2811">
        <v>36.4</v>
      </c>
      <c r="N2811" t="s">
        <v>52</v>
      </c>
      <c r="O2811" t="s">
        <v>75</v>
      </c>
      <c r="P2811" t="s">
        <v>48</v>
      </c>
      <c r="R2811">
        <f>SUMIF(A2811:A7810,"C02810",I2811:I7810)</f>
        <v>204919.05</v>
      </c>
      <c r="S2811" s="1">
        <v>5556.98</v>
      </c>
      <c r="T2811">
        <f t="shared" si="321"/>
        <v>853.829375</v>
      </c>
      <c r="U2811">
        <f t="shared" si="322"/>
        <v>8736</v>
      </c>
      <c r="V2811">
        <f>U2811</f>
        <v>8736</v>
      </c>
      <c r="W2811">
        <f t="shared" si="318"/>
        <v>70166.0866666667</v>
      </c>
      <c r="X2811">
        <f t="shared" si="323"/>
        <v>0.142160298733823</v>
      </c>
      <c r="AH2811" t="str">
        <f t="shared" si="319"/>
        <v>2nd Quality</v>
      </c>
      <c r="AJ2811">
        <f>((T2811-X2811)*2)/17.7</f>
        <v>96.4618321696346</v>
      </c>
      <c r="AK2811">
        <f t="shared" si="317"/>
        <v>677086.694375</v>
      </c>
    </row>
    <row r="2812" spans="1:37">
      <c r="A2812" t="s">
        <v>2878</v>
      </c>
      <c r="B2812">
        <v>23</v>
      </c>
      <c r="C2812" t="s">
        <v>50</v>
      </c>
      <c r="D2812" t="s">
        <v>45</v>
      </c>
      <c r="E2812">
        <v>1404</v>
      </c>
      <c r="F2812">
        <v>11</v>
      </c>
      <c r="G2812">
        <v>25</v>
      </c>
      <c r="H2812">
        <v>3227.14</v>
      </c>
      <c r="I2812">
        <v>76748.57</v>
      </c>
      <c r="J2812">
        <v>84</v>
      </c>
      <c r="K2812">
        <v>3</v>
      </c>
      <c r="L2812">
        <v>0</v>
      </c>
      <c r="M2812">
        <v>45.7</v>
      </c>
      <c r="N2812" t="s">
        <v>63</v>
      </c>
      <c r="O2812" t="s">
        <v>75</v>
      </c>
      <c r="P2812" t="s">
        <v>58</v>
      </c>
      <c r="R2812">
        <f>SUMIF(A2812:A7811,"C02811",I2812:I7811)</f>
        <v>76748.57</v>
      </c>
      <c r="S2812" s="1">
        <v>103039.67</v>
      </c>
      <c r="T2812">
        <f t="shared" si="321"/>
        <v>913.673452380952</v>
      </c>
      <c r="U2812">
        <f t="shared" si="322"/>
        <v>3838.8</v>
      </c>
      <c r="V2812">
        <f>U2812</f>
        <v>3838.8</v>
      </c>
      <c r="W2812">
        <f t="shared" si="318"/>
        <v>26658.9033333333</v>
      </c>
      <c r="X2812">
        <f t="shared" si="323"/>
        <v>0.435060146135588</v>
      </c>
      <c r="AH2812" t="str">
        <f t="shared" si="319"/>
        <v>1st Quality</v>
      </c>
      <c r="AJ2812">
        <f>((T2812-X2812)*2)</f>
        <v>1826.47678446963</v>
      </c>
      <c r="AK2812">
        <f t="shared" si="317"/>
        <v>1282797.52714286</v>
      </c>
    </row>
    <row r="2813" spans="1:37">
      <c r="A2813" t="s">
        <v>2879</v>
      </c>
      <c r="B2813">
        <v>28</v>
      </c>
      <c r="C2813" t="s">
        <v>44</v>
      </c>
      <c r="D2813" t="s">
        <v>51</v>
      </c>
      <c r="E2813">
        <v>846</v>
      </c>
      <c r="F2813">
        <v>231</v>
      </c>
      <c r="G2813">
        <v>1</v>
      </c>
      <c r="H2813">
        <v>2083.04</v>
      </c>
      <c r="I2813">
        <v>2186.29</v>
      </c>
      <c r="J2813">
        <v>18</v>
      </c>
      <c r="K2813">
        <v>0</v>
      </c>
      <c r="L2813">
        <v>27.1</v>
      </c>
      <c r="M2813">
        <v>73.7</v>
      </c>
      <c r="N2813" t="s">
        <v>63</v>
      </c>
      <c r="O2813" t="s">
        <v>47</v>
      </c>
      <c r="P2813" t="s">
        <v>58</v>
      </c>
      <c r="R2813">
        <f>SUMIF(A2813:A7812,"C02812",I2813:I7812)</f>
        <v>2186.29</v>
      </c>
      <c r="S2813" s="1">
        <v>46025.68</v>
      </c>
      <c r="T2813">
        <f t="shared" si="321"/>
        <v>121.460555555556</v>
      </c>
      <c r="U2813">
        <f t="shared" si="322"/>
        <v>1326.6</v>
      </c>
      <c r="V2813">
        <f t="shared" si="320"/>
        <v>110.55</v>
      </c>
      <c r="W2813">
        <f t="shared" si="318"/>
        <v>1423.44333333333</v>
      </c>
      <c r="X2813">
        <f t="shared" si="323"/>
        <v>0.406137184115523</v>
      </c>
      <c r="AH2813" t="str">
        <f t="shared" si="319"/>
        <v>3rd Quality</v>
      </c>
      <c r="AJ2813">
        <f>((T2813-X2813)*2)/27.1</f>
        <v>8.93390541486646</v>
      </c>
      <c r="AK2813">
        <f t="shared" si="317"/>
        <v>102755.63</v>
      </c>
    </row>
    <row r="2814" spans="1:37">
      <c r="A2814" t="s">
        <v>2880</v>
      </c>
      <c r="B2814">
        <v>36</v>
      </c>
      <c r="C2814" t="s">
        <v>50</v>
      </c>
      <c r="D2814" t="s">
        <v>45</v>
      </c>
      <c r="E2814">
        <v>872</v>
      </c>
      <c r="F2814">
        <v>108</v>
      </c>
      <c r="G2814">
        <v>5</v>
      </c>
      <c r="H2814">
        <v>998.77</v>
      </c>
      <c r="I2814">
        <v>5556.98</v>
      </c>
      <c r="J2814">
        <v>46</v>
      </c>
      <c r="K2814">
        <v>0</v>
      </c>
      <c r="L2814">
        <v>29</v>
      </c>
      <c r="M2814">
        <v>60.2</v>
      </c>
      <c r="N2814" t="s">
        <v>63</v>
      </c>
      <c r="O2814" t="s">
        <v>47</v>
      </c>
      <c r="P2814" t="s">
        <v>58</v>
      </c>
      <c r="R2814">
        <f>SUMIF(A2814:A7813,"C02813",I2814:I7813)</f>
        <v>5556.98</v>
      </c>
      <c r="S2814" s="1">
        <v>19715.42</v>
      </c>
      <c r="T2814">
        <f t="shared" si="321"/>
        <v>120.803913043478</v>
      </c>
      <c r="U2814">
        <f t="shared" si="322"/>
        <v>2769.2</v>
      </c>
      <c r="V2814">
        <f t="shared" si="320"/>
        <v>230.766666666667</v>
      </c>
      <c r="W2814">
        <f t="shared" si="318"/>
        <v>2185.58333333333</v>
      </c>
      <c r="X2814">
        <f t="shared" si="323"/>
        <v>0.873073880873474</v>
      </c>
      <c r="AH2814" t="str">
        <f t="shared" si="319"/>
        <v>3rd Quality</v>
      </c>
      <c r="AJ2814">
        <f>((T2814-X2814)*2)/29</f>
        <v>8.27109235604169</v>
      </c>
      <c r="AK2814">
        <f t="shared" si="317"/>
        <v>105341.012173913</v>
      </c>
    </row>
    <row r="2815" spans="1:37">
      <c r="A2815" t="s">
        <v>2881</v>
      </c>
      <c r="B2815">
        <v>32</v>
      </c>
      <c r="C2815" t="s">
        <v>50</v>
      </c>
      <c r="D2815" t="s">
        <v>60</v>
      </c>
      <c r="E2815">
        <v>862</v>
      </c>
      <c r="F2815">
        <v>5</v>
      </c>
      <c r="G2815">
        <v>31</v>
      </c>
      <c r="H2815">
        <v>3730.88</v>
      </c>
      <c r="I2815">
        <v>103039.67</v>
      </c>
      <c r="J2815">
        <v>259</v>
      </c>
      <c r="K2815">
        <v>3</v>
      </c>
      <c r="L2815">
        <v>8.4</v>
      </c>
      <c r="M2815">
        <v>38.2</v>
      </c>
      <c r="N2815" t="s">
        <v>78</v>
      </c>
      <c r="O2815" t="s">
        <v>47</v>
      </c>
      <c r="P2815" t="s">
        <v>58</v>
      </c>
      <c r="R2815">
        <f>SUMIF(A2815:A7814,"C02814",I2815:I7814)</f>
        <v>103039.67</v>
      </c>
      <c r="S2815" s="1">
        <v>27558.61</v>
      </c>
      <c r="T2815">
        <f t="shared" si="321"/>
        <v>397.836563706564</v>
      </c>
      <c r="U2815">
        <f t="shared" si="322"/>
        <v>9893.8</v>
      </c>
      <c r="V2815">
        <f>U2815</f>
        <v>9893.8</v>
      </c>
      <c r="W2815">
        <f t="shared" si="318"/>
        <v>35590.5166666667</v>
      </c>
      <c r="X2815">
        <f t="shared" si="323"/>
        <v>0.231044686508277</v>
      </c>
      <c r="AH2815" t="str">
        <f t="shared" si="319"/>
        <v>2nd Quality</v>
      </c>
      <c r="AJ2815">
        <f>((T2815-X2815)*2)/8.4</f>
        <v>94.6679807190609</v>
      </c>
      <c r="AK2815">
        <f t="shared" si="317"/>
        <v>342935.117915058</v>
      </c>
    </row>
    <row r="2816" spans="1:37">
      <c r="A2816" t="s">
        <v>2882</v>
      </c>
      <c r="B2816">
        <v>49</v>
      </c>
      <c r="C2816" t="s">
        <v>44</v>
      </c>
      <c r="D2816" t="s">
        <v>45</v>
      </c>
      <c r="E2816">
        <v>1250</v>
      </c>
      <c r="F2816">
        <v>15</v>
      </c>
      <c r="G2816">
        <v>22</v>
      </c>
      <c r="H2816">
        <v>2184.95</v>
      </c>
      <c r="I2816">
        <v>46025.68</v>
      </c>
      <c r="J2816">
        <v>186</v>
      </c>
      <c r="K2816">
        <v>4</v>
      </c>
      <c r="L2816">
        <v>7.8</v>
      </c>
      <c r="M2816">
        <v>58.5</v>
      </c>
      <c r="N2816" t="s">
        <v>52</v>
      </c>
      <c r="O2816" t="s">
        <v>47</v>
      </c>
      <c r="P2816" t="s">
        <v>58</v>
      </c>
      <c r="R2816">
        <f>SUMIF(A2816:A7815,"C02815",I2816:I7815)</f>
        <v>46025.68</v>
      </c>
      <c r="S2816" s="1">
        <v>48231.23</v>
      </c>
      <c r="T2816">
        <f t="shared" si="321"/>
        <v>247.449892473118</v>
      </c>
      <c r="U2816">
        <f t="shared" si="322"/>
        <v>10881</v>
      </c>
      <c r="V2816">
        <f>U2816</f>
        <v>10881</v>
      </c>
      <c r="W2816">
        <f t="shared" si="318"/>
        <v>16070.5433333333</v>
      </c>
      <c r="X2816">
        <f t="shared" si="323"/>
        <v>0.572095471292249</v>
      </c>
      <c r="AH2816" t="str">
        <f t="shared" si="319"/>
        <v>3rd Quality</v>
      </c>
      <c r="AJ2816">
        <f>((T2816-X2816)*2)/7.8</f>
        <v>63.3019992312374</v>
      </c>
      <c r="AK2816">
        <f t="shared" si="317"/>
        <v>309312.365591398</v>
      </c>
    </row>
    <row r="2817" spans="1:37">
      <c r="A2817" t="s">
        <v>2883</v>
      </c>
      <c r="B2817">
        <v>33</v>
      </c>
      <c r="C2817" t="s">
        <v>50</v>
      </c>
      <c r="D2817" t="s">
        <v>45</v>
      </c>
      <c r="E2817">
        <v>1205</v>
      </c>
      <c r="F2817">
        <v>14</v>
      </c>
      <c r="G2817">
        <v>2</v>
      </c>
      <c r="H2817">
        <v>9476.92</v>
      </c>
      <c r="I2817">
        <v>19715.42</v>
      </c>
      <c r="J2817">
        <v>13</v>
      </c>
      <c r="K2817">
        <v>0</v>
      </c>
      <c r="L2817">
        <v>5.9</v>
      </c>
      <c r="M2817">
        <v>7.7</v>
      </c>
      <c r="N2817" t="s">
        <v>52</v>
      </c>
      <c r="O2817" t="s">
        <v>47</v>
      </c>
      <c r="P2817" t="s">
        <v>48</v>
      </c>
      <c r="R2817">
        <f>SUMIF(A2817:A7816,"C02816",I2817:I7816)</f>
        <v>19715.42</v>
      </c>
      <c r="S2817" s="1">
        <v>5275.03</v>
      </c>
      <c r="T2817">
        <f t="shared" si="321"/>
        <v>1516.57076923077</v>
      </c>
      <c r="U2817">
        <f t="shared" si="322"/>
        <v>100.1</v>
      </c>
      <c r="V2817">
        <f t="shared" si="320"/>
        <v>8.34166666666667</v>
      </c>
      <c r="W2817">
        <f t="shared" si="318"/>
        <v>9731.11333333333</v>
      </c>
      <c r="X2817">
        <f t="shared" si="323"/>
        <v>0.127151015308771</v>
      </c>
      <c r="AH2817" t="str">
        <f t="shared" si="319"/>
        <v>2nd Quality</v>
      </c>
      <c r="AJ2817">
        <f>((T2817-X2817)*2)/5.9</f>
        <v>514.048684140834</v>
      </c>
      <c r="AK2817">
        <f t="shared" si="317"/>
        <v>1827467.77692308</v>
      </c>
    </row>
    <row r="2818" spans="1:37">
      <c r="A2818" t="s">
        <v>2884</v>
      </c>
      <c r="B2818">
        <v>23</v>
      </c>
      <c r="C2818" t="s">
        <v>44</v>
      </c>
      <c r="D2818" t="s">
        <v>45</v>
      </c>
      <c r="E2818">
        <v>1415</v>
      </c>
      <c r="F2818">
        <v>40</v>
      </c>
      <c r="G2818">
        <v>9</v>
      </c>
      <c r="H2818">
        <v>3211.66</v>
      </c>
      <c r="I2818">
        <v>27558.61</v>
      </c>
      <c r="J2818">
        <v>33</v>
      </c>
      <c r="K2818">
        <v>1</v>
      </c>
      <c r="L2818">
        <v>11.1</v>
      </c>
      <c r="M2818">
        <v>25.1</v>
      </c>
      <c r="N2818" t="s">
        <v>57</v>
      </c>
      <c r="O2818" t="s">
        <v>75</v>
      </c>
      <c r="P2818" t="s">
        <v>58</v>
      </c>
      <c r="R2818">
        <f>SUMIF(A2818:A7817,"C02817",I2818:I7817)</f>
        <v>27558.61</v>
      </c>
      <c r="S2818" s="1">
        <v>1513.54</v>
      </c>
      <c r="T2818">
        <f t="shared" si="321"/>
        <v>835.109393939394</v>
      </c>
      <c r="U2818">
        <f t="shared" si="322"/>
        <v>828.3</v>
      </c>
      <c r="V2818">
        <f>U2818</f>
        <v>828.3</v>
      </c>
      <c r="W2818">
        <f t="shared" si="318"/>
        <v>10257.09</v>
      </c>
      <c r="X2818">
        <f t="shared" si="323"/>
        <v>0.440582128867937</v>
      </c>
      <c r="AH2818" t="str">
        <f t="shared" si="319"/>
        <v>2nd Quality</v>
      </c>
      <c r="AJ2818">
        <f>((T2818-X2818)*2)/11.1</f>
        <v>150.390776902797</v>
      </c>
      <c r="AK2818">
        <f t="shared" si="317"/>
        <v>1181679.79242424</v>
      </c>
    </row>
    <row r="2819" spans="1:37">
      <c r="A2819" t="s">
        <v>2885</v>
      </c>
      <c r="B2819">
        <v>21</v>
      </c>
      <c r="C2819" t="s">
        <v>44</v>
      </c>
      <c r="D2819" t="s">
        <v>60</v>
      </c>
      <c r="E2819">
        <v>822</v>
      </c>
      <c r="F2819">
        <v>25</v>
      </c>
      <c r="G2819">
        <v>3</v>
      </c>
      <c r="H2819">
        <v>17364.29</v>
      </c>
      <c r="I2819">
        <v>48231.23</v>
      </c>
      <c r="J2819">
        <v>10</v>
      </c>
      <c r="K2819">
        <v>0</v>
      </c>
      <c r="L2819">
        <v>8.8</v>
      </c>
      <c r="M2819">
        <v>47.4</v>
      </c>
      <c r="N2819" t="s">
        <v>61</v>
      </c>
      <c r="O2819" t="s">
        <v>47</v>
      </c>
      <c r="P2819" t="s">
        <v>68</v>
      </c>
      <c r="R2819">
        <f>SUMIF(A2819:A7818,"C02818",I2819:I7818)</f>
        <v>48231.23</v>
      </c>
      <c r="S2819" s="1">
        <v>6922.96</v>
      </c>
      <c r="T2819">
        <f t="shared" si="321"/>
        <v>4823.123</v>
      </c>
      <c r="U2819">
        <f t="shared" si="322"/>
        <v>474</v>
      </c>
      <c r="V2819">
        <f t="shared" si="320"/>
        <v>39.5</v>
      </c>
      <c r="W2819">
        <f t="shared" si="318"/>
        <v>21865.5066666667</v>
      </c>
      <c r="X2819">
        <f t="shared" si="323"/>
        <v>0.0473385321254137</v>
      </c>
      <c r="AH2819" t="str">
        <f t="shared" si="319"/>
        <v>2nd Quality</v>
      </c>
      <c r="AJ2819">
        <f>((T2819-X2819)*2)/8.8</f>
        <v>1096.15355942452</v>
      </c>
      <c r="AK2819">
        <f t="shared" ref="AK2819:AK2882" si="324">I2819/J2819*E2819</f>
        <v>3964607.106</v>
      </c>
    </row>
    <row r="2820" spans="1:37">
      <c r="A2820" t="s">
        <v>2886</v>
      </c>
      <c r="B2820">
        <v>55</v>
      </c>
      <c r="C2820" t="s">
        <v>50</v>
      </c>
      <c r="D2820" t="s">
        <v>45</v>
      </c>
      <c r="E2820">
        <v>1287</v>
      </c>
      <c r="F2820">
        <v>22</v>
      </c>
      <c r="G2820">
        <v>4</v>
      </c>
      <c r="H2820">
        <v>1433</v>
      </c>
      <c r="I2820">
        <v>5275.03</v>
      </c>
      <c r="J2820">
        <v>35</v>
      </c>
      <c r="K2820">
        <v>1</v>
      </c>
      <c r="L2820">
        <v>23.4</v>
      </c>
      <c r="M2820">
        <v>22.5</v>
      </c>
      <c r="N2820" t="s">
        <v>61</v>
      </c>
      <c r="O2820" t="s">
        <v>53</v>
      </c>
      <c r="P2820" t="s">
        <v>58</v>
      </c>
      <c r="R2820">
        <f>SUMIF(A2820:A7819,"C02819",I2820:I7819)</f>
        <v>5275.03</v>
      </c>
      <c r="S2820" s="1">
        <v>635.5</v>
      </c>
      <c r="T2820">
        <f t="shared" si="321"/>
        <v>150.715142857143</v>
      </c>
      <c r="U2820">
        <f t="shared" si="322"/>
        <v>787.5</v>
      </c>
      <c r="V2820">
        <f>U2820</f>
        <v>787.5</v>
      </c>
      <c r="W2820">
        <f t="shared" si="318"/>
        <v>2236.34333333333</v>
      </c>
      <c r="X2820">
        <f t="shared" si="323"/>
        <v>0.898115840893231</v>
      </c>
      <c r="AH2820" t="str">
        <f t="shared" si="319"/>
        <v>3rd Quality</v>
      </c>
      <c r="AJ2820">
        <f>((T2820-X2820)*2)/23.4</f>
        <v>12.804874103953</v>
      </c>
      <c r="AK2820">
        <f t="shared" si="324"/>
        <v>193970.388857143</v>
      </c>
    </row>
    <row r="2821" spans="1:37">
      <c r="A2821" t="s">
        <v>2887</v>
      </c>
      <c r="B2821">
        <v>38</v>
      </c>
      <c r="C2821" t="s">
        <v>50</v>
      </c>
      <c r="D2821" t="s">
        <v>45</v>
      </c>
      <c r="E2821">
        <v>374</v>
      </c>
      <c r="F2821">
        <v>181</v>
      </c>
      <c r="G2821">
        <v>1</v>
      </c>
      <c r="H2821">
        <v>1478.78</v>
      </c>
      <c r="I2821">
        <v>1513.54</v>
      </c>
      <c r="J2821">
        <v>14</v>
      </c>
      <c r="K2821">
        <v>0</v>
      </c>
      <c r="L2821">
        <v>14.4</v>
      </c>
      <c r="M2821">
        <v>21.9</v>
      </c>
      <c r="N2821" t="s">
        <v>57</v>
      </c>
      <c r="O2821" t="s">
        <v>53</v>
      </c>
      <c r="P2821" t="s">
        <v>58</v>
      </c>
      <c r="R2821">
        <f>SUMIF(A2821:A7820,"C02820",I2821:I7820)</f>
        <v>1513.54</v>
      </c>
      <c r="S2821" s="1">
        <v>72428.06</v>
      </c>
      <c r="T2821">
        <f t="shared" si="321"/>
        <v>108.11</v>
      </c>
      <c r="U2821">
        <f t="shared" si="322"/>
        <v>306.6</v>
      </c>
      <c r="V2821">
        <f t="shared" si="320"/>
        <v>25.55</v>
      </c>
      <c r="W2821">
        <f t="shared" si="318"/>
        <v>997.773333333333</v>
      </c>
      <c r="X2821">
        <f t="shared" si="323"/>
        <v>0.252911183543191</v>
      </c>
      <c r="AH2821" t="str">
        <f t="shared" si="319"/>
        <v>3rd Quality</v>
      </c>
      <c r="AJ2821">
        <f>((T2821-X2821)*2)/14.4</f>
        <v>14.9801512245079</v>
      </c>
      <c r="AK2821">
        <f t="shared" si="324"/>
        <v>40433.14</v>
      </c>
    </row>
    <row r="2822" spans="1:37">
      <c r="A2822" t="s">
        <v>2888</v>
      </c>
      <c r="B2822">
        <v>24</v>
      </c>
      <c r="C2822" t="s">
        <v>50</v>
      </c>
      <c r="D2822" t="s">
        <v>45</v>
      </c>
      <c r="E2822">
        <v>1045</v>
      </c>
      <c r="F2822">
        <v>40</v>
      </c>
      <c r="G2822">
        <v>13</v>
      </c>
      <c r="H2822">
        <v>581.21</v>
      </c>
      <c r="I2822">
        <v>6922.96</v>
      </c>
      <c r="J2822">
        <v>88</v>
      </c>
      <c r="K2822">
        <v>0</v>
      </c>
      <c r="L2822">
        <v>23.4</v>
      </c>
      <c r="M2822">
        <v>39</v>
      </c>
      <c r="N2822" t="s">
        <v>61</v>
      </c>
      <c r="O2822" t="s">
        <v>47</v>
      </c>
      <c r="P2822" t="s">
        <v>58</v>
      </c>
      <c r="R2822">
        <f>SUMIF(A2822:A7821,"C02821",I2822:I7821)</f>
        <v>6922.96</v>
      </c>
      <c r="S2822" s="1">
        <v>1450.39</v>
      </c>
      <c r="T2822">
        <f t="shared" si="321"/>
        <v>78.67</v>
      </c>
      <c r="U2822">
        <f t="shared" si="322"/>
        <v>3432</v>
      </c>
      <c r="V2822">
        <f t="shared" si="320"/>
        <v>286</v>
      </c>
      <c r="W2822">
        <f t="shared" si="318"/>
        <v>2501.72333333333</v>
      </c>
      <c r="X2822">
        <f t="shared" si="323"/>
        <v>1.7979731938542</v>
      </c>
      <c r="AH2822" t="str">
        <f t="shared" si="319"/>
        <v>3rd Quality</v>
      </c>
      <c r="AJ2822">
        <f>((T2822-X2822)*2)/23.4</f>
        <v>6.57025870137998</v>
      </c>
      <c r="AK2822">
        <f t="shared" si="324"/>
        <v>82210.15</v>
      </c>
    </row>
    <row r="2823" spans="1:37">
      <c r="A2823" t="s">
        <v>2889</v>
      </c>
      <c r="B2823">
        <v>53</v>
      </c>
      <c r="C2823" t="s">
        <v>50</v>
      </c>
      <c r="D2823" t="s">
        <v>60</v>
      </c>
      <c r="E2823">
        <v>1034</v>
      </c>
      <c r="F2823">
        <v>144</v>
      </c>
      <c r="G2823">
        <v>1</v>
      </c>
      <c r="H2823">
        <v>703.63</v>
      </c>
      <c r="I2823">
        <v>635.5</v>
      </c>
      <c r="J2823">
        <v>8</v>
      </c>
      <c r="K2823">
        <v>0</v>
      </c>
      <c r="L2823">
        <v>27.6</v>
      </c>
      <c r="M2823">
        <v>26.4</v>
      </c>
      <c r="N2823" t="s">
        <v>57</v>
      </c>
      <c r="O2823" t="s">
        <v>47</v>
      </c>
      <c r="P2823" t="s">
        <v>68</v>
      </c>
      <c r="R2823">
        <f>SUMIF(A2823:A7822,"C02822",I2823:I7822)</f>
        <v>635.5</v>
      </c>
      <c r="S2823" s="1">
        <v>1693.81</v>
      </c>
      <c r="T2823">
        <f t="shared" si="321"/>
        <v>79.4375</v>
      </c>
      <c r="U2823">
        <f t="shared" si="322"/>
        <v>211.2</v>
      </c>
      <c r="V2823">
        <f t="shared" si="320"/>
        <v>17.6</v>
      </c>
      <c r="W2823">
        <f t="shared" si="318"/>
        <v>446.71</v>
      </c>
      <c r="X2823">
        <f t="shared" si="323"/>
        <v>1.46952233418132</v>
      </c>
      <c r="AH2823" t="str">
        <f t="shared" si="319"/>
        <v>3rd Quality</v>
      </c>
      <c r="AJ2823">
        <f>((T2823-X2823)*2)/27.6</f>
        <v>5.64985345404483</v>
      </c>
      <c r="AK2823">
        <f t="shared" si="324"/>
        <v>82138.375</v>
      </c>
    </row>
    <row r="2824" spans="1:37">
      <c r="A2824" t="s">
        <v>2890</v>
      </c>
      <c r="B2824">
        <v>30</v>
      </c>
      <c r="C2824" t="s">
        <v>44</v>
      </c>
      <c r="D2824" t="s">
        <v>45</v>
      </c>
      <c r="E2824">
        <v>425</v>
      </c>
      <c r="F2824">
        <v>10</v>
      </c>
      <c r="G2824">
        <v>22</v>
      </c>
      <c r="H2824">
        <v>3106.05</v>
      </c>
      <c r="I2824">
        <v>72428.06</v>
      </c>
      <c r="J2824">
        <v>138</v>
      </c>
      <c r="K2824">
        <v>2</v>
      </c>
      <c r="L2824">
        <v>8.5</v>
      </c>
      <c r="M2824">
        <v>48.6</v>
      </c>
      <c r="N2824" t="s">
        <v>61</v>
      </c>
      <c r="O2824" t="s">
        <v>75</v>
      </c>
      <c r="P2824" t="s">
        <v>66</v>
      </c>
      <c r="R2824">
        <f>SUMIF(A2824:A7823,"C02823",I2824:I7823)</f>
        <v>72428.06</v>
      </c>
      <c r="S2824" s="1">
        <v>2151.76</v>
      </c>
      <c r="T2824">
        <f t="shared" si="321"/>
        <v>524.841014492754</v>
      </c>
      <c r="U2824">
        <f t="shared" si="322"/>
        <v>6706.8</v>
      </c>
      <c r="V2824">
        <f>U2824</f>
        <v>6706.8</v>
      </c>
      <c r="W2824">
        <f t="shared" si="318"/>
        <v>25178.37</v>
      </c>
      <c r="X2824">
        <f t="shared" si="323"/>
        <v>0.13682973551617</v>
      </c>
      <c r="AH2824" t="str">
        <f t="shared" si="319"/>
        <v>3rd Quality</v>
      </c>
      <c r="AJ2824">
        <f>((T2824-X2824)*2)/8.5</f>
        <v>123.459808178174</v>
      </c>
      <c r="AK2824">
        <f t="shared" si="324"/>
        <v>223057.43115942</v>
      </c>
    </row>
    <row r="2825" spans="1:37">
      <c r="A2825" t="s">
        <v>2891</v>
      </c>
      <c r="B2825">
        <v>18</v>
      </c>
      <c r="C2825" t="s">
        <v>44</v>
      </c>
      <c r="D2825" t="s">
        <v>60</v>
      </c>
      <c r="E2825">
        <v>556</v>
      </c>
      <c r="F2825">
        <v>365</v>
      </c>
      <c r="G2825">
        <v>1</v>
      </c>
      <c r="H2825">
        <v>1506.89</v>
      </c>
      <c r="I2825">
        <v>1450.39</v>
      </c>
      <c r="J2825">
        <v>10</v>
      </c>
      <c r="K2825">
        <v>0</v>
      </c>
      <c r="L2825">
        <v>19.9</v>
      </c>
      <c r="M2825">
        <v>10.1</v>
      </c>
      <c r="N2825" t="s">
        <v>81</v>
      </c>
      <c r="O2825" t="s">
        <v>47</v>
      </c>
      <c r="P2825" t="s">
        <v>58</v>
      </c>
      <c r="R2825">
        <f>SUMIF(A2825:A7824,"C02824",I2825:I7824)</f>
        <v>1450.39</v>
      </c>
      <c r="S2825" s="1">
        <v>5049.09</v>
      </c>
      <c r="T2825">
        <f t="shared" si="321"/>
        <v>145.039</v>
      </c>
      <c r="U2825">
        <f t="shared" si="322"/>
        <v>101</v>
      </c>
      <c r="V2825">
        <f t="shared" si="320"/>
        <v>8.41666666666667</v>
      </c>
      <c r="W2825">
        <f t="shared" ref="W2825:W2888" si="325">(H2825+I2825+1)/3</f>
        <v>986.093333333333</v>
      </c>
      <c r="X2825">
        <f t="shared" si="323"/>
        <v>0.368971855941708</v>
      </c>
      <c r="AH2825" t="str">
        <f t="shared" si="319"/>
        <v>3rd Quality</v>
      </c>
      <c r="AJ2825">
        <f>((T2825-X2825)*2)/19.9</f>
        <v>14.5397013210109</v>
      </c>
      <c r="AK2825">
        <f t="shared" si="324"/>
        <v>80641.684</v>
      </c>
    </row>
    <row r="2826" spans="1:37">
      <c r="A2826" t="s">
        <v>2892</v>
      </c>
      <c r="B2826">
        <v>23</v>
      </c>
      <c r="C2826" t="s">
        <v>44</v>
      </c>
      <c r="D2826" t="s">
        <v>60</v>
      </c>
      <c r="E2826">
        <v>1433</v>
      </c>
      <c r="F2826">
        <v>118</v>
      </c>
      <c r="G2826">
        <v>1</v>
      </c>
      <c r="H2826">
        <v>1547.3</v>
      </c>
      <c r="I2826">
        <v>1693.81</v>
      </c>
      <c r="J2826">
        <v>9</v>
      </c>
      <c r="K2826">
        <v>0</v>
      </c>
      <c r="L2826">
        <v>15.4</v>
      </c>
      <c r="M2826">
        <v>14</v>
      </c>
      <c r="N2826" t="s">
        <v>78</v>
      </c>
      <c r="O2826" t="s">
        <v>47</v>
      </c>
      <c r="P2826" t="s">
        <v>58</v>
      </c>
      <c r="R2826">
        <f>SUMIF(A2826:A7825,"C02825",I2826:I7825)</f>
        <v>1693.81</v>
      </c>
      <c r="S2826" s="1">
        <v>85477.93</v>
      </c>
      <c r="T2826">
        <f t="shared" si="321"/>
        <v>188.201111111111</v>
      </c>
      <c r="U2826">
        <f t="shared" si="322"/>
        <v>126</v>
      </c>
      <c r="V2826">
        <f t="shared" si="320"/>
        <v>10.5</v>
      </c>
      <c r="W2826">
        <f t="shared" si="325"/>
        <v>1080.70333333333</v>
      </c>
      <c r="X2826">
        <f t="shared" si="323"/>
        <v>0.92612938667356</v>
      </c>
      <c r="AH2826" t="str">
        <f t="shared" si="319"/>
        <v>3rd Quality</v>
      </c>
      <c r="AJ2826">
        <f>((T2826-X2826)*2)/15.4</f>
        <v>24.3214261979789</v>
      </c>
      <c r="AK2826">
        <f t="shared" si="324"/>
        <v>269692.192222222</v>
      </c>
    </row>
    <row r="2827" spans="1:37">
      <c r="A2827" t="s">
        <v>2893</v>
      </c>
      <c r="B2827">
        <v>31</v>
      </c>
      <c r="C2827" t="s">
        <v>101</v>
      </c>
      <c r="D2827" t="s">
        <v>45</v>
      </c>
      <c r="E2827">
        <v>397</v>
      </c>
      <c r="F2827">
        <v>71</v>
      </c>
      <c r="G2827">
        <v>2</v>
      </c>
      <c r="H2827">
        <v>1076.81</v>
      </c>
      <c r="I2827">
        <v>2151.76</v>
      </c>
      <c r="J2827">
        <v>19</v>
      </c>
      <c r="K2827">
        <v>1</v>
      </c>
      <c r="L2827">
        <v>23.6</v>
      </c>
      <c r="M2827">
        <v>27.3</v>
      </c>
      <c r="N2827" t="s">
        <v>63</v>
      </c>
      <c r="O2827" t="s">
        <v>47</v>
      </c>
      <c r="P2827" t="s">
        <v>58</v>
      </c>
      <c r="R2827">
        <f>SUMIF(A2827:A7826,"C02826",I2827:I7826)</f>
        <v>2151.76</v>
      </c>
      <c r="S2827" s="1">
        <v>2669.24</v>
      </c>
      <c r="T2827">
        <f t="shared" si="321"/>
        <v>113.250526315789</v>
      </c>
      <c r="U2827">
        <f t="shared" si="322"/>
        <v>518.7</v>
      </c>
      <c r="V2827">
        <f>U2827</f>
        <v>518.7</v>
      </c>
      <c r="W2827">
        <f t="shared" si="325"/>
        <v>1076.52333333333</v>
      </c>
      <c r="X2827">
        <f t="shared" si="323"/>
        <v>0.368681568707571</v>
      </c>
      <c r="AH2827" t="str">
        <f t="shared" si="319"/>
        <v>3rd Quality</v>
      </c>
      <c r="AJ2827">
        <f>((T2827-X2827)*2)/23.6</f>
        <v>9.56625802941368</v>
      </c>
      <c r="AK2827">
        <f t="shared" si="324"/>
        <v>44960.4589473684</v>
      </c>
    </row>
    <row r="2828" spans="1:37">
      <c r="A2828" t="s">
        <v>2894</v>
      </c>
      <c r="B2828">
        <v>30</v>
      </c>
      <c r="C2828" t="s">
        <v>44</v>
      </c>
      <c r="D2828" t="s">
        <v>45</v>
      </c>
      <c r="E2828">
        <v>921</v>
      </c>
      <c r="F2828">
        <v>49</v>
      </c>
      <c r="G2828">
        <v>6</v>
      </c>
      <c r="H2828">
        <v>923.09</v>
      </c>
      <c r="I2828">
        <v>5049.09</v>
      </c>
      <c r="J2828">
        <v>27</v>
      </c>
      <c r="K2828">
        <v>1</v>
      </c>
      <c r="L2828">
        <v>27.3</v>
      </c>
      <c r="M2828">
        <v>19.2</v>
      </c>
      <c r="N2828" t="s">
        <v>52</v>
      </c>
      <c r="O2828" t="s">
        <v>75</v>
      </c>
      <c r="P2828" t="s">
        <v>54</v>
      </c>
      <c r="R2828">
        <f>SUMIF(A2828:A7827,"C02827",I2828:I7827)</f>
        <v>5049.09</v>
      </c>
      <c r="S2828" s="1">
        <v>2212.98</v>
      </c>
      <c r="T2828">
        <f t="shared" si="321"/>
        <v>187.003333333333</v>
      </c>
      <c r="U2828">
        <f t="shared" si="322"/>
        <v>518.4</v>
      </c>
      <c r="V2828">
        <f>U2828</f>
        <v>518.4</v>
      </c>
      <c r="W2828">
        <f t="shared" si="325"/>
        <v>1991.06</v>
      </c>
      <c r="X2828">
        <f t="shared" si="323"/>
        <v>0.997735865408573</v>
      </c>
      <c r="AH2828" t="str">
        <f t="shared" si="319"/>
        <v>3rd Quality</v>
      </c>
      <c r="AJ2828">
        <f>((T2828-X2828)*2)/27.3</f>
        <v>13.6267836972838</v>
      </c>
      <c r="AK2828">
        <f t="shared" si="324"/>
        <v>172230.07</v>
      </c>
    </row>
    <row r="2829" spans="1:37">
      <c r="A2829" t="s">
        <v>2895</v>
      </c>
      <c r="B2829">
        <v>37</v>
      </c>
      <c r="C2829" t="s">
        <v>44</v>
      </c>
      <c r="D2829" t="s">
        <v>60</v>
      </c>
      <c r="E2829">
        <v>1218</v>
      </c>
      <c r="F2829">
        <v>3</v>
      </c>
      <c r="G2829">
        <v>26</v>
      </c>
      <c r="H2829">
        <v>3549.33</v>
      </c>
      <c r="I2829">
        <v>85477.93</v>
      </c>
      <c r="J2829">
        <v>136</v>
      </c>
      <c r="K2829">
        <v>2</v>
      </c>
      <c r="L2829">
        <v>1.5</v>
      </c>
      <c r="M2829">
        <v>59.5</v>
      </c>
      <c r="N2829" t="s">
        <v>57</v>
      </c>
      <c r="O2829" t="s">
        <v>47</v>
      </c>
      <c r="P2829" t="s">
        <v>48</v>
      </c>
      <c r="R2829">
        <f>SUMIF(A2829:A7828,"C02828",I2829:I7828)</f>
        <v>85477.93</v>
      </c>
      <c r="S2829" s="1">
        <v>24375.23</v>
      </c>
      <c r="T2829">
        <f t="shared" si="321"/>
        <v>628.51419117647</v>
      </c>
      <c r="U2829">
        <f t="shared" si="322"/>
        <v>8092</v>
      </c>
      <c r="V2829">
        <f>U2829</f>
        <v>8092</v>
      </c>
      <c r="W2829">
        <f t="shared" si="325"/>
        <v>29676.0866666667</v>
      </c>
      <c r="X2829">
        <f t="shared" si="323"/>
        <v>0.343163357591433</v>
      </c>
      <c r="AH2829" t="str">
        <f t="shared" si="319"/>
        <v>2nd Quality</v>
      </c>
      <c r="AJ2829">
        <f>((T2829-X2829)*2)/1.5</f>
        <v>837.561370425172</v>
      </c>
      <c r="AK2829">
        <f t="shared" si="324"/>
        <v>765530.284852941</v>
      </c>
    </row>
    <row r="2830" spans="1:37">
      <c r="A2830" t="s">
        <v>2896</v>
      </c>
      <c r="B2830">
        <v>56</v>
      </c>
      <c r="C2830" t="s">
        <v>44</v>
      </c>
      <c r="D2830" t="s">
        <v>60</v>
      </c>
      <c r="E2830">
        <v>1442</v>
      </c>
      <c r="F2830">
        <v>156</v>
      </c>
      <c r="G2830">
        <v>3</v>
      </c>
      <c r="H2830">
        <v>815.12</v>
      </c>
      <c r="I2830">
        <v>2669.24</v>
      </c>
      <c r="J2830">
        <v>28</v>
      </c>
      <c r="K2830">
        <v>1</v>
      </c>
      <c r="L2830">
        <v>36.4</v>
      </c>
      <c r="M2830">
        <v>32.2</v>
      </c>
      <c r="N2830" t="s">
        <v>52</v>
      </c>
      <c r="O2830" t="s">
        <v>47</v>
      </c>
      <c r="P2830" t="s">
        <v>54</v>
      </c>
      <c r="R2830">
        <f>SUMIF(A2830:A7829,"C02829",I2830:I7829)</f>
        <v>2669.24</v>
      </c>
      <c r="S2830" s="1">
        <v>13672.52</v>
      </c>
      <c r="T2830">
        <f t="shared" si="321"/>
        <v>95.33</v>
      </c>
      <c r="U2830">
        <f t="shared" si="322"/>
        <v>901.6</v>
      </c>
      <c r="V2830">
        <f>U2830</f>
        <v>901.6</v>
      </c>
      <c r="W2830">
        <f t="shared" si="325"/>
        <v>1161.78666666667</v>
      </c>
      <c r="X2830">
        <f t="shared" si="323"/>
        <v>1.76906467759348</v>
      </c>
      <c r="AH2830" t="str">
        <f t="shared" ref="AH2830:AH2893" si="326">IF(AND(W2830&gt;=12550,B2830&lt;=33,E2830&gt;=915),"1st Quality",IF(AND(W2830&gt;=6275,B2830&lt;=43,E2830&gt;=457),"2nd Quality","3rd Quality"))</f>
        <v>3rd Quality</v>
      </c>
      <c r="AJ2830">
        <f>((T2830-X2830)*2)/36.4</f>
        <v>5.14071073200036</v>
      </c>
      <c r="AK2830">
        <f t="shared" si="324"/>
        <v>137465.86</v>
      </c>
    </row>
    <row r="2831" spans="1:37">
      <c r="A2831" t="s">
        <v>2897</v>
      </c>
      <c r="B2831">
        <v>30</v>
      </c>
      <c r="C2831" t="s">
        <v>50</v>
      </c>
      <c r="D2831" t="s">
        <v>45</v>
      </c>
      <c r="E2831">
        <v>638</v>
      </c>
      <c r="F2831">
        <v>34</v>
      </c>
      <c r="G2831">
        <v>4</v>
      </c>
      <c r="H2831">
        <v>607.87</v>
      </c>
      <c r="I2831">
        <v>2212.98</v>
      </c>
      <c r="J2831">
        <v>15</v>
      </c>
      <c r="K2831">
        <v>0</v>
      </c>
      <c r="L2831">
        <v>26.6</v>
      </c>
      <c r="M2831">
        <v>37.9</v>
      </c>
      <c r="N2831" t="s">
        <v>52</v>
      </c>
      <c r="O2831" t="s">
        <v>47</v>
      </c>
      <c r="P2831" t="s">
        <v>58</v>
      </c>
      <c r="R2831">
        <f>SUMIF(A2831:A7830,"C02830",I2831:I7830)</f>
        <v>2212.98</v>
      </c>
      <c r="S2831" s="1">
        <v>14540.15</v>
      </c>
      <c r="T2831">
        <f t="shared" si="321"/>
        <v>147.532</v>
      </c>
      <c r="U2831">
        <f t="shared" si="322"/>
        <v>568.5</v>
      </c>
      <c r="V2831">
        <f t="shared" si="320"/>
        <v>47.375</v>
      </c>
      <c r="W2831">
        <f t="shared" si="325"/>
        <v>940.616666666667</v>
      </c>
      <c r="X2831">
        <f t="shared" si="323"/>
        <v>1.04956651915706</v>
      </c>
      <c r="AH2831" t="str">
        <f t="shared" si="326"/>
        <v>3rd Quality</v>
      </c>
      <c r="AJ2831">
        <f>((T2831-X2831)*2)/26.6</f>
        <v>11.0137168030709</v>
      </c>
      <c r="AK2831">
        <f t="shared" si="324"/>
        <v>94125.416</v>
      </c>
    </row>
    <row r="2832" spans="1:37">
      <c r="A2832" t="s">
        <v>2898</v>
      </c>
      <c r="B2832">
        <v>34</v>
      </c>
      <c r="C2832" t="s">
        <v>44</v>
      </c>
      <c r="D2832" t="s">
        <v>60</v>
      </c>
      <c r="E2832">
        <v>1051</v>
      </c>
      <c r="F2832">
        <v>104</v>
      </c>
      <c r="G2832">
        <v>10</v>
      </c>
      <c r="H2832">
        <v>2550.44</v>
      </c>
      <c r="I2832">
        <v>24375.23</v>
      </c>
      <c r="J2832">
        <v>81</v>
      </c>
      <c r="K2832">
        <v>2</v>
      </c>
      <c r="L2832">
        <v>28.1</v>
      </c>
      <c r="M2832">
        <v>42</v>
      </c>
      <c r="N2832" t="s">
        <v>63</v>
      </c>
      <c r="O2832" t="s">
        <v>47</v>
      </c>
      <c r="P2832" t="s">
        <v>58</v>
      </c>
      <c r="R2832">
        <f>SUMIF(A2832:A7831,"C02831",I2832:I7831)</f>
        <v>24375.23</v>
      </c>
      <c r="S2832" s="1">
        <v>3457.28</v>
      </c>
      <c r="T2832">
        <f t="shared" si="321"/>
        <v>300.928765432099</v>
      </c>
      <c r="U2832">
        <f t="shared" si="322"/>
        <v>3402</v>
      </c>
      <c r="V2832">
        <f>U2832</f>
        <v>3402</v>
      </c>
      <c r="W2832">
        <f t="shared" si="325"/>
        <v>8975.55666666667</v>
      </c>
      <c r="X2832">
        <f t="shared" si="323"/>
        <v>0.412085757751604</v>
      </c>
      <c r="AH2832" t="str">
        <f t="shared" si="326"/>
        <v>2nd Quality</v>
      </c>
      <c r="AJ2832">
        <f>((T2832-X2832)*2)/28.1</f>
        <v>21.3890875213059</v>
      </c>
      <c r="AK2832">
        <f t="shared" si="324"/>
        <v>316276.132469136</v>
      </c>
    </row>
    <row r="2833" spans="1:37">
      <c r="A2833" t="s">
        <v>2899</v>
      </c>
      <c r="B2833">
        <v>26</v>
      </c>
      <c r="C2833" t="s">
        <v>44</v>
      </c>
      <c r="D2833" t="s">
        <v>45</v>
      </c>
      <c r="E2833">
        <v>1194</v>
      </c>
      <c r="F2833">
        <v>20</v>
      </c>
      <c r="G2833">
        <v>8</v>
      </c>
      <c r="H2833">
        <v>1793.69</v>
      </c>
      <c r="I2833">
        <v>13672.52</v>
      </c>
      <c r="J2833">
        <v>60</v>
      </c>
      <c r="K2833">
        <v>1</v>
      </c>
      <c r="L2833">
        <v>32.1</v>
      </c>
      <c r="M2833">
        <v>29.1</v>
      </c>
      <c r="N2833" t="s">
        <v>81</v>
      </c>
      <c r="O2833" t="s">
        <v>47</v>
      </c>
      <c r="P2833" t="s">
        <v>58</v>
      </c>
      <c r="R2833">
        <f>SUMIF(A2833:A7832,"C02832",I2833:I7832)</f>
        <v>13672.52</v>
      </c>
      <c r="S2833" s="1">
        <v>524.43</v>
      </c>
      <c r="T2833">
        <f t="shared" si="321"/>
        <v>227.875333333333</v>
      </c>
      <c r="U2833">
        <f t="shared" si="322"/>
        <v>1746</v>
      </c>
      <c r="V2833">
        <f>U2833</f>
        <v>1746</v>
      </c>
      <c r="W2833">
        <f t="shared" si="325"/>
        <v>5155.73666666667</v>
      </c>
      <c r="X2833">
        <f t="shared" si="323"/>
        <v>0.665666865511878</v>
      </c>
      <c r="AH2833" t="str">
        <f t="shared" si="326"/>
        <v>3rd Quality</v>
      </c>
      <c r="AJ2833">
        <f>((T2833-X2833)*2)/32.1</f>
        <v>14.1563655120138</v>
      </c>
      <c r="AK2833">
        <f t="shared" si="324"/>
        <v>272083.148</v>
      </c>
    </row>
    <row r="2834" spans="1:37">
      <c r="A2834" t="s">
        <v>2900</v>
      </c>
      <c r="B2834">
        <v>34</v>
      </c>
      <c r="C2834" t="s">
        <v>44</v>
      </c>
      <c r="D2834" t="s">
        <v>51</v>
      </c>
      <c r="E2834">
        <v>1356</v>
      </c>
      <c r="F2834">
        <v>98</v>
      </c>
      <c r="G2834">
        <v>13</v>
      </c>
      <c r="H2834">
        <v>1001.27</v>
      </c>
      <c r="I2834">
        <v>14540.15</v>
      </c>
      <c r="J2834">
        <v>31</v>
      </c>
      <c r="K2834">
        <v>2</v>
      </c>
      <c r="L2834">
        <v>21.6</v>
      </c>
      <c r="M2834">
        <v>17.7</v>
      </c>
      <c r="N2834" t="s">
        <v>52</v>
      </c>
      <c r="O2834" t="s">
        <v>47</v>
      </c>
      <c r="P2834" t="s">
        <v>66</v>
      </c>
      <c r="R2834">
        <f>SUMIF(A2834:A7833,"C02833",I2834:I7833)</f>
        <v>14540.15</v>
      </c>
      <c r="S2834" s="1">
        <v>27657.1</v>
      </c>
      <c r="T2834">
        <f t="shared" si="321"/>
        <v>469.037096774194</v>
      </c>
      <c r="U2834">
        <f t="shared" si="322"/>
        <v>548.7</v>
      </c>
      <c r="V2834">
        <f>U2834</f>
        <v>548.7</v>
      </c>
      <c r="W2834">
        <f t="shared" si="325"/>
        <v>5180.80666666667</v>
      </c>
      <c r="X2834">
        <f t="shared" si="323"/>
        <v>1.35428006431832</v>
      </c>
      <c r="AH2834" t="str">
        <f t="shared" si="326"/>
        <v>3rd Quality</v>
      </c>
      <c r="AJ2834">
        <f>((T2834-X2834)*2)/21.6</f>
        <v>43.3039645101737</v>
      </c>
      <c r="AK2834">
        <f t="shared" si="324"/>
        <v>636014.303225806</v>
      </c>
    </row>
    <row r="2835" spans="1:37">
      <c r="A2835" t="s">
        <v>2901</v>
      </c>
      <c r="B2835">
        <v>62</v>
      </c>
      <c r="C2835" t="s">
        <v>50</v>
      </c>
      <c r="D2835" t="s">
        <v>60</v>
      </c>
      <c r="E2835">
        <v>1070</v>
      </c>
      <c r="F2835">
        <v>148</v>
      </c>
      <c r="G2835">
        <v>3</v>
      </c>
      <c r="H2835">
        <v>1034.62</v>
      </c>
      <c r="I2835">
        <v>3457.28</v>
      </c>
      <c r="J2835">
        <v>28</v>
      </c>
      <c r="K2835">
        <v>0</v>
      </c>
      <c r="L2835">
        <v>35.1</v>
      </c>
      <c r="M2835">
        <v>13.3</v>
      </c>
      <c r="N2835" t="s">
        <v>81</v>
      </c>
      <c r="O2835" t="s">
        <v>47</v>
      </c>
      <c r="P2835" t="s">
        <v>66</v>
      </c>
      <c r="R2835">
        <f>SUMIF(A2835:A7834,"C02834",I2835:I7834)</f>
        <v>3457.28</v>
      </c>
      <c r="S2835" s="1">
        <v>87132.6</v>
      </c>
      <c r="T2835">
        <f t="shared" si="321"/>
        <v>123.474285714286</v>
      </c>
      <c r="U2835">
        <f t="shared" si="322"/>
        <v>372.4</v>
      </c>
      <c r="V2835">
        <f t="shared" ref="V2834:V2897" si="327">U2835/12</f>
        <v>31.0333333333333</v>
      </c>
      <c r="W2835">
        <f t="shared" si="325"/>
        <v>1497.63333333333</v>
      </c>
      <c r="X2835">
        <f t="shared" si="323"/>
        <v>1.03419612998009</v>
      </c>
      <c r="AH2835" t="str">
        <f t="shared" si="326"/>
        <v>3rd Quality</v>
      </c>
      <c r="AJ2835">
        <f>((T2835-X2835)*2)/35.1</f>
        <v>6.97664328115703</v>
      </c>
      <c r="AK2835">
        <f t="shared" si="324"/>
        <v>132117.485714286</v>
      </c>
    </row>
    <row r="2836" spans="1:37">
      <c r="A2836" t="s">
        <v>2902</v>
      </c>
      <c r="B2836">
        <v>18</v>
      </c>
      <c r="C2836" t="s">
        <v>44</v>
      </c>
      <c r="D2836" t="s">
        <v>60</v>
      </c>
      <c r="E2836">
        <v>624</v>
      </c>
      <c r="F2836">
        <v>26</v>
      </c>
      <c r="G2836">
        <v>1</v>
      </c>
      <c r="H2836">
        <v>501.32</v>
      </c>
      <c r="I2836">
        <v>524.43</v>
      </c>
      <c r="J2836">
        <v>13</v>
      </c>
      <c r="K2836">
        <v>0</v>
      </c>
      <c r="L2836">
        <v>33.4</v>
      </c>
      <c r="M2836">
        <v>22.4</v>
      </c>
      <c r="N2836" t="s">
        <v>81</v>
      </c>
      <c r="O2836" t="s">
        <v>47</v>
      </c>
      <c r="P2836" t="s">
        <v>58</v>
      </c>
      <c r="R2836">
        <f>SUMIF(A2836:A7835,"C02835",I2836:I7835)</f>
        <v>524.43</v>
      </c>
      <c r="S2836" s="1">
        <v>9660.22</v>
      </c>
      <c r="T2836">
        <f t="shared" si="321"/>
        <v>40.3407692307692</v>
      </c>
      <c r="U2836">
        <f t="shared" si="322"/>
        <v>291.2</v>
      </c>
      <c r="V2836">
        <f t="shared" si="327"/>
        <v>24.2666666666667</v>
      </c>
      <c r="W2836">
        <f t="shared" si="325"/>
        <v>342.25</v>
      </c>
      <c r="X2836">
        <f t="shared" si="323"/>
        <v>1.24471395515838</v>
      </c>
      <c r="AH2836" t="str">
        <f t="shared" si="326"/>
        <v>3rd Quality</v>
      </c>
      <c r="AJ2836">
        <f>((T2836-X2836)*2)/33.4</f>
        <v>2.34108115422819</v>
      </c>
      <c r="AK2836">
        <f t="shared" si="324"/>
        <v>25172.64</v>
      </c>
    </row>
    <row r="2837" spans="1:37">
      <c r="A2837" t="s">
        <v>2903</v>
      </c>
      <c r="B2837">
        <v>18</v>
      </c>
      <c r="C2837" t="s">
        <v>50</v>
      </c>
      <c r="D2837" t="s">
        <v>51</v>
      </c>
      <c r="E2837">
        <v>1333</v>
      </c>
      <c r="F2837">
        <v>13</v>
      </c>
      <c r="G2837">
        <v>4</v>
      </c>
      <c r="H2837">
        <v>7382.92</v>
      </c>
      <c r="I2837">
        <v>27657.1</v>
      </c>
      <c r="J2837">
        <v>25</v>
      </c>
      <c r="K2837">
        <v>0</v>
      </c>
      <c r="L2837">
        <v>7.3</v>
      </c>
      <c r="M2837">
        <v>54.8</v>
      </c>
      <c r="N2837" t="s">
        <v>57</v>
      </c>
      <c r="O2837" t="s">
        <v>47</v>
      </c>
      <c r="P2837" t="s">
        <v>54</v>
      </c>
      <c r="R2837">
        <f>SUMIF(A2837:A7836,"C02836",I2837:I7836)</f>
        <v>27657.1</v>
      </c>
      <c r="S2837" s="1">
        <v>8033.89</v>
      </c>
      <c r="T2837">
        <f t="shared" si="321"/>
        <v>1106.284</v>
      </c>
      <c r="U2837">
        <f t="shared" si="322"/>
        <v>1370</v>
      </c>
      <c r="V2837">
        <f t="shared" si="327"/>
        <v>114.166666666667</v>
      </c>
      <c r="W2837">
        <f t="shared" si="325"/>
        <v>11680.34</v>
      </c>
      <c r="X2837">
        <f t="shared" si="323"/>
        <v>0.180551868366446</v>
      </c>
      <c r="AH2837" t="str">
        <f t="shared" si="326"/>
        <v>2nd Quality</v>
      </c>
      <c r="AJ2837">
        <f>((T2837-X2837)*2)/7.3</f>
        <v>303.042040584009</v>
      </c>
      <c r="AK2837">
        <f t="shared" si="324"/>
        <v>1474676.572</v>
      </c>
    </row>
    <row r="2838" spans="1:37">
      <c r="A2838" t="s">
        <v>2904</v>
      </c>
      <c r="B2838">
        <v>21</v>
      </c>
      <c r="C2838" t="s">
        <v>44</v>
      </c>
      <c r="D2838" t="s">
        <v>45</v>
      </c>
      <c r="E2838">
        <v>1400</v>
      </c>
      <c r="F2838">
        <v>9</v>
      </c>
      <c r="G2838">
        <v>6</v>
      </c>
      <c r="H2838">
        <v>15733.12</v>
      </c>
      <c r="I2838">
        <v>87132.6</v>
      </c>
      <c r="J2838">
        <v>19</v>
      </c>
      <c r="K2838">
        <v>0</v>
      </c>
      <c r="L2838">
        <v>10.2</v>
      </c>
      <c r="M2838">
        <v>20.8</v>
      </c>
      <c r="N2838" t="s">
        <v>81</v>
      </c>
      <c r="O2838" t="s">
        <v>75</v>
      </c>
      <c r="P2838" t="s">
        <v>68</v>
      </c>
      <c r="R2838">
        <f>SUMIF(A2838:A7837,"C02837",I2838:I7837)</f>
        <v>87132.6</v>
      </c>
      <c r="S2838" s="1">
        <v>169910.44</v>
      </c>
      <c r="T2838">
        <f t="shared" ref="T2838:T2901" si="328">I2838/J2838</f>
        <v>4585.92631578947</v>
      </c>
      <c r="U2838">
        <f t="shared" si="322"/>
        <v>395.2</v>
      </c>
      <c r="V2838">
        <f t="shared" si="327"/>
        <v>32.9333333333333</v>
      </c>
      <c r="W2838">
        <f t="shared" si="325"/>
        <v>34288.9066666667</v>
      </c>
      <c r="X2838">
        <f t="shared" si="323"/>
        <v>0.0889842574136598</v>
      </c>
      <c r="AH2838" t="str">
        <f t="shared" si="326"/>
        <v>1st Quality</v>
      </c>
      <c r="AJ2838">
        <f>((T2838-X2838)*2)/10.2</f>
        <v>899.183790496482</v>
      </c>
      <c r="AK2838">
        <f t="shared" si="324"/>
        <v>6420296.84210526</v>
      </c>
    </row>
    <row r="2839" spans="1:37">
      <c r="A2839" t="s">
        <v>2905</v>
      </c>
      <c r="B2839">
        <v>20</v>
      </c>
      <c r="C2839" t="s">
        <v>50</v>
      </c>
      <c r="D2839" t="s">
        <v>45</v>
      </c>
      <c r="E2839">
        <v>760</v>
      </c>
      <c r="F2839">
        <v>27</v>
      </c>
      <c r="G2839">
        <v>7</v>
      </c>
      <c r="H2839">
        <v>1542.93</v>
      </c>
      <c r="I2839">
        <v>9660.22</v>
      </c>
      <c r="J2839">
        <v>54</v>
      </c>
      <c r="K2839">
        <v>2</v>
      </c>
      <c r="L2839">
        <v>20</v>
      </c>
      <c r="M2839">
        <v>35.4</v>
      </c>
      <c r="N2839" t="s">
        <v>78</v>
      </c>
      <c r="O2839" t="s">
        <v>47</v>
      </c>
      <c r="P2839" t="s">
        <v>58</v>
      </c>
      <c r="R2839">
        <f>SUMIF(A2839:A7838,"C02838",I2839:I7838)</f>
        <v>9660.22</v>
      </c>
      <c r="S2839" s="1">
        <v>3296.7</v>
      </c>
      <c r="T2839">
        <f t="shared" si="328"/>
        <v>178.892962962963</v>
      </c>
      <c r="U2839">
        <f t="shared" si="322"/>
        <v>1911.6</v>
      </c>
      <c r="V2839">
        <f>U2839</f>
        <v>1911.6</v>
      </c>
      <c r="W2839">
        <f t="shared" si="325"/>
        <v>3734.71666666667</v>
      </c>
      <c r="X2839">
        <f t="shared" si="323"/>
        <v>0.492569332374119</v>
      </c>
      <c r="AH2839" t="str">
        <f t="shared" si="326"/>
        <v>3rd Quality</v>
      </c>
      <c r="AJ2839">
        <f>((T2839-X2839)*2)/20</f>
        <v>17.8400393630589</v>
      </c>
      <c r="AK2839">
        <f t="shared" si="324"/>
        <v>135958.651851852</v>
      </c>
    </row>
    <row r="2840" spans="1:37">
      <c r="A2840" t="s">
        <v>2906</v>
      </c>
      <c r="B2840">
        <v>36</v>
      </c>
      <c r="C2840" t="s">
        <v>50</v>
      </c>
      <c r="D2840" t="s">
        <v>60</v>
      </c>
      <c r="E2840">
        <v>910</v>
      </c>
      <c r="F2840">
        <v>64</v>
      </c>
      <c r="G2840">
        <v>6</v>
      </c>
      <c r="H2840">
        <v>1496.55</v>
      </c>
      <c r="I2840">
        <v>8033.89</v>
      </c>
      <c r="J2840">
        <v>36</v>
      </c>
      <c r="K2840">
        <v>0</v>
      </c>
      <c r="L2840">
        <v>33.5</v>
      </c>
      <c r="M2840">
        <v>5.1</v>
      </c>
      <c r="N2840" t="s">
        <v>52</v>
      </c>
      <c r="O2840" t="s">
        <v>53</v>
      </c>
      <c r="P2840" t="s">
        <v>58</v>
      </c>
      <c r="R2840">
        <f>SUMIF(A2840:A7839,"C02839",I2840:I7839)</f>
        <v>8033.89</v>
      </c>
      <c r="S2840" s="1">
        <v>7922.88</v>
      </c>
      <c r="T2840">
        <f t="shared" si="328"/>
        <v>223.163611111111</v>
      </c>
      <c r="U2840">
        <f t="shared" si="322"/>
        <v>183.6</v>
      </c>
      <c r="V2840">
        <f t="shared" si="327"/>
        <v>15.3</v>
      </c>
      <c r="W2840">
        <f t="shared" si="325"/>
        <v>3177.14666666667</v>
      </c>
      <c r="X2840">
        <f t="shared" si="323"/>
        <v>0.608065216664996</v>
      </c>
      <c r="AH2840" t="str">
        <f t="shared" si="326"/>
        <v>3rd Quality</v>
      </c>
      <c r="AJ2840">
        <f>((T2840-X2840)*2)/33.5</f>
        <v>13.286898262355</v>
      </c>
      <c r="AK2840">
        <f t="shared" si="324"/>
        <v>203078.886111111</v>
      </c>
    </row>
    <row r="2841" spans="1:37">
      <c r="A2841" t="s">
        <v>2907</v>
      </c>
      <c r="B2841">
        <v>46</v>
      </c>
      <c r="C2841" t="s">
        <v>50</v>
      </c>
      <c r="D2841" t="s">
        <v>60</v>
      </c>
      <c r="E2841">
        <v>1079</v>
      </c>
      <c r="F2841">
        <v>25</v>
      </c>
      <c r="G2841">
        <v>33</v>
      </c>
      <c r="H2841">
        <v>4656.2</v>
      </c>
      <c r="I2841">
        <v>169910.44</v>
      </c>
      <c r="J2841">
        <v>143</v>
      </c>
      <c r="K2841">
        <v>3</v>
      </c>
      <c r="L2841">
        <v>9.6</v>
      </c>
      <c r="M2841">
        <v>18.7</v>
      </c>
      <c r="N2841" t="s">
        <v>78</v>
      </c>
      <c r="O2841" t="s">
        <v>47</v>
      </c>
      <c r="P2841" t="s">
        <v>58</v>
      </c>
      <c r="R2841">
        <f>SUMIF(A2841:A7840,"C02840",I2841:I7840)</f>
        <v>169910.44</v>
      </c>
      <c r="S2841" s="1">
        <v>22627.58</v>
      </c>
      <c r="T2841">
        <f t="shared" si="328"/>
        <v>1188.1848951049</v>
      </c>
      <c r="U2841">
        <f t="shared" si="322"/>
        <v>2674.1</v>
      </c>
      <c r="V2841">
        <f>U2841</f>
        <v>2674.1</v>
      </c>
      <c r="W2841">
        <f t="shared" si="325"/>
        <v>58189.2133333333</v>
      </c>
      <c r="X2841">
        <f t="shared" si="323"/>
        <v>0.231734032043297</v>
      </c>
      <c r="AH2841" t="str">
        <f t="shared" si="326"/>
        <v>3rd Quality</v>
      </c>
      <c r="AJ2841">
        <f>((T2841-X2841)*2)/9.6</f>
        <v>247.490241890179</v>
      </c>
      <c r="AK2841">
        <f t="shared" si="324"/>
        <v>1282051.50181818</v>
      </c>
    </row>
    <row r="2842" spans="1:37">
      <c r="A2842" t="s">
        <v>2908</v>
      </c>
      <c r="B2842">
        <v>36</v>
      </c>
      <c r="C2842" t="s">
        <v>44</v>
      </c>
      <c r="D2842" t="s">
        <v>45</v>
      </c>
      <c r="E2842">
        <v>1277</v>
      </c>
      <c r="F2842">
        <v>37</v>
      </c>
      <c r="G2842">
        <v>3</v>
      </c>
      <c r="H2842">
        <v>1072.26</v>
      </c>
      <c r="I2842">
        <v>3296.7</v>
      </c>
      <c r="J2842">
        <v>13</v>
      </c>
      <c r="K2842">
        <v>0</v>
      </c>
      <c r="L2842">
        <v>23.9</v>
      </c>
      <c r="M2842">
        <v>15.4</v>
      </c>
      <c r="N2842" t="s">
        <v>57</v>
      </c>
      <c r="O2842" t="s">
        <v>47</v>
      </c>
      <c r="P2842" t="s">
        <v>66</v>
      </c>
      <c r="R2842">
        <f>SUMIF(A2842:A7841,"C02841",I2842:I7841)</f>
        <v>3296.7</v>
      </c>
      <c r="S2842" s="1">
        <v>3829.95</v>
      </c>
      <c r="T2842">
        <f t="shared" si="328"/>
        <v>253.592307692308</v>
      </c>
      <c r="U2842">
        <f t="shared" si="322"/>
        <v>200.2</v>
      </c>
      <c r="V2842">
        <f t="shared" si="327"/>
        <v>16.6833333333333</v>
      </c>
      <c r="W2842">
        <f t="shared" si="325"/>
        <v>1456.65333333333</v>
      </c>
      <c r="X2842">
        <f t="shared" si="323"/>
        <v>1.19094249529032</v>
      </c>
      <c r="AH2842" t="str">
        <f t="shared" si="326"/>
        <v>3rd Quality</v>
      </c>
      <c r="AJ2842">
        <f>((T2842-X2842)*2)/23.9</f>
        <v>21.1214531545622</v>
      </c>
      <c r="AK2842">
        <f t="shared" si="324"/>
        <v>323837.376923077</v>
      </c>
    </row>
    <row r="2843" spans="1:37">
      <c r="A2843" t="s">
        <v>2909</v>
      </c>
      <c r="B2843">
        <v>40</v>
      </c>
      <c r="C2843" t="s">
        <v>44</v>
      </c>
      <c r="D2843" t="s">
        <v>51</v>
      </c>
      <c r="E2843">
        <v>989</v>
      </c>
      <c r="F2843">
        <v>12</v>
      </c>
      <c r="G2843">
        <v>7</v>
      </c>
      <c r="H2843">
        <v>1220.19</v>
      </c>
      <c r="I2843">
        <v>7922.88</v>
      </c>
      <c r="J2843">
        <v>59</v>
      </c>
      <c r="K2843">
        <v>0</v>
      </c>
      <c r="L2843">
        <v>19</v>
      </c>
      <c r="M2843">
        <v>11.5</v>
      </c>
      <c r="N2843" t="s">
        <v>78</v>
      </c>
      <c r="O2843" t="s">
        <v>47</v>
      </c>
      <c r="P2843" t="s">
        <v>68</v>
      </c>
      <c r="R2843">
        <f>SUMIF(A2843:A7842,"C02842",I2843:I7842)</f>
        <v>7922.88</v>
      </c>
      <c r="S2843" s="1">
        <v>67404.23</v>
      </c>
      <c r="T2843">
        <f t="shared" si="328"/>
        <v>134.286101694915</v>
      </c>
      <c r="U2843">
        <f t="shared" si="322"/>
        <v>678.5</v>
      </c>
      <c r="V2843">
        <f t="shared" si="327"/>
        <v>56.5416666666667</v>
      </c>
      <c r="W2843">
        <f t="shared" si="325"/>
        <v>3048.02333333333</v>
      </c>
      <c r="X2843">
        <f t="shared" si="323"/>
        <v>0.810529507699621</v>
      </c>
      <c r="AH2843" t="str">
        <f t="shared" si="326"/>
        <v>3rd Quality</v>
      </c>
      <c r="AJ2843">
        <f>((T2843-X2843)*2)/19</f>
        <v>14.0500602302332</v>
      </c>
      <c r="AK2843">
        <f t="shared" si="324"/>
        <v>132808.954576271</v>
      </c>
    </row>
    <row r="2844" spans="1:37">
      <c r="A2844" t="s">
        <v>2910</v>
      </c>
      <c r="B2844">
        <v>35</v>
      </c>
      <c r="C2844" t="s">
        <v>44</v>
      </c>
      <c r="D2844" t="s">
        <v>45</v>
      </c>
      <c r="E2844">
        <v>1187</v>
      </c>
      <c r="F2844">
        <v>44</v>
      </c>
      <c r="G2844">
        <v>11</v>
      </c>
      <c r="H2844">
        <v>1926.95</v>
      </c>
      <c r="I2844">
        <v>22627.58</v>
      </c>
      <c r="J2844">
        <v>40</v>
      </c>
      <c r="K2844">
        <v>0</v>
      </c>
      <c r="L2844">
        <v>28.2</v>
      </c>
      <c r="M2844">
        <v>59.6</v>
      </c>
      <c r="N2844" t="s">
        <v>63</v>
      </c>
      <c r="O2844" t="s">
        <v>47</v>
      </c>
      <c r="P2844" t="s">
        <v>58</v>
      </c>
      <c r="R2844">
        <f>SUMIF(A2844:A7843,"C02843",I2844:I7843)</f>
        <v>22627.58</v>
      </c>
      <c r="S2844" s="1">
        <v>33951.4</v>
      </c>
      <c r="T2844">
        <f t="shared" si="328"/>
        <v>565.6895</v>
      </c>
      <c r="U2844">
        <f t="shared" si="322"/>
        <v>2384</v>
      </c>
      <c r="V2844">
        <f t="shared" si="327"/>
        <v>198.666666666667</v>
      </c>
      <c r="W2844">
        <f t="shared" si="325"/>
        <v>8185.17666666667</v>
      </c>
      <c r="X2844">
        <f t="shared" si="323"/>
        <v>0.61599937725421</v>
      </c>
      <c r="AH2844" t="str">
        <f t="shared" si="326"/>
        <v>2nd Quality</v>
      </c>
      <c r="AJ2844">
        <f>((T2844-X2844)*2)/28.2</f>
        <v>40.0761347959394</v>
      </c>
      <c r="AK2844">
        <f t="shared" si="324"/>
        <v>671473.4365</v>
      </c>
    </row>
    <row r="2845" spans="1:37">
      <c r="A2845" t="s">
        <v>2911</v>
      </c>
      <c r="B2845">
        <v>30</v>
      </c>
      <c r="C2845" t="s">
        <v>44</v>
      </c>
      <c r="D2845" t="s">
        <v>51</v>
      </c>
      <c r="E2845">
        <v>1224</v>
      </c>
      <c r="F2845">
        <v>10</v>
      </c>
      <c r="G2845">
        <v>6</v>
      </c>
      <c r="H2845">
        <v>710.56</v>
      </c>
      <c r="I2845">
        <v>3829.95</v>
      </c>
      <c r="J2845">
        <v>44</v>
      </c>
      <c r="K2845">
        <v>0</v>
      </c>
      <c r="L2845">
        <v>15.6</v>
      </c>
      <c r="M2845">
        <v>42.4</v>
      </c>
      <c r="N2845" t="s">
        <v>63</v>
      </c>
      <c r="O2845" t="s">
        <v>75</v>
      </c>
      <c r="P2845" t="s">
        <v>58</v>
      </c>
      <c r="R2845">
        <f>SUMIF(A2845:A7844,"C02844",I2845:I7844)</f>
        <v>3829.95</v>
      </c>
      <c r="S2845" s="1">
        <v>16418.74</v>
      </c>
      <c r="T2845">
        <f t="shared" si="328"/>
        <v>87.0443181818182</v>
      </c>
      <c r="U2845">
        <f t="shared" si="322"/>
        <v>1865.6</v>
      </c>
      <c r="V2845">
        <f t="shared" si="327"/>
        <v>155.466666666667</v>
      </c>
      <c r="W2845">
        <f t="shared" si="325"/>
        <v>1513.83666666667</v>
      </c>
      <c r="X2845">
        <f t="shared" si="323"/>
        <v>1.72258500337762</v>
      </c>
      <c r="AH2845" t="str">
        <f t="shared" si="326"/>
        <v>3rd Quality</v>
      </c>
      <c r="AJ2845">
        <f>((T2845-X2845)*2)/15.6</f>
        <v>10.9386837408257</v>
      </c>
      <c r="AK2845">
        <f t="shared" si="324"/>
        <v>106542.245454545</v>
      </c>
    </row>
    <row r="2846" spans="1:37">
      <c r="A2846" t="s">
        <v>2912</v>
      </c>
      <c r="B2846">
        <v>36</v>
      </c>
      <c r="C2846" t="s">
        <v>44</v>
      </c>
      <c r="D2846" t="s">
        <v>45</v>
      </c>
      <c r="E2846">
        <v>596</v>
      </c>
      <c r="F2846">
        <v>18</v>
      </c>
      <c r="G2846">
        <v>27</v>
      </c>
      <c r="H2846">
        <v>2483.11</v>
      </c>
      <c r="I2846">
        <v>67404.23</v>
      </c>
      <c r="J2846">
        <v>145</v>
      </c>
      <c r="K2846">
        <v>2</v>
      </c>
      <c r="L2846">
        <v>22.2</v>
      </c>
      <c r="M2846">
        <v>55.8</v>
      </c>
      <c r="N2846" t="s">
        <v>61</v>
      </c>
      <c r="O2846" t="s">
        <v>47</v>
      </c>
      <c r="P2846" t="s">
        <v>66</v>
      </c>
      <c r="R2846">
        <f>SUMIF(A2846:A7845,"C02845",I2846:I7845)</f>
        <v>67404.23</v>
      </c>
      <c r="S2846" s="1">
        <v>60819.56</v>
      </c>
      <c r="T2846">
        <f t="shared" si="328"/>
        <v>464.85675862069</v>
      </c>
      <c r="U2846">
        <f t="shared" si="322"/>
        <v>8091</v>
      </c>
      <c r="V2846">
        <f>U2846</f>
        <v>8091</v>
      </c>
      <c r="W2846">
        <f t="shared" si="325"/>
        <v>23296.1133333333</v>
      </c>
      <c r="X2846">
        <f t="shared" si="323"/>
        <v>0.240021585833894</v>
      </c>
      <c r="AH2846" t="str">
        <f t="shared" si="326"/>
        <v>2nd Quality</v>
      </c>
      <c r="AJ2846">
        <f>((T2846-X2846)*2)/22.2</f>
        <v>41.8573636968339</v>
      </c>
      <c r="AK2846">
        <f t="shared" si="324"/>
        <v>277054.628137931</v>
      </c>
    </row>
    <row r="2847" spans="1:37">
      <c r="A2847" t="s">
        <v>2913</v>
      </c>
      <c r="B2847">
        <v>18</v>
      </c>
      <c r="C2847" t="s">
        <v>56</v>
      </c>
      <c r="D2847" t="s">
        <v>60</v>
      </c>
      <c r="E2847">
        <v>729</v>
      </c>
      <c r="F2847">
        <v>44</v>
      </c>
      <c r="G2847">
        <v>4</v>
      </c>
      <c r="H2847">
        <v>9156.38</v>
      </c>
      <c r="I2847">
        <v>33951.4</v>
      </c>
      <c r="J2847">
        <v>17</v>
      </c>
      <c r="K2847">
        <v>1</v>
      </c>
      <c r="L2847">
        <v>15.1</v>
      </c>
      <c r="M2847">
        <v>13.7</v>
      </c>
      <c r="N2847" t="s">
        <v>63</v>
      </c>
      <c r="O2847" t="s">
        <v>47</v>
      </c>
      <c r="P2847" t="s">
        <v>58</v>
      </c>
      <c r="R2847">
        <f>SUMIF(A2847:A7846,"C02846",I2847:I7846)</f>
        <v>33951.4</v>
      </c>
      <c r="S2847" s="1">
        <v>1181.6</v>
      </c>
      <c r="T2847">
        <f t="shared" si="328"/>
        <v>1997.14117647059</v>
      </c>
      <c r="U2847">
        <f t="shared" si="322"/>
        <v>232.9</v>
      </c>
      <c r="V2847">
        <f>U2847</f>
        <v>232.9</v>
      </c>
      <c r="W2847">
        <f t="shared" si="325"/>
        <v>14369.5933333333</v>
      </c>
      <c r="X2847">
        <f t="shared" si="323"/>
        <v>0.0796166170473484</v>
      </c>
      <c r="AH2847" t="str">
        <f t="shared" si="326"/>
        <v>2nd Quality</v>
      </c>
      <c r="AJ2847">
        <f>((T2847-X2847)*2)/15.1</f>
        <v>264.511464881264</v>
      </c>
      <c r="AK2847">
        <f t="shared" si="324"/>
        <v>1455915.91764706</v>
      </c>
    </row>
    <row r="2848" spans="1:37">
      <c r="A2848" t="s">
        <v>2914</v>
      </c>
      <c r="B2848">
        <v>59</v>
      </c>
      <c r="C2848" t="s">
        <v>44</v>
      </c>
      <c r="D2848" t="s">
        <v>51</v>
      </c>
      <c r="E2848">
        <v>1291</v>
      </c>
      <c r="F2848">
        <v>36</v>
      </c>
      <c r="G2848">
        <v>10</v>
      </c>
      <c r="H2848">
        <v>1662.37</v>
      </c>
      <c r="I2848">
        <v>16418.74</v>
      </c>
      <c r="J2848">
        <v>30</v>
      </c>
      <c r="K2848">
        <v>2</v>
      </c>
      <c r="L2848">
        <v>13.4</v>
      </c>
      <c r="M2848">
        <v>37.5</v>
      </c>
      <c r="N2848" t="s">
        <v>78</v>
      </c>
      <c r="O2848" t="s">
        <v>47</v>
      </c>
      <c r="P2848" t="s">
        <v>68</v>
      </c>
      <c r="R2848">
        <f>SUMIF(A2848:A7847,"C02847",I2848:I7847)</f>
        <v>16418.74</v>
      </c>
      <c r="S2848" s="1">
        <v>9311.79</v>
      </c>
      <c r="T2848">
        <f t="shared" si="328"/>
        <v>547.291333333333</v>
      </c>
      <c r="U2848">
        <f t="shared" si="322"/>
        <v>1125</v>
      </c>
      <c r="V2848">
        <f>U2848</f>
        <v>1125</v>
      </c>
      <c r="W2848">
        <f t="shared" si="325"/>
        <v>6027.37</v>
      </c>
      <c r="X2848">
        <f t="shared" si="323"/>
        <v>0.776602080162659</v>
      </c>
      <c r="AH2848" t="str">
        <f t="shared" si="326"/>
        <v>3rd Quality</v>
      </c>
      <c r="AJ2848">
        <f>((T2848-X2848)*2)/13.4</f>
        <v>81.5693628736075</v>
      </c>
      <c r="AK2848">
        <f t="shared" si="324"/>
        <v>706553.111333333</v>
      </c>
    </row>
    <row r="2849" spans="1:37">
      <c r="A2849" t="s">
        <v>2915</v>
      </c>
      <c r="B2849">
        <v>31</v>
      </c>
      <c r="C2849" t="s">
        <v>50</v>
      </c>
      <c r="D2849" t="s">
        <v>45</v>
      </c>
      <c r="E2849">
        <v>1024</v>
      </c>
      <c r="F2849">
        <v>17</v>
      </c>
      <c r="G2849">
        <v>23</v>
      </c>
      <c r="H2849">
        <v>2828.23</v>
      </c>
      <c r="I2849">
        <v>60819.56</v>
      </c>
      <c r="J2849">
        <v>53</v>
      </c>
      <c r="K2849">
        <v>2</v>
      </c>
      <c r="L2849">
        <v>14.4</v>
      </c>
      <c r="M2849">
        <v>30.7</v>
      </c>
      <c r="N2849" t="s">
        <v>78</v>
      </c>
      <c r="O2849" t="s">
        <v>75</v>
      </c>
      <c r="P2849" t="s">
        <v>58</v>
      </c>
      <c r="R2849">
        <f>SUMIF(A2849:A7848,"C02848",I2849:I7848)</f>
        <v>60819.56</v>
      </c>
      <c r="S2849" s="1">
        <v>10136.71</v>
      </c>
      <c r="T2849">
        <f t="shared" si="328"/>
        <v>1147.53886792453</v>
      </c>
      <c r="U2849">
        <f t="shared" si="322"/>
        <v>1627.1</v>
      </c>
      <c r="V2849">
        <f>U2849</f>
        <v>1627.1</v>
      </c>
      <c r="W2849">
        <f t="shared" si="325"/>
        <v>21216.2633333333</v>
      </c>
      <c r="X2849">
        <f t="shared" si="323"/>
        <v>0.362063905693667</v>
      </c>
      <c r="AH2849" t="str">
        <f t="shared" si="326"/>
        <v>1st Quality</v>
      </c>
      <c r="AJ2849">
        <f>((T2849-X2849)*2)/14.4</f>
        <v>159.330111669283</v>
      </c>
      <c r="AK2849">
        <f t="shared" si="324"/>
        <v>1175079.80075472</v>
      </c>
    </row>
    <row r="2850" spans="1:37">
      <c r="A2850" t="s">
        <v>2916</v>
      </c>
      <c r="B2850">
        <v>28</v>
      </c>
      <c r="C2850" t="s">
        <v>50</v>
      </c>
      <c r="D2850" t="s">
        <v>60</v>
      </c>
      <c r="E2850">
        <v>588</v>
      </c>
      <c r="F2850">
        <v>159</v>
      </c>
      <c r="G2850">
        <v>3</v>
      </c>
      <c r="H2850">
        <v>431.51</v>
      </c>
      <c r="I2850">
        <v>1181.6</v>
      </c>
      <c r="J2850">
        <v>14</v>
      </c>
      <c r="K2850">
        <v>0</v>
      </c>
      <c r="L2850">
        <v>22.2</v>
      </c>
      <c r="M2850">
        <v>10.8</v>
      </c>
      <c r="N2850" t="s">
        <v>61</v>
      </c>
      <c r="O2850" t="s">
        <v>47</v>
      </c>
      <c r="P2850" t="s">
        <v>58</v>
      </c>
      <c r="R2850">
        <f>SUMIF(A2850:A7849,"C02849",I2850:I7849)</f>
        <v>1181.6</v>
      </c>
      <c r="S2850" s="1">
        <v>12364.52</v>
      </c>
      <c r="T2850">
        <f t="shared" si="328"/>
        <v>84.4</v>
      </c>
      <c r="U2850">
        <f t="shared" ref="U2850:U2913" si="329">J2850*M2850</f>
        <v>151.2</v>
      </c>
      <c r="V2850">
        <f t="shared" si="327"/>
        <v>12.6</v>
      </c>
      <c r="W2850">
        <f t="shared" si="325"/>
        <v>538.036666666667</v>
      </c>
      <c r="X2850">
        <f t="shared" si="323"/>
        <v>1.36265671710968</v>
      </c>
      <c r="AH2850" t="str">
        <f t="shared" si="326"/>
        <v>3rd Quality</v>
      </c>
      <c r="AJ2850">
        <f>((T2850-X2850)*2)/22.2</f>
        <v>7.48084173719733</v>
      </c>
      <c r="AK2850">
        <f t="shared" si="324"/>
        <v>49627.2</v>
      </c>
    </row>
    <row r="2851" spans="1:37">
      <c r="A2851" t="s">
        <v>2917</v>
      </c>
      <c r="B2851">
        <v>24</v>
      </c>
      <c r="C2851" t="s">
        <v>44</v>
      </c>
      <c r="D2851" t="s">
        <v>60</v>
      </c>
      <c r="E2851">
        <v>960</v>
      </c>
      <c r="F2851">
        <v>16</v>
      </c>
      <c r="G2851">
        <v>13</v>
      </c>
      <c r="H2851">
        <v>649.73</v>
      </c>
      <c r="I2851">
        <v>9311.79</v>
      </c>
      <c r="J2851">
        <v>35</v>
      </c>
      <c r="K2851">
        <v>0</v>
      </c>
      <c r="L2851">
        <v>16.2</v>
      </c>
      <c r="M2851">
        <v>22.4</v>
      </c>
      <c r="N2851" t="s">
        <v>61</v>
      </c>
      <c r="O2851" t="s">
        <v>47</v>
      </c>
      <c r="P2851" t="s">
        <v>58</v>
      </c>
      <c r="R2851">
        <f>SUMIF(A2851:A7850,"C02850",I2851:I7850)</f>
        <v>9311.79</v>
      </c>
      <c r="S2851" s="1">
        <v>2571.3</v>
      </c>
      <c r="T2851">
        <f t="shared" si="328"/>
        <v>266.051142857143</v>
      </c>
      <c r="U2851">
        <f t="shared" si="329"/>
        <v>784</v>
      </c>
      <c r="V2851">
        <f t="shared" si="327"/>
        <v>65.3333333333333</v>
      </c>
      <c r="W2851">
        <f t="shared" si="325"/>
        <v>3320.84</v>
      </c>
      <c r="X2851">
        <f t="shared" si="323"/>
        <v>1.47753682298801</v>
      </c>
      <c r="AH2851" t="str">
        <f t="shared" si="326"/>
        <v>3rd Quality</v>
      </c>
      <c r="AJ2851">
        <f>((T2851-X2851)*2)/16.2</f>
        <v>32.6634081523648</v>
      </c>
      <c r="AK2851">
        <f t="shared" si="324"/>
        <v>255409.097142857</v>
      </c>
    </row>
    <row r="2852" spans="1:37">
      <c r="A2852" t="s">
        <v>2918</v>
      </c>
      <c r="B2852">
        <v>33</v>
      </c>
      <c r="C2852" t="s">
        <v>44</v>
      </c>
      <c r="D2852" t="s">
        <v>60</v>
      </c>
      <c r="E2852">
        <v>600</v>
      </c>
      <c r="F2852">
        <v>12</v>
      </c>
      <c r="G2852">
        <v>7</v>
      </c>
      <c r="H2852">
        <v>1315.52</v>
      </c>
      <c r="I2852">
        <v>10136.71</v>
      </c>
      <c r="J2852">
        <v>23</v>
      </c>
      <c r="K2852">
        <v>1</v>
      </c>
      <c r="L2852">
        <v>18.7</v>
      </c>
      <c r="M2852">
        <v>23.6</v>
      </c>
      <c r="N2852" t="s">
        <v>52</v>
      </c>
      <c r="O2852" t="s">
        <v>47</v>
      </c>
      <c r="P2852" t="s">
        <v>66</v>
      </c>
      <c r="R2852">
        <f>SUMIF(A2852:A7851,"C02851",I2852:I7851)</f>
        <v>10136.71</v>
      </c>
      <c r="S2852" s="1">
        <v>2496.99</v>
      </c>
      <c r="T2852">
        <f t="shared" si="328"/>
        <v>440.72652173913</v>
      </c>
      <c r="U2852">
        <f t="shared" si="329"/>
        <v>542.8</v>
      </c>
      <c r="V2852">
        <f>U2852</f>
        <v>542.8</v>
      </c>
      <c r="W2852">
        <f t="shared" si="325"/>
        <v>3817.74333333333</v>
      </c>
      <c r="X2852">
        <f t="shared" si="323"/>
        <v>0.456093407929944</v>
      </c>
      <c r="AH2852" t="str">
        <f t="shared" si="326"/>
        <v>3rd Quality</v>
      </c>
      <c r="AJ2852">
        <f>((T2852-X2852)*2)/18.7</f>
        <v>47.0877463455829</v>
      </c>
      <c r="AK2852">
        <f t="shared" si="324"/>
        <v>264435.913043478</v>
      </c>
    </row>
    <row r="2853" spans="1:37">
      <c r="A2853" t="s">
        <v>2919</v>
      </c>
      <c r="B2853">
        <v>38</v>
      </c>
      <c r="C2853" t="s">
        <v>50</v>
      </c>
      <c r="D2853" t="s">
        <v>60</v>
      </c>
      <c r="E2853">
        <v>417</v>
      </c>
      <c r="F2853">
        <v>32</v>
      </c>
      <c r="G2853">
        <v>11</v>
      </c>
      <c r="H2853">
        <v>1125.86</v>
      </c>
      <c r="I2853">
        <v>12364.52</v>
      </c>
      <c r="J2853">
        <v>98</v>
      </c>
      <c r="K2853">
        <v>1</v>
      </c>
      <c r="L2853">
        <v>16.8</v>
      </c>
      <c r="M2853">
        <v>27</v>
      </c>
      <c r="N2853" t="s">
        <v>61</v>
      </c>
      <c r="O2853" t="s">
        <v>47</v>
      </c>
      <c r="P2853" t="s">
        <v>58</v>
      </c>
      <c r="R2853">
        <f>SUMIF(A2853:A7852,"C02852",I2853:I7852)</f>
        <v>12364.52</v>
      </c>
      <c r="S2853" s="1">
        <v>1744.43</v>
      </c>
      <c r="T2853">
        <f t="shared" si="328"/>
        <v>126.168571428571</v>
      </c>
      <c r="U2853">
        <f t="shared" si="329"/>
        <v>2646</v>
      </c>
      <c r="V2853">
        <f>U2853</f>
        <v>2646</v>
      </c>
      <c r="W2853">
        <f t="shared" si="325"/>
        <v>4497.12666666667</v>
      </c>
      <c r="X2853">
        <f t="shared" si="323"/>
        <v>0.370383529035582</v>
      </c>
      <c r="AH2853" t="str">
        <f t="shared" si="326"/>
        <v>3rd Quality</v>
      </c>
      <c r="AJ2853">
        <f>((T2853-X2853)*2)/16.8</f>
        <v>14.9759747499447</v>
      </c>
      <c r="AK2853">
        <f t="shared" si="324"/>
        <v>52612.2942857143</v>
      </c>
    </row>
    <row r="2854" spans="1:37">
      <c r="A2854" t="s">
        <v>2920</v>
      </c>
      <c r="B2854">
        <v>35</v>
      </c>
      <c r="C2854" t="s">
        <v>44</v>
      </c>
      <c r="D2854" t="s">
        <v>51</v>
      </c>
      <c r="E2854">
        <v>871</v>
      </c>
      <c r="F2854">
        <v>166</v>
      </c>
      <c r="G2854">
        <v>4</v>
      </c>
      <c r="H2854">
        <v>601.51</v>
      </c>
      <c r="I2854">
        <v>2571.3</v>
      </c>
      <c r="J2854">
        <v>37</v>
      </c>
      <c r="K2854">
        <v>1</v>
      </c>
      <c r="L2854">
        <v>34.1</v>
      </c>
      <c r="M2854">
        <v>40.6</v>
      </c>
      <c r="N2854" t="s">
        <v>81</v>
      </c>
      <c r="O2854" t="s">
        <v>75</v>
      </c>
      <c r="P2854" t="s">
        <v>58</v>
      </c>
      <c r="R2854">
        <f>SUMIF(A2854:A7853,"C02853",I2854:I7853)</f>
        <v>2571.3</v>
      </c>
      <c r="S2854" s="1">
        <v>2604.78</v>
      </c>
      <c r="T2854">
        <f t="shared" si="328"/>
        <v>69.4945945945946</v>
      </c>
      <c r="U2854">
        <f t="shared" si="329"/>
        <v>1502.2</v>
      </c>
      <c r="V2854">
        <f>U2854</f>
        <v>1502.2</v>
      </c>
      <c r="W2854">
        <f t="shared" si="325"/>
        <v>1057.93666666667</v>
      </c>
      <c r="X2854">
        <f t="shared" si="323"/>
        <v>1.4480224767668</v>
      </c>
      <c r="AH2854" t="str">
        <f t="shared" si="326"/>
        <v>3rd Quality</v>
      </c>
      <c r="AJ2854">
        <f>((T2854-X2854)*2)/34.1</f>
        <v>3.9910012972333</v>
      </c>
      <c r="AK2854">
        <f t="shared" si="324"/>
        <v>60529.7918918919</v>
      </c>
    </row>
    <row r="2855" spans="1:37">
      <c r="A2855" t="s">
        <v>2921</v>
      </c>
      <c r="B2855">
        <v>34</v>
      </c>
      <c r="C2855" t="s">
        <v>50</v>
      </c>
      <c r="D2855" t="s">
        <v>45</v>
      </c>
      <c r="E2855">
        <v>407</v>
      </c>
      <c r="F2855">
        <v>15</v>
      </c>
      <c r="G2855">
        <v>3</v>
      </c>
      <c r="H2855">
        <v>896.5</v>
      </c>
      <c r="I2855">
        <v>2496.99</v>
      </c>
      <c r="J2855">
        <v>22</v>
      </c>
      <c r="K2855">
        <v>0</v>
      </c>
      <c r="L2855">
        <v>23.8</v>
      </c>
      <c r="M2855">
        <v>18.7</v>
      </c>
      <c r="N2855" t="s">
        <v>52</v>
      </c>
      <c r="O2855" t="s">
        <v>47</v>
      </c>
      <c r="P2855" t="s">
        <v>58</v>
      </c>
      <c r="R2855">
        <f>SUMIF(A2855:A7854,"C02854",I2855:I7854)</f>
        <v>2496.99</v>
      </c>
      <c r="S2855" s="1">
        <v>1610.03</v>
      </c>
      <c r="T2855">
        <f t="shared" si="328"/>
        <v>113.499545454545</v>
      </c>
      <c r="U2855">
        <f t="shared" si="329"/>
        <v>411.4</v>
      </c>
      <c r="V2855">
        <f t="shared" si="327"/>
        <v>34.2833333333333</v>
      </c>
      <c r="W2855">
        <f t="shared" si="325"/>
        <v>1131.49666666667</v>
      </c>
      <c r="X2855">
        <f t="shared" si="323"/>
        <v>0.45398773006135</v>
      </c>
      <c r="AH2855" t="str">
        <f t="shared" si="326"/>
        <v>3rd Quality</v>
      </c>
      <c r="AJ2855">
        <f>((T2855-X2855)*2)/23.8</f>
        <v>9.49962669953644</v>
      </c>
      <c r="AK2855">
        <f t="shared" si="324"/>
        <v>46194.315</v>
      </c>
    </row>
    <row r="2856" spans="1:37">
      <c r="A2856" t="s">
        <v>2922</v>
      </c>
      <c r="B2856">
        <v>27</v>
      </c>
      <c r="C2856" t="s">
        <v>44</v>
      </c>
      <c r="D2856" t="s">
        <v>51</v>
      </c>
      <c r="E2856">
        <v>1410</v>
      </c>
      <c r="F2856">
        <v>34</v>
      </c>
      <c r="G2856">
        <v>2</v>
      </c>
      <c r="H2856">
        <v>894.33</v>
      </c>
      <c r="I2856">
        <v>1744.43</v>
      </c>
      <c r="J2856">
        <v>10</v>
      </c>
      <c r="K2856">
        <v>0</v>
      </c>
      <c r="L2856">
        <v>32</v>
      </c>
      <c r="M2856">
        <v>8.5</v>
      </c>
      <c r="N2856" t="s">
        <v>57</v>
      </c>
      <c r="O2856" t="s">
        <v>53</v>
      </c>
      <c r="P2856" t="s">
        <v>58</v>
      </c>
      <c r="R2856">
        <f>SUMIF(A2856:A7855,"C02855",I2856:I7855)</f>
        <v>1744.43</v>
      </c>
      <c r="S2856" s="1">
        <v>15294.7</v>
      </c>
      <c r="T2856">
        <f t="shared" si="328"/>
        <v>174.443</v>
      </c>
      <c r="U2856">
        <f t="shared" si="329"/>
        <v>85</v>
      </c>
      <c r="V2856">
        <f t="shared" si="327"/>
        <v>7.08333333333333</v>
      </c>
      <c r="W2856">
        <f t="shared" si="325"/>
        <v>879.92</v>
      </c>
      <c r="X2856">
        <f t="shared" si="323"/>
        <v>1.57659924189058</v>
      </c>
      <c r="AH2856" t="str">
        <f t="shared" si="326"/>
        <v>3rd Quality</v>
      </c>
      <c r="AJ2856">
        <f>((T2856-X2856)*2)/32</f>
        <v>10.8041500473818</v>
      </c>
      <c r="AK2856">
        <f t="shared" si="324"/>
        <v>245964.63</v>
      </c>
    </row>
    <row r="2857" spans="1:37">
      <c r="A2857" t="s">
        <v>2923</v>
      </c>
      <c r="B2857">
        <v>35</v>
      </c>
      <c r="C2857" t="s">
        <v>50</v>
      </c>
      <c r="D2857" t="s">
        <v>45</v>
      </c>
      <c r="E2857">
        <v>1355</v>
      </c>
      <c r="F2857">
        <v>80</v>
      </c>
      <c r="G2857">
        <v>1</v>
      </c>
      <c r="H2857">
        <v>2788.45</v>
      </c>
      <c r="I2857">
        <v>2604.78</v>
      </c>
      <c r="J2857">
        <v>12</v>
      </c>
      <c r="K2857">
        <v>0</v>
      </c>
      <c r="L2857">
        <v>17</v>
      </c>
      <c r="M2857">
        <v>33.6</v>
      </c>
      <c r="N2857" t="s">
        <v>46</v>
      </c>
      <c r="O2857" t="s">
        <v>47</v>
      </c>
      <c r="P2857" t="s">
        <v>54</v>
      </c>
      <c r="R2857">
        <f>SUMIF(A2857:A7856,"C02856",I2857:I7856)</f>
        <v>2604.78</v>
      </c>
      <c r="S2857" s="1">
        <v>2342.19</v>
      </c>
      <c r="T2857">
        <f t="shared" si="328"/>
        <v>217.065</v>
      </c>
      <c r="U2857">
        <f t="shared" si="329"/>
        <v>403.2</v>
      </c>
      <c r="V2857">
        <f t="shared" si="327"/>
        <v>33.6</v>
      </c>
      <c r="W2857">
        <f t="shared" si="325"/>
        <v>1798.07666666667</v>
      </c>
      <c r="X2857">
        <f t="shared" si="323"/>
        <v>0.485933045240187</v>
      </c>
      <c r="AH2857" t="str">
        <f t="shared" si="326"/>
        <v>3rd Quality</v>
      </c>
      <c r="AJ2857">
        <f>((T2857-X2857)*2)/17</f>
        <v>25.4798902299717</v>
      </c>
      <c r="AK2857">
        <f t="shared" si="324"/>
        <v>294123.075</v>
      </c>
    </row>
    <row r="2858" spans="1:37">
      <c r="A2858" t="s">
        <v>2924</v>
      </c>
      <c r="B2858">
        <v>55</v>
      </c>
      <c r="C2858" t="s">
        <v>44</v>
      </c>
      <c r="D2858" t="s">
        <v>60</v>
      </c>
      <c r="E2858">
        <v>607</v>
      </c>
      <c r="F2858">
        <v>63</v>
      </c>
      <c r="G2858">
        <v>2</v>
      </c>
      <c r="H2858">
        <v>894.36</v>
      </c>
      <c r="I2858">
        <v>1610.03</v>
      </c>
      <c r="J2858">
        <v>22</v>
      </c>
      <c r="K2858">
        <v>1</v>
      </c>
      <c r="L2858">
        <v>25.3</v>
      </c>
      <c r="M2858">
        <v>22.7</v>
      </c>
      <c r="N2858" t="s">
        <v>61</v>
      </c>
      <c r="O2858" t="s">
        <v>47</v>
      </c>
      <c r="P2858" t="s">
        <v>66</v>
      </c>
      <c r="R2858">
        <f>SUMIF(A2858:A7857,"C02857",I2858:I7857)</f>
        <v>1610.03</v>
      </c>
      <c r="S2858" s="1">
        <v>15224.9</v>
      </c>
      <c r="T2858">
        <f t="shared" si="328"/>
        <v>73.1831818181818</v>
      </c>
      <c r="U2858">
        <f t="shared" si="329"/>
        <v>499.4</v>
      </c>
      <c r="V2858">
        <f>U2858</f>
        <v>499.4</v>
      </c>
      <c r="W2858">
        <f t="shared" si="325"/>
        <v>835.13</v>
      </c>
      <c r="X2858">
        <f t="shared" si="323"/>
        <v>0.678697616172458</v>
      </c>
      <c r="AH2858" t="str">
        <f t="shared" si="326"/>
        <v>3rd Quality</v>
      </c>
      <c r="AJ2858">
        <f>((T2858-X2858)*2)/25.3</f>
        <v>5.73157977881497</v>
      </c>
      <c r="AK2858">
        <f t="shared" si="324"/>
        <v>44422.1913636364</v>
      </c>
    </row>
    <row r="2859" spans="1:37">
      <c r="A2859" t="s">
        <v>2925</v>
      </c>
      <c r="B2859">
        <v>29</v>
      </c>
      <c r="C2859" t="s">
        <v>50</v>
      </c>
      <c r="D2859" t="s">
        <v>45</v>
      </c>
      <c r="E2859">
        <v>1069</v>
      </c>
      <c r="F2859">
        <v>1</v>
      </c>
      <c r="G2859">
        <v>7</v>
      </c>
      <c r="H2859">
        <v>2225.62</v>
      </c>
      <c r="I2859">
        <v>15294.7</v>
      </c>
      <c r="J2859">
        <v>41</v>
      </c>
      <c r="K2859">
        <v>0</v>
      </c>
      <c r="L2859">
        <v>18.4</v>
      </c>
      <c r="M2859">
        <v>21.8</v>
      </c>
      <c r="N2859" t="s">
        <v>46</v>
      </c>
      <c r="O2859" t="s">
        <v>75</v>
      </c>
      <c r="P2859" t="s">
        <v>58</v>
      </c>
      <c r="R2859">
        <f>SUMIF(A2859:A7858,"C02858",I2859:I7858)</f>
        <v>15294.7</v>
      </c>
      <c r="S2859" s="1">
        <v>17807.91</v>
      </c>
      <c r="T2859">
        <f t="shared" si="328"/>
        <v>373.041463414634</v>
      </c>
      <c r="U2859">
        <f t="shared" si="329"/>
        <v>893.8</v>
      </c>
      <c r="V2859">
        <f t="shared" si="327"/>
        <v>74.4833333333333</v>
      </c>
      <c r="W2859">
        <f t="shared" si="325"/>
        <v>5840.44</v>
      </c>
      <c r="X2859">
        <f t="shared" si="323"/>
        <v>0.480315597451497</v>
      </c>
      <c r="AH2859" t="str">
        <f t="shared" si="326"/>
        <v>3rd Quality</v>
      </c>
      <c r="AJ2859">
        <f>((T2859-X2859)*2)/18.4</f>
        <v>40.4957769366503</v>
      </c>
      <c r="AK2859">
        <f t="shared" si="324"/>
        <v>398781.324390244</v>
      </c>
    </row>
    <row r="2860" spans="1:37">
      <c r="A2860" t="s">
        <v>2926</v>
      </c>
      <c r="B2860">
        <v>46</v>
      </c>
      <c r="C2860" t="s">
        <v>50</v>
      </c>
      <c r="D2860" t="s">
        <v>60</v>
      </c>
      <c r="E2860">
        <v>791</v>
      </c>
      <c r="F2860">
        <v>45</v>
      </c>
      <c r="G2860">
        <v>3</v>
      </c>
      <c r="H2860">
        <v>737.39</v>
      </c>
      <c r="I2860">
        <v>2342.19</v>
      </c>
      <c r="J2860">
        <v>19</v>
      </c>
      <c r="K2860">
        <v>0</v>
      </c>
      <c r="L2860">
        <v>36.7</v>
      </c>
      <c r="M2860">
        <v>46.9</v>
      </c>
      <c r="N2860" t="s">
        <v>61</v>
      </c>
      <c r="O2860" t="s">
        <v>47</v>
      </c>
      <c r="P2860" t="s">
        <v>58</v>
      </c>
      <c r="R2860">
        <f>SUMIF(A2860:A7859,"C02859",I2860:I7859)</f>
        <v>2342.19</v>
      </c>
      <c r="S2860" s="1">
        <v>35326.27</v>
      </c>
      <c r="T2860">
        <f t="shared" si="328"/>
        <v>123.273157894737</v>
      </c>
      <c r="U2860">
        <f t="shared" si="329"/>
        <v>891.1</v>
      </c>
      <c r="V2860">
        <f t="shared" si="327"/>
        <v>74.2583333333333</v>
      </c>
      <c r="W2860">
        <f t="shared" si="325"/>
        <v>1026.86</v>
      </c>
      <c r="X2860">
        <f t="shared" si="323"/>
        <v>1.07270236916693</v>
      </c>
      <c r="AH2860" t="str">
        <f t="shared" si="326"/>
        <v>3rd Quality</v>
      </c>
      <c r="AJ2860">
        <f>((T2860-X2860)*2)/36.7</f>
        <v>6.65942536924087</v>
      </c>
      <c r="AK2860">
        <f t="shared" si="324"/>
        <v>97509.0678947368</v>
      </c>
    </row>
    <row r="2861" spans="1:37">
      <c r="A2861" t="s">
        <v>2927</v>
      </c>
      <c r="B2861">
        <v>29</v>
      </c>
      <c r="C2861" t="s">
        <v>50</v>
      </c>
      <c r="D2861" t="s">
        <v>51</v>
      </c>
      <c r="E2861">
        <v>1038</v>
      </c>
      <c r="F2861">
        <v>47</v>
      </c>
      <c r="G2861">
        <v>9</v>
      </c>
      <c r="H2861">
        <v>1597.78</v>
      </c>
      <c r="I2861">
        <v>15224.9</v>
      </c>
      <c r="J2861">
        <v>54</v>
      </c>
      <c r="K2861">
        <v>0</v>
      </c>
      <c r="L2861">
        <v>19.6</v>
      </c>
      <c r="M2861">
        <v>36.3</v>
      </c>
      <c r="N2861" t="s">
        <v>63</v>
      </c>
      <c r="O2861" t="s">
        <v>47</v>
      </c>
      <c r="P2861" t="s">
        <v>66</v>
      </c>
      <c r="R2861">
        <f>SUMIF(A2861:A7860,"C02860",I2861:I7860)</f>
        <v>15224.9</v>
      </c>
      <c r="S2861" s="1">
        <v>11176.49</v>
      </c>
      <c r="T2861">
        <f t="shared" si="328"/>
        <v>281.942592592593</v>
      </c>
      <c r="U2861">
        <f t="shared" si="329"/>
        <v>1960.2</v>
      </c>
      <c r="V2861">
        <f t="shared" si="327"/>
        <v>163.35</v>
      </c>
      <c r="W2861">
        <f t="shared" si="325"/>
        <v>5607.89333333333</v>
      </c>
      <c r="X2861">
        <f t="shared" si="323"/>
        <v>0.649651391305436</v>
      </c>
      <c r="AH2861" t="str">
        <f t="shared" si="326"/>
        <v>3rd Quality</v>
      </c>
      <c r="AJ2861">
        <f>((T2861-X2861)*2)/19.6</f>
        <v>28.7033613470702</v>
      </c>
      <c r="AK2861">
        <f t="shared" si="324"/>
        <v>292656.411111111</v>
      </c>
    </row>
    <row r="2862" spans="1:37">
      <c r="A2862" t="s">
        <v>2928</v>
      </c>
      <c r="B2862">
        <v>33</v>
      </c>
      <c r="C2862" t="s">
        <v>50</v>
      </c>
      <c r="D2862" t="s">
        <v>60</v>
      </c>
      <c r="E2862">
        <v>939</v>
      </c>
      <c r="F2862">
        <v>63</v>
      </c>
      <c r="G2862">
        <v>8</v>
      </c>
      <c r="H2862">
        <v>2256.65</v>
      </c>
      <c r="I2862">
        <v>17807.91</v>
      </c>
      <c r="J2862">
        <v>23</v>
      </c>
      <c r="K2862">
        <v>0</v>
      </c>
      <c r="L2862">
        <v>31.8</v>
      </c>
      <c r="M2862">
        <v>53.6</v>
      </c>
      <c r="N2862" t="s">
        <v>46</v>
      </c>
      <c r="O2862" t="s">
        <v>75</v>
      </c>
      <c r="P2862" t="s">
        <v>58</v>
      </c>
      <c r="R2862">
        <f>SUMIF(A2862:A7861,"C02861",I2862:I7861)</f>
        <v>17807.91</v>
      </c>
      <c r="S2862" s="1">
        <v>67409.1</v>
      </c>
      <c r="T2862">
        <f t="shared" si="328"/>
        <v>774.256956521739</v>
      </c>
      <c r="U2862">
        <f t="shared" si="329"/>
        <v>1232.8</v>
      </c>
      <c r="V2862">
        <f t="shared" si="327"/>
        <v>102.733333333333</v>
      </c>
      <c r="W2862">
        <f t="shared" si="325"/>
        <v>6688.52</v>
      </c>
      <c r="X2862">
        <f t="shared" si="323"/>
        <v>0.416103516274123</v>
      </c>
      <c r="AH2862" t="str">
        <f t="shared" si="326"/>
        <v>2nd Quality</v>
      </c>
      <c r="AJ2862">
        <f>((T2862-X2862)*2)/31.8</f>
        <v>48.6692360380795</v>
      </c>
      <c r="AK2862">
        <f t="shared" si="324"/>
        <v>727027.282173913</v>
      </c>
    </row>
    <row r="2863" spans="1:37">
      <c r="A2863" t="s">
        <v>2929</v>
      </c>
      <c r="B2863">
        <v>45</v>
      </c>
      <c r="C2863" t="s">
        <v>44</v>
      </c>
      <c r="D2863" t="s">
        <v>45</v>
      </c>
      <c r="E2863">
        <v>1180</v>
      </c>
      <c r="F2863">
        <v>103</v>
      </c>
      <c r="G2863">
        <v>4</v>
      </c>
      <c r="H2863">
        <v>8946.83</v>
      </c>
      <c r="I2863">
        <v>35326.27</v>
      </c>
      <c r="J2863">
        <v>23</v>
      </c>
      <c r="K2863">
        <v>0</v>
      </c>
      <c r="L2863">
        <v>1.6</v>
      </c>
      <c r="M2863">
        <v>40.5</v>
      </c>
      <c r="N2863" t="s">
        <v>61</v>
      </c>
      <c r="O2863" t="s">
        <v>53</v>
      </c>
      <c r="P2863" t="s">
        <v>68</v>
      </c>
      <c r="R2863">
        <f>SUMIF(A2863:A7862,"C02862",I2863:I7862)</f>
        <v>35326.27</v>
      </c>
      <c r="S2863" s="1">
        <v>21684.32</v>
      </c>
      <c r="T2863">
        <f t="shared" si="328"/>
        <v>1535.9247826087</v>
      </c>
      <c r="U2863">
        <f t="shared" si="329"/>
        <v>931.5</v>
      </c>
      <c r="V2863">
        <f t="shared" si="327"/>
        <v>77.625</v>
      </c>
      <c r="W2863">
        <f t="shared" si="325"/>
        <v>14758.0333333333</v>
      </c>
      <c r="X2863">
        <f t="shared" si="323"/>
        <v>0.131890289633311</v>
      </c>
      <c r="AH2863" t="str">
        <f t="shared" si="326"/>
        <v>3rd Quality</v>
      </c>
      <c r="AJ2863">
        <f>((T2863-X2863)*2)/1.6</f>
        <v>1919.74111539883</v>
      </c>
      <c r="AK2863">
        <f t="shared" si="324"/>
        <v>1812391.24347826</v>
      </c>
    </row>
    <row r="2864" spans="1:37">
      <c r="A2864" t="s">
        <v>2930</v>
      </c>
      <c r="B2864">
        <v>18</v>
      </c>
      <c r="C2864" t="s">
        <v>50</v>
      </c>
      <c r="D2864" t="s">
        <v>60</v>
      </c>
      <c r="E2864">
        <v>1196</v>
      </c>
      <c r="F2864">
        <v>31</v>
      </c>
      <c r="G2864">
        <v>8</v>
      </c>
      <c r="H2864">
        <v>1363.39</v>
      </c>
      <c r="I2864">
        <v>11176.49</v>
      </c>
      <c r="J2864">
        <v>26</v>
      </c>
      <c r="K2864">
        <v>2</v>
      </c>
      <c r="L2864">
        <v>22.3</v>
      </c>
      <c r="M2864">
        <v>14.6</v>
      </c>
      <c r="N2864" t="s">
        <v>57</v>
      </c>
      <c r="O2864" t="s">
        <v>47</v>
      </c>
      <c r="P2864" t="s">
        <v>68</v>
      </c>
      <c r="R2864">
        <f>SUMIF(A2864:A7863,"C02863",I2864:I7863)</f>
        <v>11176.49</v>
      </c>
      <c r="S2864" s="1">
        <v>110145.67</v>
      </c>
      <c r="T2864">
        <f t="shared" si="328"/>
        <v>429.865</v>
      </c>
      <c r="U2864">
        <f t="shared" si="329"/>
        <v>379.6</v>
      </c>
      <c r="V2864">
        <f>U2864</f>
        <v>379.6</v>
      </c>
      <c r="W2864">
        <f t="shared" si="325"/>
        <v>4180.29333333333</v>
      </c>
      <c r="X2864">
        <f t="shared" si="323"/>
        <v>0.877225152010797</v>
      </c>
      <c r="AH2864" t="str">
        <f t="shared" si="326"/>
        <v>3rd Quality</v>
      </c>
      <c r="AJ2864">
        <f>((T2864-X2864)*2)/22.3</f>
        <v>38.4742398966806</v>
      </c>
      <c r="AK2864">
        <f t="shared" si="324"/>
        <v>514118.54</v>
      </c>
    </row>
    <row r="2865" spans="1:37">
      <c r="A2865" t="s">
        <v>2931</v>
      </c>
      <c r="B2865">
        <v>41</v>
      </c>
      <c r="C2865" t="s">
        <v>50</v>
      </c>
      <c r="D2865" t="s">
        <v>51</v>
      </c>
      <c r="E2865">
        <v>387</v>
      </c>
      <c r="F2865">
        <v>6</v>
      </c>
      <c r="G2865">
        <v>22</v>
      </c>
      <c r="H2865">
        <v>2775.54</v>
      </c>
      <c r="I2865">
        <v>67409.1</v>
      </c>
      <c r="J2865">
        <v>98</v>
      </c>
      <c r="K2865">
        <v>2</v>
      </c>
      <c r="L2865">
        <v>11.2</v>
      </c>
      <c r="M2865">
        <v>66.4</v>
      </c>
      <c r="N2865" t="s">
        <v>52</v>
      </c>
      <c r="O2865" t="s">
        <v>47</v>
      </c>
      <c r="P2865" t="s">
        <v>68</v>
      </c>
      <c r="R2865">
        <f>SUMIF(A2865:A7864,"C02864",I2865:I7864)</f>
        <v>67409.1</v>
      </c>
      <c r="S2865" s="1">
        <v>23702.02</v>
      </c>
      <c r="T2865">
        <f t="shared" si="328"/>
        <v>687.847959183674</v>
      </c>
      <c r="U2865">
        <f t="shared" si="329"/>
        <v>6507.2</v>
      </c>
      <c r="V2865">
        <f>U2865</f>
        <v>6507.2</v>
      </c>
      <c r="W2865">
        <f t="shared" si="325"/>
        <v>23395.2133333333</v>
      </c>
      <c r="X2865">
        <f t="shared" si="323"/>
        <v>0.139432326682375</v>
      </c>
      <c r="AH2865" t="str">
        <f t="shared" si="326"/>
        <v>3rd Quality</v>
      </c>
      <c r="AJ2865">
        <f>((T2865-X2865)*2)/11.2</f>
        <v>122.805094081606</v>
      </c>
      <c r="AK2865">
        <f t="shared" si="324"/>
        <v>266197.160204082</v>
      </c>
    </row>
    <row r="2866" spans="1:37">
      <c r="A2866" t="s">
        <v>2932</v>
      </c>
      <c r="B2866">
        <v>24</v>
      </c>
      <c r="C2866" t="s">
        <v>44</v>
      </c>
      <c r="D2866" t="s">
        <v>60</v>
      </c>
      <c r="E2866">
        <v>1292</v>
      </c>
      <c r="F2866">
        <v>107</v>
      </c>
      <c r="G2866">
        <v>14</v>
      </c>
      <c r="H2866">
        <v>1690.89</v>
      </c>
      <c r="I2866">
        <v>21684.32</v>
      </c>
      <c r="J2866">
        <v>36</v>
      </c>
      <c r="K2866">
        <v>0</v>
      </c>
      <c r="L2866">
        <v>30.3</v>
      </c>
      <c r="M2866">
        <v>19.1</v>
      </c>
      <c r="N2866" t="s">
        <v>61</v>
      </c>
      <c r="O2866" t="s">
        <v>75</v>
      </c>
      <c r="P2866" t="s">
        <v>58</v>
      </c>
      <c r="R2866">
        <f>SUMIF(A2866:A7865,"C02865",I2866:I7865)</f>
        <v>21684.32</v>
      </c>
      <c r="S2866" s="1">
        <v>44042.89</v>
      </c>
      <c r="T2866">
        <f t="shared" si="328"/>
        <v>602.342222222222</v>
      </c>
      <c r="U2866">
        <f t="shared" si="329"/>
        <v>687.6</v>
      </c>
      <c r="V2866">
        <f t="shared" si="327"/>
        <v>57.3</v>
      </c>
      <c r="W2866">
        <f t="shared" si="325"/>
        <v>7792.07</v>
      </c>
      <c r="X2866">
        <f t="shared" si="323"/>
        <v>0.764094648380439</v>
      </c>
      <c r="AH2866" t="str">
        <f t="shared" si="326"/>
        <v>2nd Quality</v>
      </c>
      <c r="AJ2866">
        <f>((T2866-X2866)*2)/30.3</f>
        <v>39.7081272325968</v>
      </c>
      <c r="AK2866">
        <f t="shared" si="324"/>
        <v>778226.151111111</v>
      </c>
    </row>
    <row r="2867" spans="1:37">
      <c r="A2867" t="s">
        <v>2933</v>
      </c>
      <c r="B2867">
        <v>33</v>
      </c>
      <c r="C2867" t="s">
        <v>44</v>
      </c>
      <c r="D2867" t="s">
        <v>60</v>
      </c>
      <c r="E2867">
        <v>623</v>
      </c>
      <c r="F2867">
        <v>9</v>
      </c>
      <c r="G2867">
        <v>25</v>
      </c>
      <c r="H2867">
        <v>4508.72</v>
      </c>
      <c r="I2867">
        <v>110145.67</v>
      </c>
      <c r="J2867">
        <v>84</v>
      </c>
      <c r="K2867">
        <v>0</v>
      </c>
      <c r="L2867">
        <v>15.8</v>
      </c>
      <c r="M2867">
        <v>42.7</v>
      </c>
      <c r="N2867" t="s">
        <v>63</v>
      </c>
      <c r="O2867" t="s">
        <v>47</v>
      </c>
      <c r="P2867" t="s">
        <v>48</v>
      </c>
      <c r="R2867">
        <f>SUMIF(A2867:A7866,"C02866",I2867:I7866)</f>
        <v>110145.67</v>
      </c>
      <c r="S2867" s="1">
        <v>1029.08</v>
      </c>
      <c r="T2867">
        <f t="shared" si="328"/>
        <v>1311.25797619048</v>
      </c>
      <c r="U2867">
        <f t="shared" si="329"/>
        <v>3586.8</v>
      </c>
      <c r="V2867">
        <f t="shared" si="327"/>
        <v>298.9</v>
      </c>
      <c r="W2867">
        <f t="shared" si="325"/>
        <v>38218.4633333333</v>
      </c>
      <c r="X2867">
        <f t="shared" si="323"/>
        <v>0.138176688727621</v>
      </c>
      <c r="AH2867" t="str">
        <f t="shared" si="326"/>
        <v>2nd Quality</v>
      </c>
      <c r="AJ2867">
        <f>((T2867-X2867)*2)/15.8</f>
        <v>165.9645315825</v>
      </c>
      <c r="AK2867">
        <f t="shared" si="324"/>
        <v>816913.719166667</v>
      </c>
    </row>
    <row r="2868" spans="1:37">
      <c r="A2868" t="s">
        <v>2934</v>
      </c>
      <c r="B2868">
        <v>36</v>
      </c>
      <c r="C2868" t="s">
        <v>50</v>
      </c>
      <c r="D2868" t="s">
        <v>45</v>
      </c>
      <c r="E2868">
        <v>1063</v>
      </c>
      <c r="F2868">
        <v>35</v>
      </c>
      <c r="G2868">
        <v>14</v>
      </c>
      <c r="H2868">
        <v>1542.79</v>
      </c>
      <c r="I2868">
        <v>23702.02</v>
      </c>
      <c r="J2868">
        <v>52</v>
      </c>
      <c r="K2868">
        <v>1</v>
      </c>
      <c r="L2868">
        <v>24.2</v>
      </c>
      <c r="M2868">
        <v>32.6</v>
      </c>
      <c r="N2868" t="s">
        <v>46</v>
      </c>
      <c r="O2868" t="s">
        <v>47</v>
      </c>
      <c r="P2868" t="s">
        <v>58</v>
      </c>
      <c r="R2868">
        <f>SUMIF(A2868:A7867,"C02867",I2868:I7867)</f>
        <v>23702.02</v>
      </c>
      <c r="S2868" s="1">
        <v>105858.1</v>
      </c>
      <c r="T2868">
        <f t="shared" si="328"/>
        <v>455.808076923077</v>
      </c>
      <c r="U2868">
        <f t="shared" si="329"/>
        <v>1695.2</v>
      </c>
      <c r="V2868">
        <f>U2868</f>
        <v>1695.2</v>
      </c>
      <c r="W2868">
        <f t="shared" si="325"/>
        <v>8415.27</v>
      </c>
      <c r="X2868">
        <f t="shared" si="323"/>
        <v>0.689011466239735</v>
      </c>
      <c r="AH2868" t="str">
        <f t="shared" si="326"/>
        <v>2nd Quality</v>
      </c>
      <c r="AJ2868">
        <f>((T2868-X2868)*2)/24.2</f>
        <v>37.6131459055237</v>
      </c>
      <c r="AK2868">
        <f t="shared" si="324"/>
        <v>484523.985769231</v>
      </c>
    </row>
    <row r="2869" spans="1:37">
      <c r="A2869" t="s">
        <v>2935</v>
      </c>
      <c r="B2869">
        <v>48</v>
      </c>
      <c r="C2869" t="s">
        <v>50</v>
      </c>
      <c r="D2869" t="s">
        <v>45</v>
      </c>
      <c r="E2869">
        <v>1079</v>
      </c>
      <c r="F2869">
        <v>65</v>
      </c>
      <c r="G2869">
        <v>5</v>
      </c>
      <c r="H2869">
        <v>8706.8</v>
      </c>
      <c r="I2869">
        <v>44042.89</v>
      </c>
      <c r="J2869">
        <v>26</v>
      </c>
      <c r="K2869">
        <v>0</v>
      </c>
      <c r="L2869">
        <v>6.5</v>
      </c>
      <c r="M2869">
        <v>18.3</v>
      </c>
      <c r="N2869" t="s">
        <v>63</v>
      </c>
      <c r="O2869" t="s">
        <v>75</v>
      </c>
      <c r="P2869" t="s">
        <v>68</v>
      </c>
      <c r="R2869">
        <f>SUMIF(A2869:A7868,"C02868",I2869:I7868)</f>
        <v>44042.89</v>
      </c>
      <c r="S2869" s="1">
        <v>38896.75</v>
      </c>
      <c r="T2869">
        <f t="shared" si="328"/>
        <v>1693.95730769231</v>
      </c>
      <c r="U2869">
        <f t="shared" si="329"/>
        <v>475.8</v>
      </c>
      <c r="V2869">
        <f t="shared" si="327"/>
        <v>39.65</v>
      </c>
      <c r="W2869">
        <f t="shared" si="325"/>
        <v>17583.5633333333</v>
      </c>
      <c r="X2869">
        <f t="shared" si="323"/>
        <v>0.123926126705563</v>
      </c>
      <c r="AH2869" t="str">
        <f t="shared" si="326"/>
        <v>3rd Quality</v>
      </c>
      <c r="AJ2869">
        <f>((T2869-X2869)*2)/6.5</f>
        <v>521.179502020186</v>
      </c>
      <c r="AK2869">
        <f t="shared" si="324"/>
        <v>1827779.935</v>
      </c>
    </row>
    <row r="2870" spans="1:37">
      <c r="A2870" t="s">
        <v>2936</v>
      </c>
      <c r="B2870">
        <v>35</v>
      </c>
      <c r="C2870" t="s">
        <v>44</v>
      </c>
      <c r="D2870" t="s">
        <v>60</v>
      </c>
      <c r="E2870">
        <v>1061</v>
      </c>
      <c r="F2870">
        <v>45</v>
      </c>
      <c r="G2870">
        <v>1</v>
      </c>
      <c r="H2870">
        <v>961.49</v>
      </c>
      <c r="I2870">
        <v>1029.08</v>
      </c>
      <c r="J2870">
        <v>7</v>
      </c>
      <c r="K2870">
        <v>0</v>
      </c>
      <c r="L2870">
        <v>10.6</v>
      </c>
      <c r="M2870">
        <v>6</v>
      </c>
      <c r="N2870" t="s">
        <v>52</v>
      </c>
      <c r="O2870" t="s">
        <v>53</v>
      </c>
      <c r="P2870" t="s">
        <v>58</v>
      </c>
      <c r="R2870">
        <f>SUMIF(A2870:A7869,"C02869",I2870:I7869)</f>
        <v>1029.08</v>
      </c>
      <c r="S2870" s="1">
        <v>11304.79</v>
      </c>
      <c r="T2870">
        <f t="shared" si="328"/>
        <v>147.011428571429</v>
      </c>
      <c r="U2870">
        <f t="shared" si="329"/>
        <v>42</v>
      </c>
      <c r="V2870">
        <f t="shared" si="327"/>
        <v>3.5</v>
      </c>
      <c r="W2870">
        <f t="shared" si="325"/>
        <v>663.856666666667</v>
      </c>
      <c r="X2870">
        <f t="shared" si="323"/>
        <v>1.10349561617906</v>
      </c>
      <c r="AH2870" t="str">
        <f t="shared" si="326"/>
        <v>3rd Quality</v>
      </c>
      <c r="AJ2870">
        <f>((T2870-X2870)*2)/10.6</f>
        <v>27.5297986708019</v>
      </c>
      <c r="AK2870">
        <f t="shared" si="324"/>
        <v>155979.125714286</v>
      </c>
    </row>
    <row r="2871" spans="1:37">
      <c r="A2871" t="s">
        <v>2937</v>
      </c>
      <c r="B2871">
        <v>37</v>
      </c>
      <c r="C2871" t="s">
        <v>50</v>
      </c>
      <c r="D2871" t="s">
        <v>51</v>
      </c>
      <c r="E2871">
        <v>1153</v>
      </c>
      <c r="F2871">
        <v>10</v>
      </c>
      <c r="G2871">
        <v>34</v>
      </c>
      <c r="H2871">
        <v>3141.65</v>
      </c>
      <c r="I2871">
        <v>105858.1</v>
      </c>
      <c r="J2871">
        <v>213</v>
      </c>
      <c r="K2871">
        <v>3</v>
      </c>
      <c r="L2871">
        <v>7.7</v>
      </c>
      <c r="M2871">
        <v>11.9</v>
      </c>
      <c r="N2871" t="s">
        <v>63</v>
      </c>
      <c r="O2871" t="s">
        <v>75</v>
      </c>
      <c r="P2871" t="s">
        <v>48</v>
      </c>
      <c r="R2871">
        <f>SUMIF(A2871:A7870,"C02870",I2871:I7870)</f>
        <v>105858.1</v>
      </c>
      <c r="S2871" s="1">
        <v>82545.65</v>
      </c>
      <c r="T2871">
        <f t="shared" si="328"/>
        <v>496.986384976526</v>
      </c>
      <c r="U2871">
        <f t="shared" si="329"/>
        <v>2534.7</v>
      </c>
      <c r="V2871">
        <f>U2871</f>
        <v>2534.7</v>
      </c>
      <c r="W2871">
        <f t="shared" si="325"/>
        <v>36333.5833333333</v>
      </c>
      <c r="X2871">
        <f t="shared" si="323"/>
        <v>0.367004599493897</v>
      </c>
      <c r="AH2871" t="str">
        <f t="shared" si="326"/>
        <v>2nd Quality</v>
      </c>
      <c r="AJ2871">
        <f>((T2871-X2871)*2)/7.7</f>
        <v>128.992046851177</v>
      </c>
      <c r="AK2871">
        <f t="shared" si="324"/>
        <v>573025.301877934</v>
      </c>
    </row>
    <row r="2872" spans="1:37">
      <c r="A2872" t="s">
        <v>2938</v>
      </c>
      <c r="B2872">
        <v>22</v>
      </c>
      <c r="C2872" t="s">
        <v>44</v>
      </c>
      <c r="D2872" t="s">
        <v>45</v>
      </c>
      <c r="E2872">
        <v>512</v>
      </c>
      <c r="F2872">
        <v>9</v>
      </c>
      <c r="G2872">
        <v>4</v>
      </c>
      <c r="H2872">
        <v>8831.72</v>
      </c>
      <c r="I2872">
        <v>38896.75</v>
      </c>
      <c r="J2872">
        <v>21</v>
      </c>
      <c r="K2872">
        <v>1</v>
      </c>
      <c r="L2872">
        <v>21.8</v>
      </c>
      <c r="M2872">
        <v>58.5</v>
      </c>
      <c r="N2872" t="s">
        <v>57</v>
      </c>
      <c r="O2872" t="s">
        <v>47</v>
      </c>
      <c r="P2872" t="s">
        <v>58</v>
      </c>
      <c r="R2872">
        <f>SUMIF(A2872:A7871,"C02871",I2872:I7871)</f>
        <v>38896.75</v>
      </c>
      <c r="S2872" s="1">
        <v>19460.34</v>
      </c>
      <c r="T2872">
        <f t="shared" si="328"/>
        <v>1852.22619047619</v>
      </c>
      <c r="U2872">
        <f t="shared" si="329"/>
        <v>1228.5</v>
      </c>
      <c r="V2872">
        <f>U2872</f>
        <v>1228.5</v>
      </c>
      <c r="W2872">
        <f t="shared" si="325"/>
        <v>15909.8233333333</v>
      </c>
      <c r="X2872">
        <f t="shared" ref="X2872:X2935" si="330">E2872/H2872</f>
        <v>0.057972852400212</v>
      </c>
      <c r="AH2872" t="str">
        <f t="shared" si="326"/>
        <v>2nd Quality</v>
      </c>
      <c r="AJ2872">
        <f>((T2872-X2872)*2)/21.8</f>
        <v>169.923689690256</v>
      </c>
      <c r="AK2872">
        <f t="shared" si="324"/>
        <v>948339.809523809</v>
      </c>
    </row>
    <row r="2873" spans="1:37">
      <c r="A2873" t="s">
        <v>2939</v>
      </c>
      <c r="B2873">
        <v>21</v>
      </c>
      <c r="C2873" t="s">
        <v>50</v>
      </c>
      <c r="D2873" t="s">
        <v>51</v>
      </c>
      <c r="E2873">
        <v>1056</v>
      </c>
      <c r="F2873">
        <v>5</v>
      </c>
      <c r="G2873">
        <v>7</v>
      </c>
      <c r="H2873">
        <v>1476.66</v>
      </c>
      <c r="I2873">
        <v>11304.79</v>
      </c>
      <c r="J2873">
        <v>47</v>
      </c>
      <c r="K2873">
        <v>0</v>
      </c>
      <c r="L2873">
        <v>15.3</v>
      </c>
      <c r="M2873">
        <v>9.8</v>
      </c>
      <c r="N2873" t="s">
        <v>57</v>
      </c>
      <c r="O2873" t="s">
        <v>53</v>
      </c>
      <c r="P2873" t="s">
        <v>58</v>
      </c>
      <c r="R2873">
        <f>SUMIF(A2873:A7872,"C02872",I2873:I7872)</f>
        <v>11304.79</v>
      </c>
      <c r="S2873" s="1">
        <v>77343.35</v>
      </c>
      <c r="T2873">
        <f t="shared" si="328"/>
        <v>240.527446808511</v>
      </c>
      <c r="U2873">
        <f t="shared" si="329"/>
        <v>460.6</v>
      </c>
      <c r="V2873">
        <f t="shared" si="327"/>
        <v>38.3833333333333</v>
      </c>
      <c r="W2873">
        <f t="shared" si="325"/>
        <v>4260.81666666667</v>
      </c>
      <c r="X2873">
        <f t="shared" si="330"/>
        <v>0.71512738206493</v>
      </c>
      <c r="AH2873" t="str">
        <f t="shared" si="326"/>
        <v>3rd Quality</v>
      </c>
      <c r="AJ2873">
        <f>((T2873-X2873)*2)/15.3</f>
        <v>31.3480156113001</v>
      </c>
      <c r="AK2873">
        <f t="shared" si="324"/>
        <v>253996.983829787</v>
      </c>
    </row>
    <row r="2874" spans="1:37">
      <c r="A2874" t="s">
        <v>2940</v>
      </c>
      <c r="B2874">
        <v>36</v>
      </c>
      <c r="C2874" t="s">
        <v>56</v>
      </c>
      <c r="D2874" t="s">
        <v>60</v>
      </c>
      <c r="E2874">
        <v>779</v>
      </c>
      <c r="F2874">
        <v>4</v>
      </c>
      <c r="G2874">
        <v>25</v>
      </c>
      <c r="H2874">
        <v>3345.22</v>
      </c>
      <c r="I2874">
        <v>82545.65</v>
      </c>
      <c r="J2874">
        <v>133</v>
      </c>
      <c r="K2874">
        <v>2</v>
      </c>
      <c r="L2874">
        <v>5.1</v>
      </c>
      <c r="M2874">
        <v>42.2</v>
      </c>
      <c r="N2874" t="s">
        <v>52</v>
      </c>
      <c r="O2874" t="s">
        <v>47</v>
      </c>
      <c r="P2874" t="s">
        <v>68</v>
      </c>
      <c r="R2874">
        <f>SUMIF(A2874:A7873,"C02873",I2874:I7873)</f>
        <v>82545.65</v>
      </c>
      <c r="S2874" s="1">
        <v>40842.28</v>
      </c>
      <c r="T2874">
        <f t="shared" si="328"/>
        <v>620.643984962406</v>
      </c>
      <c r="U2874">
        <f t="shared" si="329"/>
        <v>5612.6</v>
      </c>
      <c r="V2874">
        <f>U2874</f>
        <v>5612.6</v>
      </c>
      <c r="W2874">
        <f t="shared" si="325"/>
        <v>28630.6233333333</v>
      </c>
      <c r="X2874">
        <f t="shared" si="330"/>
        <v>0.232869587052571</v>
      </c>
      <c r="AH2874" t="str">
        <f t="shared" si="326"/>
        <v>2nd Quality</v>
      </c>
      <c r="AJ2874">
        <f>((T2874-X2874)*2)/5.1</f>
        <v>243.298476617786</v>
      </c>
      <c r="AK2874">
        <f t="shared" si="324"/>
        <v>483481.664285714</v>
      </c>
    </row>
    <row r="2875" spans="1:37">
      <c r="A2875" t="s">
        <v>2941</v>
      </c>
      <c r="B2875">
        <v>40</v>
      </c>
      <c r="C2875" t="s">
        <v>50</v>
      </c>
      <c r="D2875" t="s">
        <v>60</v>
      </c>
      <c r="E2875">
        <v>818</v>
      </c>
      <c r="F2875">
        <v>94</v>
      </c>
      <c r="G2875">
        <v>9</v>
      </c>
      <c r="H2875">
        <v>2453.76</v>
      </c>
      <c r="I2875">
        <v>19460.34</v>
      </c>
      <c r="J2875">
        <v>36</v>
      </c>
      <c r="K2875">
        <v>0</v>
      </c>
      <c r="L2875">
        <v>12.3</v>
      </c>
      <c r="M2875">
        <v>27.9</v>
      </c>
      <c r="N2875" t="s">
        <v>52</v>
      </c>
      <c r="O2875" t="s">
        <v>47</v>
      </c>
      <c r="P2875" t="s">
        <v>58</v>
      </c>
      <c r="R2875">
        <f>SUMIF(A2875:A7874,"C02874",I2875:I7874)</f>
        <v>19460.34</v>
      </c>
      <c r="S2875" s="1">
        <v>9020.94</v>
      </c>
      <c r="T2875">
        <f t="shared" si="328"/>
        <v>540.565</v>
      </c>
      <c r="U2875">
        <f t="shared" si="329"/>
        <v>1004.4</v>
      </c>
      <c r="V2875">
        <f t="shared" si="327"/>
        <v>83.7</v>
      </c>
      <c r="W2875">
        <f t="shared" si="325"/>
        <v>7305.03333333333</v>
      </c>
      <c r="X2875">
        <f t="shared" si="330"/>
        <v>0.333365936358894</v>
      </c>
      <c r="AH2875" t="str">
        <f t="shared" si="326"/>
        <v>2nd Quality</v>
      </c>
      <c r="AJ2875">
        <f>((T2875-X2875)*2)/12.3</f>
        <v>87.8425421241693</v>
      </c>
      <c r="AK2875">
        <f t="shared" si="324"/>
        <v>442182.17</v>
      </c>
    </row>
    <row r="2876" spans="1:37">
      <c r="A2876" t="s">
        <v>2942</v>
      </c>
      <c r="B2876">
        <v>46</v>
      </c>
      <c r="C2876" t="s">
        <v>44</v>
      </c>
      <c r="D2876" t="s">
        <v>45</v>
      </c>
      <c r="E2876">
        <v>530</v>
      </c>
      <c r="F2876">
        <v>2</v>
      </c>
      <c r="G2876">
        <v>31</v>
      </c>
      <c r="H2876">
        <v>2455.95</v>
      </c>
      <c r="I2876">
        <v>77343.35</v>
      </c>
      <c r="J2876">
        <v>98</v>
      </c>
      <c r="K2876">
        <v>2</v>
      </c>
      <c r="L2876">
        <v>3.8</v>
      </c>
      <c r="M2876">
        <v>30.2</v>
      </c>
      <c r="N2876" t="s">
        <v>81</v>
      </c>
      <c r="O2876" t="s">
        <v>47</v>
      </c>
      <c r="P2876" t="s">
        <v>66</v>
      </c>
      <c r="R2876">
        <f>SUMIF(A2876:A7875,"C02875",I2876:I7875)</f>
        <v>77343.35</v>
      </c>
      <c r="S2876" s="1">
        <v>7302.59</v>
      </c>
      <c r="T2876">
        <f t="shared" si="328"/>
        <v>789.217857142857</v>
      </c>
      <c r="U2876">
        <f t="shared" si="329"/>
        <v>2959.6</v>
      </c>
      <c r="V2876">
        <f>U2876</f>
        <v>2959.6</v>
      </c>
      <c r="W2876">
        <f t="shared" si="325"/>
        <v>26600.1</v>
      </c>
      <c r="X2876">
        <f t="shared" si="330"/>
        <v>0.215802438974735</v>
      </c>
      <c r="AH2876" t="str">
        <f t="shared" si="326"/>
        <v>3rd Quality</v>
      </c>
      <c r="AJ2876">
        <f>((T2876-X2876)*2)/3.8</f>
        <v>415.264239317833</v>
      </c>
      <c r="AK2876">
        <f t="shared" si="324"/>
        <v>418285.464285714</v>
      </c>
    </row>
    <row r="2877" spans="1:37">
      <c r="A2877" t="s">
        <v>2943</v>
      </c>
      <c r="B2877">
        <v>38</v>
      </c>
      <c r="C2877" t="s">
        <v>50</v>
      </c>
      <c r="D2877" t="s">
        <v>60</v>
      </c>
      <c r="E2877">
        <v>1012</v>
      </c>
      <c r="F2877">
        <v>6</v>
      </c>
      <c r="G2877">
        <v>25</v>
      </c>
      <c r="H2877">
        <v>1758.66</v>
      </c>
      <c r="I2877">
        <v>40842.28</v>
      </c>
      <c r="J2877">
        <v>53</v>
      </c>
      <c r="K2877">
        <v>2</v>
      </c>
      <c r="L2877">
        <v>0.7</v>
      </c>
      <c r="M2877">
        <v>58.1</v>
      </c>
      <c r="N2877" t="s">
        <v>57</v>
      </c>
      <c r="O2877" t="s">
        <v>47</v>
      </c>
      <c r="P2877" t="s">
        <v>48</v>
      </c>
      <c r="R2877">
        <f>SUMIF(A2877:A7876,"C02876",I2877:I7876)</f>
        <v>40842.28</v>
      </c>
      <c r="S2877" s="1">
        <v>70797.03</v>
      </c>
      <c r="T2877">
        <f t="shared" si="328"/>
        <v>770.609056603774</v>
      </c>
      <c r="U2877">
        <f t="shared" si="329"/>
        <v>3079.3</v>
      </c>
      <c r="V2877">
        <f>U2877</f>
        <v>3079.3</v>
      </c>
      <c r="W2877">
        <f t="shared" si="325"/>
        <v>14200.6466666667</v>
      </c>
      <c r="X2877">
        <f t="shared" si="330"/>
        <v>0.575438117657762</v>
      </c>
      <c r="AH2877" t="str">
        <f t="shared" si="326"/>
        <v>2nd Quality</v>
      </c>
      <c r="AJ2877">
        <f>((T2877-X2877)*2)/0.7</f>
        <v>2200.09605281748</v>
      </c>
      <c r="AK2877">
        <f t="shared" si="324"/>
        <v>779856.365283019</v>
      </c>
    </row>
    <row r="2878" spans="1:37">
      <c r="A2878" t="s">
        <v>2944</v>
      </c>
      <c r="B2878">
        <v>26</v>
      </c>
      <c r="C2878" t="s">
        <v>44</v>
      </c>
      <c r="D2878" t="s">
        <v>60</v>
      </c>
      <c r="E2878">
        <v>722</v>
      </c>
      <c r="F2878">
        <v>59</v>
      </c>
      <c r="G2878">
        <v>11</v>
      </c>
      <c r="H2878">
        <v>874.54</v>
      </c>
      <c r="I2878">
        <v>9020.94</v>
      </c>
      <c r="J2878">
        <v>97</v>
      </c>
      <c r="K2878">
        <v>1</v>
      </c>
      <c r="L2878">
        <v>13.4</v>
      </c>
      <c r="M2878">
        <v>33.7</v>
      </c>
      <c r="N2878" t="s">
        <v>81</v>
      </c>
      <c r="O2878" t="s">
        <v>75</v>
      </c>
      <c r="P2878" t="s">
        <v>48</v>
      </c>
      <c r="R2878">
        <f>SUMIF(A2878:A7877,"C02877",I2878:I7877)</f>
        <v>9020.94</v>
      </c>
      <c r="S2878" s="1">
        <v>57343.12</v>
      </c>
      <c r="T2878">
        <f t="shared" si="328"/>
        <v>92.999381443299</v>
      </c>
      <c r="U2878">
        <f t="shared" si="329"/>
        <v>3268.9</v>
      </c>
      <c r="V2878">
        <f>U2878</f>
        <v>3268.9</v>
      </c>
      <c r="W2878">
        <f t="shared" si="325"/>
        <v>3298.82666666667</v>
      </c>
      <c r="X2878">
        <f t="shared" si="330"/>
        <v>0.825576874699842</v>
      </c>
      <c r="AH2878" t="str">
        <f t="shared" si="326"/>
        <v>3rd Quality</v>
      </c>
      <c r="AJ2878">
        <f>((T2878-X2878)*2)/13.4</f>
        <v>13.75728426397</v>
      </c>
      <c r="AK2878">
        <f t="shared" si="324"/>
        <v>67145.5534020619</v>
      </c>
    </row>
    <row r="2879" spans="1:37">
      <c r="A2879" t="s">
        <v>2945</v>
      </c>
      <c r="B2879">
        <v>35</v>
      </c>
      <c r="C2879" t="s">
        <v>44</v>
      </c>
      <c r="D2879" t="s">
        <v>51</v>
      </c>
      <c r="E2879">
        <v>1133</v>
      </c>
      <c r="F2879">
        <v>17</v>
      </c>
      <c r="G2879">
        <v>7</v>
      </c>
      <c r="H2879">
        <v>1061.12</v>
      </c>
      <c r="I2879">
        <v>7302.59</v>
      </c>
      <c r="J2879">
        <v>58</v>
      </c>
      <c r="K2879">
        <v>0</v>
      </c>
      <c r="L2879">
        <v>24.3</v>
      </c>
      <c r="M2879">
        <v>10.2</v>
      </c>
      <c r="N2879" t="s">
        <v>61</v>
      </c>
      <c r="O2879" t="s">
        <v>47</v>
      </c>
      <c r="P2879" t="s">
        <v>68</v>
      </c>
      <c r="R2879">
        <f>SUMIF(A2879:A7878,"C02878",I2879:I7878)</f>
        <v>7302.59</v>
      </c>
      <c r="S2879" s="1">
        <v>47449.62</v>
      </c>
      <c r="T2879">
        <f t="shared" si="328"/>
        <v>125.906724137931</v>
      </c>
      <c r="U2879">
        <f t="shared" si="329"/>
        <v>591.6</v>
      </c>
      <c r="V2879">
        <f>U2879/12</f>
        <v>49.3</v>
      </c>
      <c r="W2879">
        <f t="shared" si="325"/>
        <v>2788.23666666667</v>
      </c>
      <c r="X2879">
        <f t="shared" si="330"/>
        <v>1.06773974668275</v>
      </c>
      <c r="AH2879" t="str">
        <f t="shared" si="326"/>
        <v>3rd Quality</v>
      </c>
      <c r="AJ2879">
        <f>((T2879-X2879)*2)/24.3</f>
        <v>10.2748135301439</v>
      </c>
      <c r="AK2879">
        <f t="shared" si="324"/>
        <v>142652.318448276</v>
      </c>
    </row>
    <row r="2880" spans="1:37">
      <c r="A2880" t="s">
        <v>2946</v>
      </c>
      <c r="B2880">
        <v>28</v>
      </c>
      <c r="C2880" t="s">
        <v>50</v>
      </c>
      <c r="D2880" t="s">
        <v>60</v>
      </c>
      <c r="E2880">
        <v>889</v>
      </c>
      <c r="F2880">
        <v>102</v>
      </c>
      <c r="G2880">
        <v>5</v>
      </c>
      <c r="H2880">
        <v>14331.42</v>
      </c>
      <c r="I2880">
        <v>70797.03</v>
      </c>
      <c r="J2880">
        <v>40</v>
      </c>
      <c r="K2880">
        <v>0</v>
      </c>
      <c r="L2880">
        <v>11.1</v>
      </c>
      <c r="M2880">
        <v>38.5</v>
      </c>
      <c r="N2880" t="s">
        <v>52</v>
      </c>
      <c r="O2880" t="s">
        <v>47</v>
      </c>
      <c r="P2880" t="s">
        <v>58</v>
      </c>
      <c r="R2880">
        <f>SUMIF(A2880:A7879,"C02879",I2880:I7879)</f>
        <v>70797.03</v>
      </c>
      <c r="S2880" s="1">
        <v>89021.63</v>
      </c>
      <c r="T2880">
        <f t="shared" si="328"/>
        <v>1769.92575</v>
      </c>
      <c r="U2880">
        <f t="shared" si="329"/>
        <v>1540</v>
      </c>
      <c r="V2880">
        <f t="shared" si="327"/>
        <v>128.333333333333</v>
      </c>
      <c r="W2880">
        <f t="shared" si="325"/>
        <v>28376.4833333333</v>
      </c>
      <c r="X2880">
        <f t="shared" si="330"/>
        <v>0.062031536302753</v>
      </c>
      <c r="AH2880" t="str">
        <f t="shared" si="326"/>
        <v>2nd Quality</v>
      </c>
      <c r="AJ2880">
        <f>((T2880-X2880)*2)/11.1</f>
        <v>318.894363687153</v>
      </c>
      <c r="AK2880">
        <f t="shared" si="324"/>
        <v>1573463.99175</v>
      </c>
    </row>
    <row r="2881" spans="1:37">
      <c r="A2881" t="s">
        <v>2947</v>
      </c>
      <c r="B2881">
        <v>23</v>
      </c>
      <c r="C2881" t="s">
        <v>50</v>
      </c>
      <c r="D2881" t="s">
        <v>51</v>
      </c>
      <c r="E2881">
        <v>813</v>
      </c>
      <c r="F2881">
        <v>9</v>
      </c>
      <c r="G2881">
        <v>27</v>
      </c>
      <c r="H2881">
        <v>1954.63</v>
      </c>
      <c r="I2881">
        <v>57343.12</v>
      </c>
      <c r="J2881">
        <v>56</v>
      </c>
      <c r="K2881">
        <v>0</v>
      </c>
      <c r="L2881">
        <v>11.5</v>
      </c>
      <c r="M2881">
        <v>55.3</v>
      </c>
      <c r="N2881" t="s">
        <v>81</v>
      </c>
      <c r="O2881" t="s">
        <v>47</v>
      </c>
      <c r="P2881" t="s">
        <v>68</v>
      </c>
      <c r="R2881">
        <f>SUMIF(A2881:A7880,"C02880",I2881:I7880)</f>
        <v>57343.12</v>
      </c>
      <c r="S2881" s="1">
        <v>54140.63</v>
      </c>
      <c r="T2881">
        <f t="shared" si="328"/>
        <v>1023.98428571429</v>
      </c>
      <c r="U2881">
        <f t="shared" si="329"/>
        <v>3096.8</v>
      </c>
      <c r="V2881">
        <f t="shared" si="327"/>
        <v>258.066666666667</v>
      </c>
      <c r="W2881">
        <f t="shared" si="325"/>
        <v>19766.25</v>
      </c>
      <c r="X2881">
        <f t="shared" si="330"/>
        <v>0.415935496743629</v>
      </c>
      <c r="AH2881" t="str">
        <f t="shared" si="326"/>
        <v>2nd Quality</v>
      </c>
      <c r="AJ2881">
        <f>((T2881-X2881)*2)/11.5</f>
        <v>178.011886994356</v>
      </c>
      <c r="AK2881">
        <f t="shared" si="324"/>
        <v>832499.224285714</v>
      </c>
    </row>
    <row r="2882" spans="1:37">
      <c r="A2882" t="s">
        <v>2948</v>
      </c>
      <c r="B2882">
        <v>26</v>
      </c>
      <c r="C2882" t="s">
        <v>50</v>
      </c>
      <c r="D2882" t="s">
        <v>60</v>
      </c>
      <c r="E2882">
        <v>925</v>
      </c>
      <c r="F2882">
        <v>2</v>
      </c>
      <c r="G2882">
        <v>26</v>
      </c>
      <c r="H2882">
        <v>2056.3</v>
      </c>
      <c r="I2882">
        <v>47449.62</v>
      </c>
      <c r="J2882">
        <v>137</v>
      </c>
      <c r="K2882">
        <v>5</v>
      </c>
      <c r="L2882">
        <v>1.8</v>
      </c>
      <c r="M2882">
        <v>33.6</v>
      </c>
      <c r="N2882" t="s">
        <v>46</v>
      </c>
      <c r="O2882" t="s">
        <v>47</v>
      </c>
      <c r="P2882" t="s">
        <v>48</v>
      </c>
      <c r="R2882">
        <f>SUMIF(A2882:A7881,"C02881",I2882:I7881)</f>
        <v>47449.62</v>
      </c>
      <c r="S2882" s="1">
        <v>5398.72</v>
      </c>
      <c r="T2882">
        <f t="shared" si="328"/>
        <v>346.347591240876</v>
      </c>
      <c r="U2882">
        <f t="shared" si="329"/>
        <v>4603.2</v>
      </c>
      <c r="V2882">
        <f>U2882</f>
        <v>4603.2</v>
      </c>
      <c r="W2882">
        <f t="shared" si="325"/>
        <v>16502.3066666667</v>
      </c>
      <c r="X2882">
        <f t="shared" si="330"/>
        <v>0.449837086028303</v>
      </c>
      <c r="AH2882" t="str">
        <f t="shared" si="326"/>
        <v>1st Quality</v>
      </c>
      <c r="AJ2882">
        <f>((T2882-X2882)*2)/1.8</f>
        <v>384.330837949831</v>
      </c>
      <c r="AK2882">
        <f t="shared" si="324"/>
        <v>320371.52189781</v>
      </c>
    </row>
    <row r="2883" spans="1:37">
      <c r="A2883" t="s">
        <v>2949</v>
      </c>
      <c r="B2883">
        <v>18</v>
      </c>
      <c r="C2883" t="s">
        <v>50</v>
      </c>
      <c r="D2883" t="s">
        <v>45</v>
      </c>
      <c r="E2883">
        <v>985</v>
      </c>
      <c r="F2883">
        <v>4</v>
      </c>
      <c r="G2883">
        <v>25</v>
      </c>
      <c r="H2883">
        <v>3745.05</v>
      </c>
      <c r="I2883">
        <v>89021.63</v>
      </c>
      <c r="J2883">
        <v>133</v>
      </c>
      <c r="K2883">
        <v>2</v>
      </c>
      <c r="L2883">
        <v>0</v>
      </c>
      <c r="M2883">
        <v>55.7</v>
      </c>
      <c r="N2883" t="s">
        <v>46</v>
      </c>
      <c r="O2883" t="s">
        <v>53</v>
      </c>
      <c r="P2883" t="s">
        <v>58</v>
      </c>
      <c r="R2883">
        <f>SUMIF(A2883:A7882,"C02882",I2883:I7882)</f>
        <v>89021.63</v>
      </c>
      <c r="S2883" s="1">
        <v>9265.85</v>
      </c>
      <c r="T2883">
        <f t="shared" si="328"/>
        <v>669.335563909774</v>
      </c>
      <c r="U2883">
        <f t="shared" si="329"/>
        <v>7408.1</v>
      </c>
      <c r="V2883">
        <f>U2883</f>
        <v>7408.1</v>
      </c>
      <c r="W2883">
        <f t="shared" si="325"/>
        <v>30922.56</v>
      </c>
      <c r="X2883">
        <f t="shared" si="330"/>
        <v>0.26301384494199</v>
      </c>
      <c r="AH2883" t="str">
        <f t="shared" si="326"/>
        <v>1st Quality</v>
      </c>
      <c r="AJ2883">
        <f>((T2883-X2883)*2)</f>
        <v>1338.14510012966</v>
      </c>
      <c r="AK2883">
        <f t="shared" ref="AK2883:AK2946" si="331">I2883/J2883*E2883</f>
        <v>659295.530451128</v>
      </c>
    </row>
    <row r="2884" spans="1:37">
      <c r="A2884" t="s">
        <v>2950</v>
      </c>
      <c r="B2884">
        <v>22</v>
      </c>
      <c r="C2884" t="s">
        <v>44</v>
      </c>
      <c r="D2884" t="s">
        <v>60</v>
      </c>
      <c r="E2884">
        <v>1109</v>
      </c>
      <c r="F2884">
        <v>6</v>
      </c>
      <c r="G2884">
        <v>4</v>
      </c>
      <c r="H2884">
        <v>13118.56</v>
      </c>
      <c r="I2884">
        <v>54140.63</v>
      </c>
      <c r="J2884">
        <v>44</v>
      </c>
      <c r="K2884">
        <v>0</v>
      </c>
      <c r="L2884">
        <v>0</v>
      </c>
      <c r="M2884">
        <v>29.6</v>
      </c>
      <c r="N2884" t="s">
        <v>63</v>
      </c>
      <c r="O2884" t="s">
        <v>47</v>
      </c>
      <c r="P2884" t="s">
        <v>58</v>
      </c>
      <c r="R2884">
        <f>SUMIF(A2884:A7883,"C02883",I2884:I7883)</f>
        <v>54140.63</v>
      </c>
      <c r="S2884" s="1">
        <v>8314.49</v>
      </c>
      <c r="T2884">
        <f t="shared" si="328"/>
        <v>1230.46886363636</v>
      </c>
      <c r="U2884">
        <f t="shared" si="329"/>
        <v>1302.4</v>
      </c>
      <c r="V2884">
        <f t="shared" si="327"/>
        <v>108.533333333333</v>
      </c>
      <c r="W2884">
        <f t="shared" si="325"/>
        <v>22420.0633333333</v>
      </c>
      <c r="X2884">
        <f t="shared" si="330"/>
        <v>0.0845367174445976</v>
      </c>
      <c r="AH2884" t="str">
        <f t="shared" si="326"/>
        <v>1st Quality</v>
      </c>
      <c r="AJ2884">
        <f>((T2884-X2884)*2)</f>
        <v>2460.76865383783</v>
      </c>
      <c r="AK2884">
        <f t="shared" si="331"/>
        <v>1364589.96977273</v>
      </c>
    </row>
    <row r="2885" spans="1:37">
      <c r="A2885" t="s">
        <v>2951</v>
      </c>
      <c r="B2885">
        <v>18</v>
      </c>
      <c r="C2885" t="s">
        <v>50</v>
      </c>
      <c r="D2885" t="s">
        <v>60</v>
      </c>
      <c r="E2885">
        <v>456</v>
      </c>
      <c r="F2885">
        <v>17</v>
      </c>
      <c r="G2885">
        <v>7</v>
      </c>
      <c r="H2885">
        <v>749.31</v>
      </c>
      <c r="I2885">
        <v>5398.72</v>
      </c>
      <c r="J2885">
        <v>44</v>
      </c>
      <c r="K2885">
        <v>0</v>
      </c>
      <c r="L2885">
        <v>13.5</v>
      </c>
      <c r="M2885">
        <v>24.8</v>
      </c>
      <c r="N2885" t="s">
        <v>81</v>
      </c>
      <c r="O2885" t="s">
        <v>47</v>
      </c>
      <c r="P2885" t="s">
        <v>58</v>
      </c>
      <c r="R2885">
        <f>SUMIF(A2885:A7884,"C02884",I2885:I7884)</f>
        <v>5398.72</v>
      </c>
      <c r="S2885" s="1">
        <v>120534.29</v>
      </c>
      <c r="T2885">
        <f t="shared" si="328"/>
        <v>122.698181818182</v>
      </c>
      <c r="U2885">
        <f t="shared" si="329"/>
        <v>1091.2</v>
      </c>
      <c r="V2885">
        <f t="shared" si="327"/>
        <v>90.9333333333333</v>
      </c>
      <c r="W2885">
        <f t="shared" si="325"/>
        <v>2049.67666666667</v>
      </c>
      <c r="X2885">
        <f t="shared" si="330"/>
        <v>0.608559875085078</v>
      </c>
      <c r="AH2885" t="str">
        <f t="shared" si="326"/>
        <v>3rd Quality</v>
      </c>
      <c r="AJ2885">
        <f>((T2885-X2885)*2)/13.5</f>
        <v>18.0873513989773</v>
      </c>
      <c r="AK2885">
        <f t="shared" si="331"/>
        <v>55950.3709090909</v>
      </c>
    </row>
    <row r="2886" spans="1:37">
      <c r="A2886" t="s">
        <v>2952</v>
      </c>
      <c r="B2886">
        <v>42</v>
      </c>
      <c r="C2886" t="s">
        <v>50</v>
      </c>
      <c r="D2886" t="s">
        <v>51</v>
      </c>
      <c r="E2886">
        <v>1244</v>
      </c>
      <c r="F2886">
        <v>22</v>
      </c>
      <c r="G2886">
        <v>2</v>
      </c>
      <c r="H2886">
        <v>4844.82</v>
      </c>
      <c r="I2886">
        <v>9265.85</v>
      </c>
      <c r="J2886">
        <v>9</v>
      </c>
      <c r="K2886">
        <v>0</v>
      </c>
      <c r="L2886">
        <v>0</v>
      </c>
      <c r="M2886">
        <v>37.7</v>
      </c>
      <c r="N2886" t="s">
        <v>63</v>
      </c>
      <c r="O2886" t="s">
        <v>75</v>
      </c>
      <c r="P2886" t="s">
        <v>58</v>
      </c>
      <c r="R2886">
        <f>SUMIF(A2886:A7885,"C02885",I2886:I7885)</f>
        <v>9265.85</v>
      </c>
      <c r="S2886" s="1">
        <v>1964.12</v>
      </c>
      <c r="T2886">
        <f t="shared" si="328"/>
        <v>1029.53888888889</v>
      </c>
      <c r="U2886">
        <f t="shared" si="329"/>
        <v>339.3</v>
      </c>
      <c r="V2886">
        <f t="shared" si="327"/>
        <v>28.275</v>
      </c>
      <c r="W2886">
        <f t="shared" si="325"/>
        <v>4703.89</v>
      </c>
      <c r="X2886">
        <f t="shared" si="330"/>
        <v>0.256769085332376</v>
      </c>
      <c r="AH2886" t="str">
        <f t="shared" si="326"/>
        <v>3rd Quality</v>
      </c>
      <c r="AJ2886">
        <f>((T2886-X2886)*2)</f>
        <v>2058.56423960712</v>
      </c>
      <c r="AK2886">
        <f t="shared" si="331"/>
        <v>1280746.37777778</v>
      </c>
    </row>
    <row r="2887" spans="1:37">
      <c r="A2887" t="s">
        <v>2953</v>
      </c>
      <c r="B2887">
        <v>19</v>
      </c>
      <c r="C2887" t="s">
        <v>44</v>
      </c>
      <c r="D2887" t="s">
        <v>51</v>
      </c>
      <c r="E2887">
        <v>554</v>
      </c>
      <c r="F2887">
        <v>60</v>
      </c>
      <c r="G2887">
        <v>9</v>
      </c>
      <c r="H2887">
        <v>1001.22</v>
      </c>
      <c r="I2887">
        <v>8314.49</v>
      </c>
      <c r="J2887">
        <v>65</v>
      </c>
      <c r="K2887">
        <v>1</v>
      </c>
      <c r="L2887">
        <v>18.8</v>
      </c>
      <c r="M2887">
        <v>13</v>
      </c>
      <c r="N2887" t="s">
        <v>46</v>
      </c>
      <c r="O2887" t="s">
        <v>47</v>
      </c>
      <c r="P2887" t="s">
        <v>58</v>
      </c>
      <c r="R2887">
        <f>SUMIF(A2887:A7886,"C02886",I2887:I7886)</f>
        <v>8314.49</v>
      </c>
      <c r="S2887" s="1">
        <v>47659.72</v>
      </c>
      <c r="T2887">
        <f t="shared" si="328"/>
        <v>127.915230769231</v>
      </c>
      <c r="U2887">
        <f t="shared" si="329"/>
        <v>845</v>
      </c>
      <c r="V2887">
        <f>U2887</f>
        <v>845</v>
      </c>
      <c r="W2887">
        <f t="shared" si="325"/>
        <v>3105.57</v>
      </c>
      <c r="X2887">
        <f t="shared" si="330"/>
        <v>0.553324943568846</v>
      </c>
      <c r="AH2887" t="str">
        <f t="shared" si="326"/>
        <v>3rd Quality</v>
      </c>
      <c r="AJ2887">
        <f>((T2887-X2887)*2)/18.8</f>
        <v>13.5491389176236</v>
      </c>
      <c r="AK2887">
        <f t="shared" si="331"/>
        <v>70865.0378461538</v>
      </c>
    </row>
    <row r="2888" spans="1:37">
      <c r="A2888" t="s">
        <v>2954</v>
      </c>
      <c r="B2888">
        <v>26</v>
      </c>
      <c r="C2888" t="s">
        <v>50</v>
      </c>
      <c r="D2888" t="s">
        <v>60</v>
      </c>
      <c r="E2888">
        <v>623</v>
      </c>
      <c r="F2888">
        <v>39</v>
      </c>
      <c r="G2888">
        <v>31</v>
      </c>
      <c r="H2888">
        <v>4108.05</v>
      </c>
      <c r="I2888">
        <v>120534.29</v>
      </c>
      <c r="J2888">
        <v>161</v>
      </c>
      <c r="K2888">
        <v>4</v>
      </c>
      <c r="L2888">
        <v>10.8</v>
      </c>
      <c r="M2888">
        <v>7.3</v>
      </c>
      <c r="N2888" t="s">
        <v>61</v>
      </c>
      <c r="O2888" t="s">
        <v>47</v>
      </c>
      <c r="P2888" t="s">
        <v>58</v>
      </c>
      <c r="R2888">
        <f>SUMIF(A2888:A7887,"C02887",I2888:I7887)</f>
        <v>120534.29</v>
      </c>
      <c r="S2888" s="1">
        <v>114204.35</v>
      </c>
      <c r="T2888">
        <f t="shared" si="328"/>
        <v>748.660186335404</v>
      </c>
      <c r="U2888">
        <f t="shared" si="329"/>
        <v>1175.3</v>
      </c>
      <c r="V2888">
        <f>U2888</f>
        <v>1175.3</v>
      </c>
      <c r="W2888">
        <f t="shared" si="325"/>
        <v>41547.78</v>
      </c>
      <c r="X2888">
        <f t="shared" si="330"/>
        <v>0.151653460887769</v>
      </c>
      <c r="AH2888" t="str">
        <f t="shared" si="326"/>
        <v>2nd Quality</v>
      </c>
      <c r="AJ2888">
        <f>((T2888-X2888)*2)/10.8</f>
        <v>138.612691273059</v>
      </c>
      <c r="AK2888">
        <f t="shared" si="331"/>
        <v>466415.296086956</v>
      </c>
    </row>
    <row r="2889" spans="1:37">
      <c r="A2889" t="s">
        <v>2955</v>
      </c>
      <c r="B2889">
        <v>27</v>
      </c>
      <c r="C2889" t="s">
        <v>44</v>
      </c>
      <c r="D2889" t="s">
        <v>45</v>
      </c>
      <c r="E2889">
        <v>1212</v>
      </c>
      <c r="F2889">
        <v>162</v>
      </c>
      <c r="G2889">
        <v>1</v>
      </c>
      <c r="H2889">
        <v>1795.09</v>
      </c>
      <c r="I2889">
        <v>1964.12</v>
      </c>
      <c r="J2889">
        <v>13</v>
      </c>
      <c r="K2889">
        <v>1</v>
      </c>
      <c r="L2889">
        <v>14.3</v>
      </c>
      <c r="M2889">
        <v>66.4</v>
      </c>
      <c r="N2889" t="s">
        <v>61</v>
      </c>
      <c r="O2889" t="s">
        <v>47</v>
      </c>
      <c r="P2889" t="s">
        <v>66</v>
      </c>
      <c r="R2889">
        <f>SUMIF(A2889:A7888,"C02888",I2889:I7888)</f>
        <v>1964.12</v>
      </c>
      <c r="S2889" s="1">
        <v>103905.42</v>
      </c>
      <c r="T2889">
        <f t="shared" si="328"/>
        <v>151.086153846154</v>
      </c>
      <c r="U2889">
        <f t="shared" si="329"/>
        <v>863.2</v>
      </c>
      <c r="V2889">
        <f>U2889</f>
        <v>863.2</v>
      </c>
      <c r="W2889">
        <f t="shared" ref="W2889:W2952" si="332">(H2889+I2889+1)/3</f>
        <v>1253.40333333333</v>
      </c>
      <c r="X2889">
        <f t="shared" si="330"/>
        <v>0.675175060860458</v>
      </c>
      <c r="AH2889" t="str">
        <f t="shared" si="326"/>
        <v>3rd Quality</v>
      </c>
      <c r="AJ2889">
        <f>((T2889-X2889)*2)/14.3</f>
        <v>21.0365005294117</v>
      </c>
      <c r="AK2889">
        <f t="shared" si="331"/>
        <v>183116.418461538</v>
      </c>
    </row>
    <row r="2890" spans="1:37">
      <c r="A2890" t="s">
        <v>2956</v>
      </c>
      <c r="B2890">
        <v>39</v>
      </c>
      <c r="C2890" t="s">
        <v>50</v>
      </c>
      <c r="D2890" t="s">
        <v>45</v>
      </c>
      <c r="E2890">
        <v>374</v>
      </c>
      <c r="F2890">
        <v>15</v>
      </c>
      <c r="G2890">
        <v>21</v>
      </c>
      <c r="H2890">
        <v>2406.47</v>
      </c>
      <c r="I2890">
        <v>47659.72</v>
      </c>
      <c r="J2890">
        <v>173</v>
      </c>
      <c r="K2890">
        <v>0</v>
      </c>
      <c r="L2890">
        <v>20.1</v>
      </c>
      <c r="M2890">
        <v>8.4</v>
      </c>
      <c r="N2890" t="s">
        <v>61</v>
      </c>
      <c r="O2890" t="s">
        <v>53</v>
      </c>
      <c r="P2890" t="s">
        <v>58</v>
      </c>
      <c r="R2890">
        <f>SUMIF(A2890:A7889,"C02889",I2890:I7889)</f>
        <v>47659.72</v>
      </c>
      <c r="S2890" s="1">
        <v>5929.8</v>
      </c>
      <c r="T2890">
        <f t="shared" si="328"/>
        <v>275.489710982659</v>
      </c>
      <c r="U2890">
        <f t="shared" si="329"/>
        <v>1453.2</v>
      </c>
      <c r="V2890">
        <f t="shared" si="327"/>
        <v>121.1</v>
      </c>
      <c r="W2890">
        <f t="shared" si="332"/>
        <v>16689.0633333333</v>
      </c>
      <c r="X2890">
        <f t="shared" si="330"/>
        <v>0.155414362115464</v>
      </c>
      <c r="AH2890" t="str">
        <f t="shared" si="326"/>
        <v>3rd Quality</v>
      </c>
      <c r="AJ2890">
        <f>((T2890-X2890)*2)/20.1</f>
        <v>27.3964474249297</v>
      </c>
      <c r="AK2890">
        <f t="shared" si="331"/>
        <v>103033.151907514</v>
      </c>
    </row>
    <row r="2891" spans="1:37">
      <c r="A2891" t="s">
        <v>2957</v>
      </c>
      <c r="B2891">
        <v>36</v>
      </c>
      <c r="C2891" t="s">
        <v>44</v>
      </c>
      <c r="D2891" t="s">
        <v>60</v>
      </c>
      <c r="E2891">
        <v>784</v>
      </c>
      <c r="F2891">
        <v>8</v>
      </c>
      <c r="G2891">
        <v>27</v>
      </c>
      <c r="H2891">
        <v>4238.18</v>
      </c>
      <c r="I2891">
        <v>114204.35</v>
      </c>
      <c r="J2891">
        <v>219</v>
      </c>
      <c r="K2891">
        <v>2</v>
      </c>
      <c r="L2891">
        <v>25.1</v>
      </c>
      <c r="M2891">
        <v>15.1</v>
      </c>
      <c r="N2891" t="s">
        <v>61</v>
      </c>
      <c r="O2891" t="s">
        <v>47</v>
      </c>
      <c r="P2891" t="s">
        <v>68</v>
      </c>
      <c r="R2891">
        <f>SUMIF(A2891:A7890,"C02890",I2891:I7890)</f>
        <v>114204.35</v>
      </c>
      <c r="S2891" s="1">
        <v>28008.69</v>
      </c>
      <c r="T2891">
        <f t="shared" si="328"/>
        <v>521.481050228311</v>
      </c>
      <c r="U2891">
        <f t="shared" si="329"/>
        <v>3306.9</v>
      </c>
      <c r="V2891">
        <f>U2891</f>
        <v>3306.9</v>
      </c>
      <c r="W2891">
        <f t="shared" si="332"/>
        <v>39481.1766666667</v>
      </c>
      <c r="X2891">
        <f t="shared" si="330"/>
        <v>0.184985064343657</v>
      </c>
      <c r="AH2891" t="str">
        <f t="shared" si="326"/>
        <v>2nd Quality</v>
      </c>
      <c r="AJ2891">
        <f>((T2891-X2891)*2)/25.1</f>
        <v>41.5375350728261</v>
      </c>
      <c r="AK2891">
        <f t="shared" si="331"/>
        <v>408841.143378995</v>
      </c>
    </row>
    <row r="2892" spans="1:37">
      <c r="A2892" t="s">
        <v>2958</v>
      </c>
      <c r="B2892">
        <v>36</v>
      </c>
      <c r="C2892" t="s">
        <v>44</v>
      </c>
      <c r="D2892" t="s">
        <v>60</v>
      </c>
      <c r="E2892">
        <v>1094</v>
      </c>
      <c r="F2892">
        <v>4</v>
      </c>
      <c r="G2892">
        <v>28</v>
      </c>
      <c r="H2892">
        <v>3354.78</v>
      </c>
      <c r="I2892">
        <v>103905.42</v>
      </c>
      <c r="J2892">
        <v>176</v>
      </c>
      <c r="K2892">
        <v>1</v>
      </c>
      <c r="L2892">
        <v>8.3</v>
      </c>
      <c r="M2892">
        <v>40.9</v>
      </c>
      <c r="N2892" t="s">
        <v>57</v>
      </c>
      <c r="O2892" t="s">
        <v>53</v>
      </c>
      <c r="P2892" t="s">
        <v>58</v>
      </c>
      <c r="R2892">
        <f>SUMIF(A2892:A7891,"C02891",I2892:I7891)</f>
        <v>103905.42</v>
      </c>
      <c r="S2892" s="1">
        <v>52518.9</v>
      </c>
      <c r="T2892">
        <f t="shared" si="328"/>
        <v>590.371704545455</v>
      </c>
      <c r="U2892">
        <f t="shared" si="329"/>
        <v>7198.4</v>
      </c>
      <c r="V2892">
        <f>U2892</f>
        <v>7198.4</v>
      </c>
      <c r="W2892">
        <f t="shared" si="332"/>
        <v>35753.7333333333</v>
      </c>
      <c r="X2892">
        <f t="shared" si="330"/>
        <v>0.326101860628715</v>
      </c>
      <c r="AH2892" t="str">
        <f t="shared" si="326"/>
        <v>2nd Quality</v>
      </c>
      <c r="AJ2892">
        <f>((T2892-X2892)*2)/8.3</f>
        <v>142.179663297549</v>
      </c>
      <c r="AK2892">
        <f t="shared" si="331"/>
        <v>645866.644772727</v>
      </c>
    </row>
    <row r="2893" spans="1:37">
      <c r="A2893" t="s">
        <v>2959</v>
      </c>
      <c r="B2893">
        <v>18</v>
      </c>
      <c r="C2893" t="s">
        <v>50</v>
      </c>
      <c r="D2893" t="s">
        <v>60</v>
      </c>
      <c r="E2893">
        <v>1218</v>
      </c>
      <c r="F2893">
        <v>115</v>
      </c>
      <c r="G2893">
        <v>4</v>
      </c>
      <c r="H2893">
        <v>1631.9</v>
      </c>
      <c r="I2893">
        <v>5929.8</v>
      </c>
      <c r="J2893">
        <v>18</v>
      </c>
      <c r="K2893">
        <v>0</v>
      </c>
      <c r="L2893">
        <v>3.6</v>
      </c>
      <c r="M2893">
        <v>24</v>
      </c>
      <c r="N2893" t="s">
        <v>78</v>
      </c>
      <c r="O2893" t="s">
        <v>47</v>
      </c>
      <c r="P2893" t="s">
        <v>58</v>
      </c>
      <c r="R2893">
        <f>SUMIF(A2893:A7892,"C02892",I2893:I7892)</f>
        <v>5929.8</v>
      </c>
      <c r="S2893" s="1">
        <v>3563.55</v>
      </c>
      <c r="T2893">
        <f t="shared" si="328"/>
        <v>329.433333333333</v>
      </c>
      <c r="U2893">
        <f t="shared" si="329"/>
        <v>432</v>
      </c>
      <c r="V2893">
        <f t="shared" si="327"/>
        <v>36</v>
      </c>
      <c r="W2893">
        <f t="shared" si="332"/>
        <v>2520.9</v>
      </c>
      <c r="X2893">
        <f t="shared" si="330"/>
        <v>0.746369262822477</v>
      </c>
      <c r="AH2893" t="str">
        <f t="shared" si="326"/>
        <v>3rd Quality</v>
      </c>
      <c r="AJ2893">
        <f>((T2893-X2893)*2)/3.6</f>
        <v>182.603868928061</v>
      </c>
      <c r="AK2893">
        <f t="shared" si="331"/>
        <v>401249.8</v>
      </c>
    </row>
    <row r="2894" spans="1:37">
      <c r="A2894" t="s">
        <v>2960</v>
      </c>
      <c r="B2894">
        <v>35</v>
      </c>
      <c r="C2894" t="s">
        <v>44</v>
      </c>
      <c r="D2894" t="s">
        <v>60</v>
      </c>
      <c r="E2894">
        <v>1344</v>
      </c>
      <c r="F2894">
        <v>74</v>
      </c>
      <c r="G2894">
        <v>5</v>
      </c>
      <c r="H2894">
        <v>5144.04</v>
      </c>
      <c r="I2894">
        <v>28008.69</v>
      </c>
      <c r="J2894">
        <v>37</v>
      </c>
      <c r="K2894">
        <v>1</v>
      </c>
      <c r="L2894">
        <v>2.2</v>
      </c>
      <c r="M2894">
        <v>40.8</v>
      </c>
      <c r="N2894" t="s">
        <v>52</v>
      </c>
      <c r="O2894" t="s">
        <v>47</v>
      </c>
      <c r="P2894" t="s">
        <v>58</v>
      </c>
      <c r="R2894">
        <f>SUMIF(A2894:A7893,"C02893",I2894:I7893)</f>
        <v>28008.69</v>
      </c>
      <c r="S2894" s="1">
        <v>93586.42</v>
      </c>
      <c r="T2894">
        <f t="shared" si="328"/>
        <v>756.991621621622</v>
      </c>
      <c r="U2894">
        <f t="shared" si="329"/>
        <v>1509.6</v>
      </c>
      <c r="V2894">
        <f>U2894</f>
        <v>1509.6</v>
      </c>
      <c r="W2894">
        <f t="shared" si="332"/>
        <v>11051.2433333333</v>
      </c>
      <c r="X2894">
        <f t="shared" si="330"/>
        <v>0.261273240488021</v>
      </c>
      <c r="AH2894" t="str">
        <f t="shared" ref="AH2894:AH2957" si="333">IF(AND(W2894&gt;=12550,B2894&lt;=33,E2894&gt;=915),"1st Quality",IF(AND(W2894&gt;=6275,B2894&lt;=43,E2894&gt;=457),"2nd Quality","3rd Quality"))</f>
        <v>2nd Quality</v>
      </c>
      <c r="AJ2894">
        <f>((T2894-X2894)*2)/2.2</f>
        <v>687.936680346485</v>
      </c>
      <c r="AK2894">
        <f t="shared" si="331"/>
        <v>1017396.73945946</v>
      </c>
    </row>
    <row r="2895" spans="1:37">
      <c r="A2895" t="s">
        <v>2961</v>
      </c>
      <c r="B2895">
        <v>28</v>
      </c>
      <c r="C2895" t="s">
        <v>44</v>
      </c>
      <c r="D2895" t="s">
        <v>60</v>
      </c>
      <c r="E2895">
        <v>1105</v>
      </c>
      <c r="F2895">
        <v>19</v>
      </c>
      <c r="G2895">
        <v>7</v>
      </c>
      <c r="H2895">
        <v>7088.65</v>
      </c>
      <c r="I2895">
        <v>52518.9</v>
      </c>
      <c r="J2895">
        <v>24</v>
      </c>
      <c r="K2895">
        <v>1</v>
      </c>
      <c r="L2895">
        <v>4.1</v>
      </c>
      <c r="M2895">
        <v>36.4</v>
      </c>
      <c r="N2895" t="s">
        <v>81</v>
      </c>
      <c r="O2895" t="s">
        <v>47</v>
      </c>
      <c r="P2895" t="s">
        <v>48</v>
      </c>
      <c r="R2895">
        <f>SUMIF(A2895:A7894,"C02894",I2895:I7894)</f>
        <v>52518.9</v>
      </c>
      <c r="S2895" s="1">
        <v>2122.2</v>
      </c>
      <c r="T2895">
        <f t="shared" si="328"/>
        <v>2188.2875</v>
      </c>
      <c r="U2895">
        <f t="shared" si="329"/>
        <v>873.6</v>
      </c>
      <c r="V2895">
        <f>U2895</f>
        <v>873.6</v>
      </c>
      <c r="W2895">
        <f t="shared" si="332"/>
        <v>19869.5166666667</v>
      </c>
      <c r="X2895">
        <f t="shared" si="330"/>
        <v>0.155882996057077</v>
      </c>
      <c r="AH2895" t="str">
        <f t="shared" si="333"/>
        <v>1st Quality</v>
      </c>
      <c r="AJ2895">
        <f>((T2895-X2895)*2)/4.1</f>
        <v>1067.38127658729</v>
      </c>
      <c r="AK2895">
        <f t="shared" si="331"/>
        <v>2418057.6875</v>
      </c>
    </row>
    <row r="2896" spans="1:37">
      <c r="A2896" t="s">
        <v>2962</v>
      </c>
      <c r="B2896">
        <v>22</v>
      </c>
      <c r="C2896" t="s">
        <v>44</v>
      </c>
      <c r="D2896" t="s">
        <v>51</v>
      </c>
      <c r="E2896">
        <v>624</v>
      </c>
      <c r="F2896">
        <v>365</v>
      </c>
      <c r="G2896">
        <v>1</v>
      </c>
      <c r="H2896">
        <v>3576.06</v>
      </c>
      <c r="I2896">
        <v>3563.55</v>
      </c>
      <c r="J2896">
        <v>11</v>
      </c>
      <c r="K2896">
        <v>0</v>
      </c>
      <c r="L2896">
        <v>21.8</v>
      </c>
      <c r="M2896">
        <v>25</v>
      </c>
      <c r="N2896" t="s">
        <v>78</v>
      </c>
      <c r="O2896" t="s">
        <v>47</v>
      </c>
      <c r="P2896" t="s">
        <v>58</v>
      </c>
      <c r="R2896">
        <f>SUMIF(A2896:A7895,"C02895",I2896:I7895)</f>
        <v>3563.55</v>
      </c>
      <c r="S2896" s="1">
        <v>36034.42</v>
      </c>
      <c r="T2896">
        <f t="shared" si="328"/>
        <v>323.959090909091</v>
      </c>
      <c r="U2896">
        <f t="shared" si="329"/>
        <v>275</v>
      </c>
      <c r="V2896">
        <f t="shared" si="327"/>
        <v>22.9166666666667</v>
      </c>
      <c r="W2896">
        <f t="shared" si="332"/>
        <v>2380.20333333333</v>
      </c>
      <c r="X2896">
        <f t="shared" si="330"/>
        <v>0.17449371654838</v>
      </c>
      <c r="AH2896" t="str">
        <f t="shared" si="333"/>
        <v>3rd Quality</v>
      </c>
      <c r="AJ2896">
        <f>((T2896-X2896)*2)/21.8</f>
        <v>29.705008916747</v>
      </c>
      <c r="AK2896">
        <f t="shared" si="331"/>
        <v>202150.472727273</v>
      </c>
    </row>
    <row r="2897" spans="1:37">
      <c r="A2897" t="s">
        <v>2963</v>
      </c>
      <c r="B2897">
        <v>30</v>
      </c>
      <c r="C2897" t="s">
        <v>50</v>
      </c>
      <c r="D2897" t="s">
        <v>51</v>
      </c>
      <c r="E2897">
        <v>765</v>
      </c>
      <c r="F2897">
        <v>10</v>
      </c>
      <c r="G2897">
        <v>30</v>
      </c>
      <c r="H2897">
        <v>2816.12</v>
      </c>
      <c r="I2897">
        <v>93586.42</v>
      </c>
      <c r="J2897">
        <v>161</v>
      </c>
      <c r="K2897">
        <v>0</v>
      </c>
      <c r="L2897">
        <v>0</v>
      </c>
      <c r="M2897">
        <v>55.8</v>
      </c>
      <c r="N2897" t="s">
        <v>61</v>
      </c>
      <c r="O2897" t="s">
        <v>47</v>
      </c>
      <c r="P2897" t="s">
        <v>58</v>
      </c>
      <c r="R2897">
        <f>SUMIF(A2897:A7896,"C02896",I2897:I7896)</f>
        <v>93586.42</v>
      </c>
      <c r="S2897" s="1">
        <v>46092.89</v>
      </c>
      <c r="T2897">
        <f t="shared" si="328"/>
        <v>581.282111801242</v>
      </c>
      <c r="U2897">
        <f t="shared" si="329"/>
        <v>8983.8</v>
      </c>
      <c r="V2897">
        <f t="shared" si="327"/>
        <v>748.65</v>
      </c>
      <c r="W2897">
        <f t="shared" si="332"/>
        <v>32134.5133333333</v>
      </c>
      <c r="X2897">
        <f t="shared" si="330"/>
        <v>0.271650355808701</v>
      </c>
      <c r="AH2897" t="str">
        <f t="shared" si="333"/>
        <v>2nd Quality</v>
      </c>
      <c r="AJ2897">
        <f>((T2897-X2897)*2)</f>
        <v>1162.02092289087</v>
      </c>
      <c r="AK2897">
        <f t="shared" si="331"/>
        <v>444680.81552795</v>
      </c>
    </row>
    <row r="2898" spans="1:37">
      <c r="A2898" t="s">
        <v>2964</v>
      </c>
      <c r="B2898">
        <v>26</v>
      </c>
      <c r="C2898" t="s">
        <v>44</v>
      </c>
      <c r="D2898" t="s">
        <v>60</v>
      </c>
      <c r="E2898">
        <v>395</v>
      </c>
      <c r="F2898">
        <v>224</v>
      </c>
      <c r="G2898">
        <v>2</v>
      </c>
      <c r="H2898">
        <v>1181.81</v>
      </c>
      <c r="I2898">
        <v>2122.2</v>
      </c>
      <c r="J2898">
        <v>27</v>
      </c>
      <c r="K2898">
        <v>0</v>
      </c>
      <c r="L2898">
        <v>5.6</v>
      </c>
      <c r="M2898">
        <v>48.5</v>
      </c>
      <c r="N2898" t="s">
        <v>81</v>
      </c>
      <c r="O2898" t="s">
        <v>75</v>
      </c>
      <c r="P2898" t="s">
        <v>48</v>
      </c>
      <c r="R2898">
        <f>SUMIF(A2898:A7897,"C02897",I2898:I7897)</f>
        <v>2122.2</v>
      </c>
      <c r="S2898" s="1">
        <v>12756.85</v>
      </c>
      <c r="T2898">
        <f t="shared" si="328"/>
        <v>78.6</v>
      </c>
      <c r="U2898">
        <f t="shared" si="329"/>
        <v>1309.5</v>
      </c>
      <c r="V2898">
        <f t="shared" ref="V2898:V2961" si="334">U2898/12</f>
        <v>109.125</v>
      </c>
      <c r="W2898">
        <f t="shared" si="332"/>
        <v>1101.67</v>
      </c>
      <c r="X2898">
        <f t="shared" si="330"/>
        <v>0.334233083152114</v>
      </c>
      <c r="AH2898" t="str">
        <f t="shared" si="333"/>
        <v>3rd Quality</v>
      </c>
      <c r="AJ2898">
        <f>((T2898-X2898)*2)/5.6</f>
        <v>27.95205961316</v>
      </c>
      <c r="AK2898">
        <f t="shared" si="331"/>
        <v>31047</v>
      </c>
    </row>
    <row r="2899" spans="1:37">
      <c r="A2899" t="s">
        <v>2965</v>
      </c>
      <c r="B2899">
        <v>18</v>
      </c>
      <c r="C2899" t="s">
        <v>44</v>
      </c>
      <c r="D2899" t="s">
        <v>60</v>
      </c>
      <c r="E2899">
        <v>1210</v>
      </c>
      <c r="F2899">
        <v>21</v>
      </c>
      <c r="G2899">
        <v>12</v>
      </c>
      <c r="H2899">
        <v>2767.36</v>
      </c>
      <c r="I2899">
        <v>36034.42</v>
      </c>
      <c r="J2899">
        <v>57</v>
      </c>
      <c r="K2899">
        <v>0</v>
      </c>
      <c r="L2899">
        <v>10.8</v>
      </c>
      <c r="M2899">
        <v>59.8</v>
      </c>
      <c r="N2899" t="s">
        <v>63</v>
      </c>
      <c r="O2899" t="s">
        <v>47</v>
      </c>
      <c r="P2899" t="s">
        <v>58</v>
      </c>
      <c r="R2899">
        <f>SUMIF(A2899:A7898,"C02898",I2899:I7898)</f>
        <v>36034.42</v>
      </c>
      <c r="S2899" s="1">
        <v>13989.89</v>
      </c>
      <c r="T2899">
        <f t="shared" si="328"/>
        <v>632.182807017544</v>
      </c>
      <c r="U2899">
        <f t="shared" si="329"/>
        <v>3408.6</v>
      </c>
      <c r="V2899">
        <f t="shared" si="334"/>
        <v>284.05</v>
      </c>
      <c r="W2899">
        <f t="shared" si="332"/>
        <v>12934.26</v>
      </c>
      <c r="X2899">
        <f t="shared" si="330"/>
        <v>0.437239824236818</v>
      </c>
      <c r="AH2899" t="str">
        <f t="shared" si="333"/>
        <v>1st Quality</v>
      </c>
      <c r="AJ2899">
        <f>((T2899-X2899)*2)/10.8</f>
        <v>116.989919850612</v>
      </c>
      <c r="AK2899">
        <f t="shared" si="331"/>
        <v>764941.196491228</v>
      </c>
    </row>
    <row r="2900" spans="1:37">
      <c r="A2900" t="s">
        <v>2966</v>
      </c>
      <c r="B2900">
        <v>39</v>
      </c>
      <c r="C2900" t="s">
        <v>50</v>
      </c>
      <c r="D2900" t="s">
        <v>51</v>
      </c>
      <c r="E2900">
        <v>377</v>
      </c>
      <c r="F2900">
        <v>33</v>
      </c>
      <c r="G2900">
        <v>5</v>
      </c>
      <c r="H2900">
        <v>9939.77</v>
      </c>
      <c r="I2900">
        <v>46092.89</v>
      </c>
      <c r="J2900">
        <v>41</v>
      </c>
      <c r="K2900">
        <v>0</v>
      </c>
      <c r="L2900">
        <v>2.2</v>
      </c>
      <c r="M2900">
        <v>23.6</v>
      </c>
      <c r="N2900" t="s">
        <v>78</v>
      </c>
      <c r="O2900" t="s">
        <v>47</v>
      </c>
      <c r="P2900" t="s">
        <v>48</v>
      </c>
      <c r="R2900">
        <f>SUMIF(A2900:A7899,"C02899",I2900:I7899)</f>
        <v>46092.89</v>
      </c>
      <c r="S2900" s="1">
        <v>1313.1</v>
      </c>
      <c r="T2900">
        <f t="shared" si="328"/>
        <v>1124.21682926829</v>
      </c>
      <c r="U2900">
        <f t="shared" si="329"/>
        <v>967.6</v>
      </c>
      <c r="V2900">
        <f t="shared" si="334"/>
        <v>80.6333333333333</v>
      </c>
      <c r="W2900">
        <f t="shared" si="332"/>
        <v>18677.8866666667</v>
      </c>
      <c r="X2900">
        <f t="shared" si="330"/>
        <v>0.0379284430122629</v>
      </c>
      <c r="AH2900" t="str">
        <f t="shared" si="333"/>
        <v>3rd Quality</v>
      </c>
      <c r="AJ2900">
        <f>((T2900-X2900)*2)/2.2</f>
        <v>1021.98081893207</v>
      </c>
      <c r="AK2900">
        <f t="shared" si="331"/>
        <v>423829.744634146</v>
      </c>
    </row>
    <row r="2901" spans="1:37">
      <c r="A2901" t="s">
        <v>2967</v>
      </c>
      <c r="B2901">
        <v>18</v>
      </c>
      <c r="C2901" t="s">
        <v>50</v>
      </c>
      <c r="D2901" t="s">
        <v>45</v>
      </c>
      <c r="E2901">
        <v>507</v>
      </c>
      <c r="F2901">
        <v>1</v>
      </c>
      <c r="G2901">
        <v>7</v>
      </c>
      <c r="H2901">
        <v>1888.49</v>
      </c>
      <c r="I2901">
        <v>12756.85</v>
      </c>
      <c r="J2901">
        <v>41</v>
      </c>
      <c r="K2901">
        <v>1</v>
      </c>
      <c r="L2901">
        <v>18.1</v>
      </c>
      <c r="M2901">
        <v>22</v>
      </c>
      <c r="N2901" t="s">
        <v>61</v>
      </c>
      <c r="O2901" t="s">
        <v>75</v>
      </c>
      <c r="P2901" t="s">
        <v>66</v>
      </c>
      <c r="R2901">
        <f>SUMIF(A2901:A7900,"C02900",I2901:I7900)</f>
        <v>12756.85</v>
      </c>
      <c r="S2901" s="1">
        <v>95519.69</v>
      </c>
      <c r="T2901">
        <f t="shared" si="328"/>
        <v>311.142682926829</v>
      </c>
      <c r="U2901">
        <f t="shared" si="329"/>
        <v>902</v>
      </c>
      <c r="V2901">
        <f>U2901</f>
        <v>902</v>
      </c>
      <c r="W2901">
        <f t="shared" si="332"/>
        <v>4882.11333333333</v>
      </c>
      <c r="X2901">
        <f t="shared" si="330"/>
        <v>0.268468458927503</v>
      </c>
      <c r="AH2901" t="str">
        <f t="shared" si="333"/>
        <v>3rd Quality</v>
      </c>
      <c r="AJ2901">
        <f>((T2901-X2901)*2)/18.1</f>
        <v>34.3507419301549</v>
      </c>
      <c r="AK2901">
        <f t="shared" si="331"/>
        <v>157749.340243902</v>
      </c>
    </row>
    <row r="2902" spans="1:37">
      <c r="A2902" t="s">
        <v>2968</v>
      </c>
      <c r="B2902">
        <v>51</v>
      </c>
      <c r="C2902" t="s">
        <v>44</v>
      </c>
      <c r="D2902" t="s">
        <v>60</v>
      </c>
      <c r="E2902">
        <v>1431</v>
      </c>
      <c r="F2902">
        <v>18</v>
      </c>
      <c r="G2902">
        <v>9</v>
      </c>
      <c r="H2902">
        <v>1709.36</v>
      </c>
      <c r="I2902">
        <v>13989.89</v>
      </c>
      <c r="J2902">
        <v>54</v>
      </c>
      <c r="K2902">
        <v>1</v>
      </c>
      <c r="L2902">
        <v>15.8</v>
      </c>
      <c r="M2902">
        <v>32.3</v>
      </c>
      <c r="N2902" t="s">
        <v>78</v>
      </c>
      <c r="O2902" t="s">
        <v>75</v>
      </c>
      <c r="P2902" t="s">
        <v>58</v>
      </c>
      <c r="R2902">
        <f>SUMIF(A2902:A7901,"C02901",I2902:I7901)</f>
        <v>13989.89</v>
      </c>
      <c r="S2902" s="1">
        <v>2180.68</v>
      </c>
      <c r="T2902">
        <f t="shared" ref="T2902:T2965" si="335">I2902/J2902</f>
        <v>259.072037037037</v>
      </c>
      <c r="U2902">
        <f t="shared" si="329"/>
        <v>1744.2</v>
      </c>
      <c r="V2902">
        <f>U2902</f>
        <v>1744.2</v>
      </c>
      <c r="W2902">
        <f t="shared" si="332"/>
        <v>5233.41666666667</v>
      </c>
      <c r="X2902">
        <f t="shared" si="330"/>
        <v>0.837155426592409</v>
      </c>
      <c r="AH2902" t="str">
        <f t="shared" si="333"/>
        <v>3rd Quality</v>
      </c>
      <c r="AJ2902">
        <f>((T2902-X2902)*2)/15.8</f>
        <v>32.6879596975246</v>
      </c>
      <c r="AK2902">
        <f t="shared" si="331"/>
        <v>370732.085</v>
      </c>
    </row>
    <row r="2903" spans="1:37">
      <c r="A2903" t="s">
        <v>2969</v>
      </c>
      <c r="B2903">
        <v>18</v>
      </c>
      <c r="C2903" t="s">
        <v>50</v>
      </c>
      <c r="D2903" t="s">
        <v>60</v>
      </c>
      <c r="E2903">
        <v>545</v>
      </c>
      <c r="F2903">
        <v>222</v>
      </c>
      <c r="G2903">
        <v>1</v>
      </c>
      <c r="H2903">
        <v>1314.59</v>
      </c>
      <c r="I2903">
        <v>1313.1</v>
      </c>
      <c r="J2903">
        <v>14</v>
      </c>
      <c r="K2903">
        <v>0</v>
      </c>
      <c r="L2903">
        <v>14.2</v>
      </c>
      <c r="M2903">
        <v>14</v>
      </c>
      <c r="N2903" t="s">
        <v>78</v>
      </c>
      <c r="O2903" t="s">
        <v>75</v>
      </c>
      <c r="P2903" t="s">
        <v>48</v>
      </c>
      <c r="R2903">
        <f>SUMIF(A2903:A7902,"C02902",I2903:I7902)</f>
        <v>1313.1</v>
      </c>
      <c r="S2903" s="1">
        <v>9174.98</v>
      </c>
      <c r="T2903">
        <f t="shared" si="335"/>
        <v>93.7928571428571</v>
      </c>
      <c r="U2903">
        <f t="shared" si="329"/>
        <v>196</v>
      </c>
      <c r="V2903">
        <f t="shared" si="334"/>
        <v>16.3333333333333</v>
      </c>
      <c r="W2903">
        <f t="shared" si="332"/>
        <v>876.23</v>
      </c>
      <c r="X2903">
        <f t="shared" si="330"/>
        <v>0.414577929240295</v>
      </c>
      <c r="AH2903" t="str">
        <f t="shared" si="333"/>
        <v>3rd Quality</v>
      </c>
      <c r="AJ2903">
        <f>((T2903-X2903)*2)/14.2</f>
        <v>13.151870311777</v>
      </c>
      <c r="AK2903">
        <f t="shared" si="331"/>
        <v>51117.1071428571</v>
      </c>
    </row>
    <row r="2904" spans="1:37">
      <c r="A2904" t="s">
        <v>2970</v>
      </c>
      <c r="B2904">
        <v>42</v>
      </c>
      <c r="C2904" t="s">
        <v>50</v>
      </c>
      <c r="D2904" t="s">
        <v>45</v>
      </c>
      <c r="E2904">
        <v>680</v>
      </c>
      <c r="F2904">
        <v>11</v>
      </c>
      <c r="G2904">
        <v>20</v>
      </c>
      <c r="H2904">
        <v>5188.01</v>
      </c>
      <c r="I2904">
        <v>95519.69</v>
      </c>
      <c r="J2904">
        <v>85</v>
      </c>
      <c r="K2904">
        <v>2</v>
      </c>
      <c r="L2904">
        <v>10.4</v>
      </c>
      <c r="M2904">
        <v>55.1</v>
      </c>
      <c r="N2904" t="s">
        <v>61</v>
      </c>
      <c r="O2904" t="s">
        <v>47</v>
      </c>
      <c r="P2904" t="s">
        <v>48</v>
      </c>
      <c r="R2904">
        <f>SUMIF(A2904:A7903,"C02903",I2904:I7903)</f>
        <v>95519.69</v>
      </c>
      <c r="S2904" s="1">
        <v>34500.21</v>
      </c>
      <c r="T2904">
        <f t="shared" si="335"/>
        <v>1123.76105882353</v>
      </c>
      <c r="U2904">
        <f t="shared" si="329"/>
        <v>4683.5</v>
      </c>
      <c r="V2904">
        <f>U2904</f>
        <v>4683.5</v>
      </c>
      <c r="W2904">
        <f t="shared" si="332"/>
        <v>33569.5666666667</v>
      </c>
      <c r="X2904">
        <f t="shared" si="330"/>
        <v>0.131071451288644</v>
      </c>
      <c r="AH2904" t="str">
        <f t="shared" si="333"/>
        <v>2nd Quality</v>
      </c>
      <c r="AJ2904">
        <f>((T2904-X2904)*2)/10.4</f>
        <v>216.082689879277</v>
      </c>
      <c r="AK2904">
        <f t="shared" si="331"/>
        <v>764157.52</v>
      </c>
    </row>
    <row r="2905" spans="1:37">
      <c r="A2905" t="s">
        <v>2971</v>
      </c>
      <c r="B2905">
        <v>32</v>
      </c>
      <c r="C2905" t="s">
        <v>44</v>
      </c>
      <c r="D2905" t="s">
        <v>51</v>
      </c>
      <c r="E2905">
        <v>816</v>
      </c>
      <c r="F2905">
        <v>238</v>
      </c>
      <c r="G2905">
        <v>1</v>
      </c>
      <c r="H2905">
        <v>2316.85</v>
      </c>
      <c r="I2905">
        <v>2180.68</v>
      </c>
      <c r="J2905">
        <v>14</v>
      </c>
      <c r="K2905">
        <v>0</v>
      </c>
      <c r="L2905">
        <v>0.2</v>
      </c>
      <c r="M2905">
        <v>36.2</v>
      </c>
      <c r="N2905" t="s">
        <v>63</v>
      </c>
      <c r="O2905" t="s">
        <v>47</v>
      </c>
      <c r="P2905" t="s">
        <v>48</v>
      </c>
      <c r="R2905">
        <f>SUMIF(A2905:A7904,"C02904",I2905:I7904)</f>
        <v>2180.68</v>
      </c>
      <c r="S2905" s="1">
        <v>1963.58</v>
      </c>
      <c r="T2905">
        <f t="shared" si="335"/>
        <v>155.762857142857</v>
      </c>
      <c r="U2905">
        <f t="shared" si="329"/>
        <v>506.8</v>
      </c>
      <c r="V2905">
        <f t="shared" si="334"/>
        <v>42.2333333333333</v>
      </c>
      <c r="W2905">
        <f t="shared" si="332"/>
        <v>1499.51</v>
      </c>
      <c r="X2905">
        <f t="shared" si="330"/>
        <v>0.352202343699419</v>
      </c>
      <c r="AH2905" t="str">
        <f t="shared" si="333"/>
        <v>3rd Quality</v>
      </c>
      <c r="AJ2905">
        <f>((T2905-X2905)*2)/0.2</f>
        <v>1554.10654799158</v>
      </c>
      <c r="AK2905">
        <f t="shared" si="331"/>
        <v>127102.491428571</v>
      </c>
    </row>
    <row r="2906" spans="1:37">
      <c r="A2906" t="s">
        <v>2972</v>
      </c>
      <c r="B2906">
        <v>52</v>
      </c>
      <c r="C2906" t="s">
        <v>50</v>
      </c>
      <c r="D2906" t="s">
        <v>45</v>
      </c>
      <c r="E2906">
        <v>520</v>
      </c>
      <c r="F2906">
        <v>31</v>
      </c>
      <c r="G2906">
        <v>9</v>
      </c>
      <c r="H2906">
        <v>1139.92</v>
      </c>
      <c r="I2906">
        <v>9174.98</v>
      </c>
      <c r="J2906">
        <v>52</v>
      </c>
      <c r="K2906">
        <v>0</v>
      </c>
      <c r="L2906">
        <v>22.1</v>
      </c>
      <c r="M2906">
        <v>46.6</v>
      </c>
      <c r="N2906" t="s">
        <v>57</v>
      </c>
      <c r="O2906" t="s">
        <v>47</v>
      </c>
      <c r="P2906" t="s">
        <v>66</v>
      </c>
      <c r="R2906">
        <f>SUMIF(A2906:A7905,"C02905",I2906:I7905)</f>
        <v>9174.98</v>
      </c>
      <c r="S2906" s="1">
        <v>135761.26</v>
      </c>
      <c r="T2906">
        <f t="shared" si="335"/>
        <v>176.441923076923</v>
      </c>
      <c r="U2906">
        <f t="shared" si="329"/>
        <v>2423.2</v>
      </c>
      <c r="V2906">
        <f t="shared" si="334"/>
        <v>201.933333333333</v>
      </c>
      <c r="W2906">
        <f t="shared" si="332"/>
        <v>3438.63333333333</v>
      </c>
      <c r="X2906">
        <f t="shared" si="330"/>
        <v>0.45617236297284</v>
      </c>
      <c r="AH2906" t="str">
        <f t="shared" si="333"/>
        <v>3rd Quality</v>
      </c>
      <c r="AJ2906">
        <f>((T2906-X2906)*2)/22.1</f>
        <v>15.9263122818054</v>
      </c>
      <c r="AK2906">
        <f t="shared" si="331"/>
        <v>91749.8</v>
      </c>
    </row>
    <row r="2907" spans="1:37">
      <c r="A2907" t="s">
        <v>2973</v>
      </c>
      <c r="B2907">
        <v>18</v>
      </c>
      <c r="C2907" t="s">
        <v>50</v>
      </c>
      <c r="D2907" t="s">
        <v>45</v>
      </c>
      <c r="E2907">
        <v>1085</v>
      </c>
      <c r="F2907">
        <v>30</v>
      </c>
      <c r="G2907">
        <v>4</v>
      </c>
      <c r="H2907">
        <v>9048.3</v>
      </c>
      <c r="I2907">
        <v>34500.21</v>
      </c>
      <c r="J2907">
        <v>27</v>
      </c>
      <c r="K2907">
        <v>0</v>
      </c>
      <c r="L2907">
        <v>10.8</v>
      </c>
      <c r="M2907">
        <v>58.5</v>
      </c>
      <c r="N2907" t="s">
        <v>81</v>
      </c>
      <c r="O2907" t="s">
        <v>75</v>
      </c>
      <c r="P2907" t="s">
        <v>58</v>
      </c>
      <c r="R2907">
        <f>SUMIF(A2907:A7906,"C02906",I2907:I7906)</f>
        <v>34500.21</v>
      </c>
      <c r="S2907" s="1">
        <v>986.26</v>
      </c>
      <c r="T2907">
        <f t="shared" si="335"/>
        <v>1277.78555555556</v>
      </c>
      <c r="U2907">
        <f t="shared" si="329"/>
        <v>1579.5</v>
      </c>
      <c r="V2907">
        <f t="shared" si="334"/>
        <v>131.625</v>
      </c>
      <c r="W2907">
        <f t="shared" si="332"/>
        <v>14516.5033333333</v>
      </c>
      <c r="X2907">
        <f t="shared" si="330"/>
        <v>0.119912027673707</v>
      </c>
      <c r="AH2907" t="str">
        <f t="shared" si="333"/>
        <v>1st Quality</v>
      </c>
      <c r="AJ2907">
        <f>((T2907-X2907)*2)/10.8</f>
        <v>236.60474880146</v>
      </c>
      <c r="AK2907">
        <f t="shared" si="331"/>
        <v>1386397.32777778</v>
      </c>
    </row>
    <row r="2908" spans="1:37">
      <c r="A2908" t="s">
        <v>2974</v>
      </c>
      <c r="B2908">
        <v>46</v>
      </c>
      <c r="C2908" t="s">
        <v>56</v>
      </c>
      <c r="D2908" t="s">
        <v>45</v>
      </c>
      <c r="E2908">
        <v>709</v>
      </c>
      <c r="F2908">
        <v>365</v>
      </c>
      <c r="G2908">
        <v>1</v>
      </c>
      <c r="H2908">
        <v>2135.89</v>
      </c>
      <c r="I2908">
        <v>1963.58</v>
      </c>
      <c r="J2908">
        <v>12</v>
      </c>
      <c r="K2908">
        <v>0</v>
      </c>
      <c r="L2908">
        <v>20.1</v>
      </c>
      <c r="M2908">
        <v>61</v>
      </c>
      <c r="N2908" t="s">
        <v>63</v>
      </c>
      <c r="O2908" t="s">
        <v>75</v>
      </c>
      <c r="P2908" t="s">
        <v>68</v>
      </c>
      <c r="R2908">
        <f>SUMIF(A2908:A7907,"C02907",I2908:I7907)</f>
        <v>1963.58</v>
      </c>
      <c r="S2908" s="1">
        <v>50726.24</v>
      </c>
      <c r="T2908">
        <f t="shared" si="335"/>
        <v>163.631666666667</v>
      </c>
      <c r="U2908">
        <f t="shared" si="329"/>
        <v>732</v>
      </c>
      <c r="V2908">
        <f t="shared" si="334"/>
        <v>61</v>
      </c>
      <c r="W2908">
        <f t="shared" si="332"/>
        <v>1366.82333333333</v>
      </c>
      <c r="X2908">
        <f t="shared" si="330"/>
        <v>0.331945933545267</v>
      </c>
      <c r="AH2908" t="str">
        <f t="shared" si="333"/>
        <v>3rd Quality</v>
      </c>
      <c r="AJ2908">
        <f>((T2908-X2908)*2)/20.1</f>
        <v>16.2487284311564</v>
      </c>
      <c r="AK2908">
        <f t="shared" si="331"/>
        <v>116014.851666667</v>
      </c>
    </row>
    <row r="2909" spans="1:37">
      <c r="A2909" t="s">
        <v>2975</v>
      </c>
      <c r="B2909">
        <v>44</v>
      </c>
      <c r="C2909" t="s">
        <v>50</v>
      </c>
      <c r="D2909" t="s">
        <v>60</v>
      </c>
      <c r="E2909">
        <v>694</v>
      </c>
      <c r="F2909">
        <v>7</v>
      </c>
      <c r="G2909">
        <v>27</v>
      </c>
      <c r="H2909">
        <v>4814.05</v>
      </c>
      <c r="I2909">
        <v>135761.26</v>
      </c>
      <c r="J2909">
        <v>63</v>
      </c>
      <c r="K2909">
        <v>1</v>
      </c>
      <c r="L2909">
        <v>23.8</v>
      </c>
      <c r="M2909">
        <v>61.7</v>
      </c>
      <c r="N2909" t="s">
        <v>57</v>
      </c>
      <c r="O2909" t="s">
        <v>47</v>
      </c>
      <c r="P2909" t="s">
        <v>48</v>
      </c>
      <c r="R2909">
        <f>SUMIF(A2909:A7908,"C02908",I2909:I7908)</f>
        <v>135761.26</v>
      </c>
      <c r="S2909" s="1">
        <v>875.49</v>
      </c>
      <c r="T2909">
        <f t="shared" si="335"/>
        <v>2154.94063492064</v>
      </c>
      <c r="U2909">
        <f t="shared" si="329"/>
        <v>3887.1</v>
      </c>
      <c r="V2909">
        <f>U2909</f>
        <v>3887.1</v>
      </c>
      <c r="W2909">
        <f t="shared" si="332"/>
        <v>46858.77</v>
      </c>
      <c r="X2909">
        <f t="shared" si="330"/>
        <v>0.144161361016192</v>
      </c>
      <c r="AH2909" t="str">
        <f t="shared" si="333"/>
        <v>3rd Quality</v>
      </c>
      <c r="AJ2909">
        <f>((T2909-X2909)*2)/23.8</f>
        <v>181.075333912573</v>
      </c>
      <c r="AK2909">
        <f t="shared" si="331"/>
        <v>1495528.80063492</v>
      </c>
    </row>
    <row r="2910" spans="1:37">
      <c r="A2910" t="s">
        <v>2976</v>
      </c>
      <c r="B2910">
        <v>32</v>
      </c>
      <c r="C2910" t="s">
        <v>50</v>
      </c>
      <c r="D2910" t="s">
        <v>60</v>
      </c>
      <c r="E2910">
        <v>995</v>
      </c>
      <c r="F2910">
        <v>186</v>
      </c>
      <c r="G2910">
        <v>1</v>
      </c>
      <c r="H2910">
        <v>954.6</v>
      </c>
      <c r="I2910">
        <v>986.26</v>
      </c>
      <c r="J2910">
        <v>13</v>
      </c>
      <c r="K2910">
        <v>0</v>
      </c>
      <c r="L2910">
        <v>13.9</v>
      </c>
      <c r="M2910">
        <v>33</v>
      </c>
      <c r="N2910" t="s">
        <v>78</v>
      </c>
      <c r="O2910" t="s">
        <v>53</v>
      </c>
      <c r="P2910" t="s">
        <v>58</v>
      </c>
      <c r="R2910">
        <f>SUMIF(A2910:A7909,"C02909",I2910:I7909)</f>
        <v>986.26</v>
      </c>
      <c r="S2910" s="1">
        <v>55939.93</v>
      </c>
      <c r="T2910">
        <f t="shared" si="335"/>
        <v>75.8661538461538</v>
      </c>
      <c r="U2910">
        <f t="shared" si="329"/>
        <v>429</v>
      </c>
      <c r="V2910">
        <f t="shared" si="334"/>
        <v>35.75</v>
      </c>
      <c r="W2910">
        <f t="shared" si="332"/>
        <v>647.286666666667</v>
      </c>
      <c r="X2910">
        <f t="shared" si="330"/>
        <v>1.0423213911586</v>
      </c>
      <c r="AH2910" t="str">
        <f t="shared" si="333"/>
        <v>3rd Quality</v>
      </c>
      <c r="AJ2910">
        <f>((T2910-X2910)*2)/13.9</f>
        <v>10.7660190582727</v>
      </c>
      <c r="AK2910">
        <f t="shared" si="331"/>
        <v>75486.8230769231</v>
      </c>
    </row>
    <row r="2911" spans="1:37">
      <c r="A2911" t="s">
        <v>2977</v>
      </c>
      <c r="B2911">
        <v>46</v>
      </c>
      <c r="C2911" t="s">
        <v>50</v>
      </c>
      <c r="D2911" t="s">
        <v>60</v>
      </c>
      <c r="E2911">
        <v>722</v>
      </c>
      <c r="F2911">
        <v>54</v>
      </c>
      <c r="G2911">
        <v>5</v>
      </c>
      <c r="H2911">
        <v>9757.76</v>
      </c>
      <c r="I2911">
        <v>50726.24</v>
      </c>
      <c r="J2911">
        <v>42</v>
      </c>
      <c r="K2911">
        <v>0</v>
      </c>
      <c r="L2911">
        <v>5.3</v>
      </c>
      <c r="M2911">
        <v>72</v>
      </c>
      <c r="N2911" t="s">
        <v>63</v>
      </c>
      <c r="O2911" t="s">
        <v>47</v>
      </c>
      <c r="P2911" t="s">
        <v>68</v>
      </c>
      <c r="R2911">
        <f>SUMIF(A2911:A7910,"C02910",I2911:I7910)</f>
        <v>50726.24</v>
      </c>
      <c r="S2911" s="1">
        <v>21326.41</v>
      </c>
      <c r="T2911">
        <f t="shared" si="335"/>
        <v>1207.76761904762</v>
      </c>
      <c r="U2911">
        <f t="shared" si="329"/>
        <v>3024</v>
      </c>
      <c r="V2911">
        <f t="shared" si="334"/>
        <v>252</v>
      </c>
      <c r="W2911">
        <f t="shared" si="332"/>
        <v>20161.6666666667</v>
      </c>
      <c r="X2911">
        <f t="shared" si="330"/>
        <v>0.0739923916964549</v>
      </c>
      <c r="AH2911" t="str">
        <f t="shared" si="333"/>
        <v>3rd Quality</v>
      </c>
      <c r="AJ2911">
        <f>((T2911-X2911)*2)/5.3</f>
        <v>455.733444021103</v>
      </c>
      <c r="AK2911">
        <f t="shared" si="331"/>
        <v>872008.220952381</v>
      </c>
    </row>
    <row r="2912" spans="1:37">
      <c r="A2912" t="s">
        <v>2978</v>
      </c>
      <c r="B2912">
        <v>23</v>
      </c>
      <c r="C2912" t="s">
        <v>50</v>
      </c>
      <c r="D2912" t="s">
        <v>45</v>
      </c>
      <c r="E2912">
        <v>607</v>
      </c>
      <c r="F2912">
        <v>175</v>
      </c>
      <c r="G2912">
        <v>1</v>
      </c>
      <c r="H2912">
        <v>840.01</v>
      </c>
      <c r="I2912">
        <v>875.49</v>
      </c>
      <c r="J2912">
        <v>12</v>
      </c>
      <c r="K2912">
        <v>0</v>
      </c>
      <c r="L2912">
        <v>37.9</v>
      </c>
      <c r="M2912">
        <v>40.2</v>
      </c>
      <c r="N2912" t="s">
        <v>46</v>
      </c>
      <c r="O2912" t="s">
        <v>47</v>
      </c>
      <c r="P2912" t="s">
        <v>48</v>
      </c>
      <c r="R2912">
        <f>SUMIF(A2912:A7911,"C02911",I2912:I7911)</f>
        <v>875.49</v>
      </c>
      <c r="S2912" s="1">
        <v>4023.63</v>
      </c>
      <c r="T2912">
        <f t="shared" si="335"/>
        <v>72.9575</v>
      </c>
      <c r="U2912">
        <f t="shared" si="329"/>
        <v>482.4</v>
      </c>
      <c r="V2912">
        <f t="shared" si="334"/>
        <v>40.2</v>
      </c>
      <c r="W2912">
        <f t="shared" si="332"/>
        <v>572.166666666667</v>
      </c>
      <c r="X2912">
        <f t="shared" si="330"/>
        <v>0.722610445113749</v>
      </c>
      <c r="AH2912" t="str">
        <f t="shared" si="333"/>
        <v>3rd Quality</v>
      </c>
      <c r="AJ2912">
        <f>((T2912-X2912)*2)/37.9</f>
        <v>3.81186752268529</v>
      </c>
      <c r="AK2912">
        <f t="shared" si="331"/>
        <v>44285.2025</v>
      </c>
    </row>
    <row r="2913" spans="1:37">
      <c r="A2913" t="s">
        <v>2979</v>
      </c>
      <c r="B2913">
        <v>38</v>
      </c>
      <c r="C2913" t="s">
        <v>50</v>
      </c>
      <c r="D2913" t="s">
        <v>60</v>
      </c>
      <c r="E2913">
        <v>1310</v>
      </c>
      <c r="F2913">
        <v>3</v>
      </c>
      <c r="G2913">
        <v>24</v>
      </c>
      <c r="H2913">
        <v>2576.19</v>
      </c>
      <c r="I2913">
        <v>55939.93</v>
      </c>
      <c r="J2913">
        <v>131</v>
      </c>
      <c r="K2913">
        <v>2</v>
      </c>
      <c r="L2913">
        <v>9.4</v>
      </c>
      <c r="M2913">
        <v>33.8</v>
      </c>
      <c r="N2913" t="s">
        <v>63</v>
      </c>
      <c r="O2913" t="s">
        <v>47</v>
      </c>
      <c r="P2913" t="s">
        <v>68</v>
      </c>
      <c r="R2913">
        <f>SUMIF(A2913:A7912,"C02912",I2913:I7912)</f>
        <v>55939.93</v>
      </c>
      <c r="S2913" s="1">
        <v>8235.34</v>
      </c>
      <c r="T2913">
        <f t="shared" si="335"/>
        <v>427.022366412214</v>
      </c>
      <c r="U2913">
        <f t="shared" si="329"/>
        <v>4427.8</v>
      </c>
      <c r="V2913">
        <f>U2913</f>
        <v>4427.8</v>
      </c>
      <c r="W2913">
        <f t="shared" si="332"/>
        <v>19505.7066666667</v>
      </c>
      <c r="X2913">
        <f t="shared" si="330"/>
        <v>0.508502866636389</v>
      </c>
      <c r="AH2913" t="str">
        <f t="shared" si="333"/>
        <v>2nd Quality</v>
      </c>
      <c r="AJ2913">
        <f>((T2913-X2913)*2)/9.4</f>
        <v>90.7476305416123</v>
      </c>
      <c r="AK2913">
        <f t="shared" si="331"/>
        <v>559399.3</v>
      </c>
    </row>
    <row r="2914" spans="1:37">
      <c r="A2914" t="s">
        <v>2980</v>
      </c>
      <c r="B2914">
        <v>26</v>
      </c>
      <c r="C2914" t="s">
        <v>44</v>
      </c>
      <c r="D2914" t="s">
        <v>45</v>
      </c>
      <c r="E2914">
        <v>1002</v>
      </c>
      <c r="F2914">
        <v>3</v>
      </c>
      <c r="G2914">
        <v>3</v>
      </c>
      <c r="H2914">
        <v>7633.05</v>
      </c>
      <c r="I2914">
        <v>21326.41</v>
      </c>
      <c r="J2914">
        <v>29</v>
      </c>
      <c r="K2914">
        <v>1</v>
      </c>
      <c r="L2914">
        <v>16.5</v>
      </c>
      <c r="M2914">
        <v>15.3</v>
      </c>
      <c r="N2914" t="s">
        <v>78</v>
      </c>
      <c r="O2914" t="s">
        <v>53</v>
      </c>
      <c r="P2914" t="s">
        <v>68</v>
      </c>
      <c r="R2914">
        <f>SUMIF(A2914:A7913,"C02913",I2914:I7913)</f>
        <v>21326.41</v>
      </c>
      <c r="S2914" s="1">
        <v>205741.82</v>
      </c>
      <c r="T2914">
        <f t="shared" si="335"/>
        <v>735.393448275862</v>
      </c>
      <c r="U2914">
        <f t="shared" ref="U2914:U2977" si="336">J2914*M2914</f>
        <v>443.7</v>
      </c>
      <c r="V2914">
        <f>U2914</f>
        <v>443.7</v>
      </c>
      <c r="W2914">
        <f t="shared" si="332"/>
        <v>9653.48666666667</v>
      </c>
      <c r="X2914">
        <f t="shared" si="330"/>
        <v>0.131271248059426</v>
      </c>
      <c r="AH2914" t="str">
        <f t="shared" si="333"/>
        <v>2nd Quality</v>
      </c>
      <c r="AJ2914">
        <f>((T2914-X2914)*2)/16.5</f>
        <v>89.1226881245821</v>
      </c>
      <c r="AK2914">
        <f t="shared" si="331"/>
        <v>736864.235172414</v>
      </c>
    </row>
    <row r="2915" spans="1:37">
      <c r="A2915" t="s">
        <v>2981</v>
      </c>
      <c r="B2915">
        <v>32</v>
      </c>
      <c r="C2915" t="s">
        <v>44</v>
      </c>
      <c r="D2915" t="s">
        <v>60</v>
      </c>
      <c r="E2915">
        <v>1351</v>
      </c>
      <c r="F2915">
        <v>150</v>
      </c>
      <c r="G2915">
        <v>3</v>
      </c>
      <c r="H2915">
        <v>1268.89</v>
      </c>
      <c r="I2915">
        <v>4023.63</v>
      </c>
      <c r="J2915">
        <v>18</v>
      </c>
      <c r="K2915">
        <v>0</v>
      </c>
      <c r="L2915">
        <v>34.7</v>
      </c>
      <c r="M2915">
        <v>20.8</v>
      </c>
      <c r="N2915" t="s">
        <v>52</v>
      </c>
      <c r="O2915" t="s">
        <v>47</v>
      </c>
      <c r="P2915" t="s">
        <v>66</v>
      </c>
      <c r="R2915">
        <f>SUMIF(A2915:A7914,"C02914",I2915:I7914)</f>
        <v>4023.63</v>
      </c>
      <c r="S2915" s="1">
        <v>10686.36</v>
      </c>
      <c r="T2915">
        <f t="shared" si="335"/>
        <v>223.535</v>
      </c>
      <c r="U2915">
        <f t="shared" si="336"/>
        <v>374.4</v>
      </c>
      <c r="V2915">
        <f t="shared" si="334"/>
        <v>31.2</v>
      </c>
      <c r="W2915">
        <f t="shared" si="332"/>
        <v>1764.50666666667</v>
      </c>
      <c r="X2915">
        <f t="shared" si="330"/>
        <v>1.06471010095438</v>
      </c>
      <c r="AH2915" t="str">
        <f t="shared" si="333"/>
        <v>3rd Quality</v>
      </c>
      <c r="AJ2915">
        <f>((T2915-X2915)*2)/34.7</f>
        <v>12.8224950950459</v>
      </c>
      <c r="AK2915">
        <f t="shared" si="331"/>
        <v>301995.785</v>
      </c>
    </row>
    <row r="2916" spans="1:37">
      <c r="A2916" t="s">
        <v>2982</v>
      </c>
      <c r="B2916">
        <v>42</v>
      </c>
      <c r="C2916" t="s">
        <v>101</v>
      </c>
      <c r="D2916" t="s">
        <v>45</v>
      </c>
      <c r="E2916">
        <v>760</v>
      </c>
      <c r="F2916">
        <v>46</v>
      </c>
      <c r="G2916">
        <v>5</v>
      </c>
      <c r="H2916">
        <v>1654.14</v>
      </c>
      <c r="I2916">
        <v>8235.34</v>
      </c>
      <c r="J2916">
        <v>51</v>
      </c>
      <c r="K2916">
        <v>0</v>
      </c>
      <c r="L2916">
        <v>23</v>
      </c>
      <c r="M2916">
        <v>50.4</v>
      </c>
      <c r="N2916" t="s">
        <v>78</v>
      </c>
      <c r="O2916" t="s">
        <v>47</v>
      </c>
      <c r="P2916" t="s">
        <v>68</v>
      </c>
      <c r="R2916">
        <f>SUMIF(A2916:A7915,"C02915",I2916:I7915)</f>
        <v>8235.34</v>
      </c>
      <c r="S2916" s="1">
        <v>871.04</v>
      </c>
      <c r="T2916">
        <f t="shared" si="335"/>
        <v>161.477254901961</v>
      </c>
      <c r="U2916">
        <f t="shared" si="336"/>
        <v>2570.4</v>
      </c>
      <c r="V2916">
        <f t="shared" si="334"/>
        <v>214.2</v>
      </c>
      <c r="W2916">
        <f t="shared" si="332"/>
        <v>3296.82666666667</v>
      </c>
      <c r="X2916">
        <f t="shared" si="330"/>
        <v>0.459453250631748</v>
      </c>
      <c r="AH2916" t="str">
        <f t="shared" si="333"/>
        <v>3rd Quality</v>
      </c>
      <c r="AJ2916">
        <f>((T2916-X2916)*2)/23</f>
        <v>14.0015479696808</v>
      </c>
      <c r="AK2916">
        <f t="shared" si="331"/>
        <v>122722.71372549</v>
      </c>
    </row>
    <row r="2917" spans="1:37">
      <c r="A2917" t="s">
        <v>2983</v>
      </c>
      <c r="B2917">
        <v>30</v>
      </c>
      <c r="C2917" t="s">
        <v>44</v>
      </c>
      <c r="D2917" t="s">
        <v>51</v>
      </c>
      <c r="E2917">
        <v>1365</v>
      </c>
      <c r="F2917">
        <v>9</v>
      </c>
      <c r="G2917">
        <v>28</v>
      </c>
      <c r="H2917">
        <v>7125.44</v>
      </c>
      <c r="I2917">
        <v>205741.82</v>
      </c>
      <c r="J2917">
        <v>145</v>
      </c>
      <c r="K2917">
        <v>2</v>
      </c>
      <c r="L2917">
        <v>8.9</v>
      </c>
      <c r="M2917">
        <v>22.5</v>
      </c>
      <c r="N2917" t="s">
        <v>61</v>
      </c>
      <c r="O2917" t="s">
        <v>47</v>
      </c>
      <c r="P2917" t="s">
        <v>58</v>
      </c>
      <c r="R2917">
        <f>SUMIF(A2917:A7916,"C02916",I2917:I7916)</f>
        <v>205741.82</v>
      </c>
      <c r="S2917" s="1">
        <v>109928.82</v>
      </c>
      <c r="T2917">
        <f t="shared" si="335"/>
        <v>1418.90910344828</v>
      </c>
      <c r="U2917">
        <f t="shared" si="336"/>
        <v>3262.5</v>
      </c>
      <c r="V2917">
        <f>U2917</f>
        <v>3262.5</v>
      </c>
      <c r="W2917">
        <f t="shared" si="332"/>
        <v>70956.0866666667</v>
      </c>
      <c r="X2917">
        <f t="shared" si="330"/>
        <v>0.191567117258724</v>
      </c>
      <c r="AH2917" t="str">
        <f t="shared" si="333"/>
        <v>1st Quality</v>
      </c>
      <c r="AJ2917">
        <f>((T2917-X2917)*2)/8.9</f>
        <v>318.812929512589</v>
      </c>
      <c r="AK2917">
        <f t="shared" si="331"/>
        <v>1936810.9262069</v>
      </c>
    </row>
    <row r="2918" spans="1:37">
      <c r="A2918" t="s">
        <v>2984</v>
      </c>
      <c r="B2918">
        <v>27</v>
      </c>
      <c r="C2918" t="s">
        <v>44</v>
      </c>
      <c r="D2918" t="s">
        <v>60</v>
      </c>
      <c r="E2918">
        <v>1339</v>
      </c>
      <c r="F2918">
        <v>61</v>
      </c>
      <c r="G2918">
        <v>11</v>
      </c>
      <c r="H2918">
        <v>1087.18</v>
      </c>
      <c r="I2918">
        <v>10686.36</v>
      </c>
      <c r="J2918">
        <v>73</v>
      </c>
      <c r="K2918">
        <v>0</v>
      </c>
      <c r="L2918">
        <v>20.4</v>
      </c>
      <c r="M2918">
        <v>28.5</v>
      </c>
      <c r="N2918" t="s">
        <v>46</v>
      </c>
      <c r="O2918" t="s">
        <v>47</v>
      </c>
      <c r="P2918" t="s">
        <v>58</v>
      </c>
      <c r="R2918">
        <f>SUMIF(A2918:A7917,"C02917",I2918:I7917)</f>
        <v>10686.36</v>
      </c>
      <c r="S2918" s="1">
        <v>1249.98</v>
      </c>
      <c r="T2918">
        <f t="shared" si="335"/>
        <v>146.388493150685</v>
      </c>
      <c r="U2918">
        <f t="shared" si="336"/>
        <v>2080.5</v>
      </c>
      <c r="V2918">
        <f t="shared" si="334"/>
        <v>173.375</v>
      </c>
      <c r="W2918">
        <f t="shared" si="332"/>
        <v>3924.84666666667</v>
      </c>
      <c r="X2918">
        <f t="shared" si="330"/>
        <v>1.23162677753454</v>
      </c>
      <c r="AH2918" t="str">
        <f t="shared" si="333"/>
        <v>3rd Quality</v>
      </c>
      <c r="AJ2918">
        <f>((T2918-X2918)*2)/20.4</f>
        <v>14.231065330701</v>
      </c>
      <c r="AK2918">
        <f t="shared" si="331"/>
        <v>196014.192328767</v>
      </c>
    </row>
    <row r="2919" spans="1:37">
      <c r="A2919" t="s">
        <v>2985</v>
      </c>
      <c r="B2919">
        <v>30</v>
      </c>
      <c r="C2919" t="s">
        <v>44</v>
      </c>
      <c r="D2919" t="s">
        <v>51</v>
      </c>
      <c r="E2919">
        <v>393</v>
      </c>
      <c r="F2919">
        <v>75</v>
      </c>
      <c r="G2919">
        <v>1</v>
      </c>
      <c r="H2919">
        <v>895.47</v>
      </c>
      <c r="I2919">
        <v>871.04</v>
      </c>
      <c r="J2919">
        <v>10</v>
      </c>
      <c r="K2919">
        <v>0</v>
      </c>
      <c r="L2919">
        <v>28.8</v>
      </c>
      <c r="M2919">
        <v>11.4</v>
      </c>
      <c r="N2919" t="s">
        <v>46</v>
      </c>
      <c r="O2919" t="s">
        <v>47</v>
      </c>
      <c r="P2919" t="s">
        <v>58</v>
      </c>
      <c r="R2919">
        <f>SUMIF(A2919:A7918,"C02918",I2919:I7918)</f>
        <v>871.04</v>
      </c>
      <c r="S2919" s="1">
        <v>3130.3</v>
      </c>
      <c r="T2919">
        <f t="shared" si="335"/>
        <v>87.104</v>
      </c>
      <c r="U2919">
        <f t="shared" si="336"/>
        <v>114</v>
      </c>
      <c r="V2919">
        <f t="shared" si="334"/>
        <v>9.5</v>
      </c>
      <c r="W2919">
        <f t="shared" si="332"/>
        <v>589.17</v>
      </c>
      <c r="X2919">
        <f t="shared" si="330"/>
        <v>0.438875674226942</v>
      </c>
      <c r="AH2919" t="str">
        <f t="shared" si="333"/>
        <v>3rd Quality</v>
      </c>
      <c r="AJ2919">
        <f>((T2919-X2919)*2)/28.8</f>
        <v>6.01841141151202</v>
      </c>
      <c r="AK2919">
        <f t="shared" si="331"/>
        <v>34231.872</v>
      </c>
    </row>
    <row r="2920" spans="1:37">
      <c r="A2920" t="s">
        <v>2986</v>
      </c>
      <c r="B2920">
        <v>30</v>
      </c>
      <c r="C2920" t="s">
        <v>44</v>
      </c>
      <c r="D2920" t="s">
        <v>60</v>
      </c>
      <c r="E2920">
        <v>507</v>
      </c>
      <c r="F2920">
        <v>12</v>
      </c>
      <c r="G2920">
        <v>31</v>
      </c>
      <c r="H2920">
        <v>3599.65</v>
      </c>
      <c r="I2920">
        <v>109928.82</v>
      </c>
      <c r="J2920">
        <v>259</v>
      </c>
      <c r="K2920">
        <v>2</v>
      </c>
      <c r="L2920">
        <v>3.1</v>
      </c>
      <c r="M2920">
        <v>30.1</v>
      </c>
      <c r="N2920" t="s">
        <v>61</v>
      </c>
      <c r="O2920" t="s">
        <v>47</v>
      </c>
      <c r="P2920" t="s">
        <v>66</v>
      </c>
      <c r="R2920">
        <f>SUMIF(A2920:A7919,"C02919",I2920:I7919)</f>
        <v>109928.82</v>
      </c>
      <c r="S2920" s="1">
        <v>114756.65</v>
      </c>
      <c r="T2920">
        <f t="shared" si="335"/>
        <v>424.435598455598</v>
      </c>
      <c r="U2920">
        <f t="shared" si="336"/>
        <v>7795.9</v>
      </c>
      <c r="V2920">
        <f>U2920</f>
        <v>7795.9</v>
      </c>
      <c r="W2920">
        <f t="shared" si="332"/>
        <v>37843.1566666667</v>
      </c>
      <c r="X2920">
        <f t="shared" si="330"/>
        <v>0.140847026794272</v>
      </c>
      <c r="AH2920" t="str">
        <f t="shared" si="333"/>
        <v>2nd Quality</v>
      </c>
      <c r="AJ2920">
        <f>((T2920-X2920)*2)/3.1</f>
        <v>273.738549308906</v>
      </c>
      <c r="AK2920">
        <f t="shared" si="331"/>
        <v>215188.848416988</v>
      </c>
    </row>
    <row r="2921" spans="1:37">
      <c r="A2921" t="s">
        <v>2987</v>
      </c>
      <c r="B2921">
        <v>33</v>
      </c>
      <c r="C2921" t="s">
        <v>44</v>
      </c>
      <c r="D2921" t="s">
        <v>60</v>
      </c>
      <c r="E2921">
        <v>1241</v>
      </c>
      <c r="F2921">
        <v>61</v>
      </c>
      <c r="G2921">
        <v>1</v>
      </c>
      <c r="H2921">
        <v>1194.82</v>
      </c>
      <c r="I2921">
        <v>1249.98</v>
      </c>
      <c r="J2921">
        <v>12</v>
      </c>
      <c r="K2921">
        <v>0</v>
      </c>
      <c r="L2921">
        <v>33.7</v>
      </c>
      <c r="M2921">
        <v>25.9</v>
      </c>
      <c r="N2921" t="s">
        <v>61</v>
      </c>
      <c r="O2921" t="s">
        <v>47</v>
      </c>
      <c r="P2921" t="s">
        <v>66</v>
      </c>
      <c r="R2921">
        <f>SUMIF(A2921:A7920,"C02920",I2921:I7920)</f>
        <v>1249.98</v>
      </c>
      <c r="S2921" s="1">
        <v>58324.16</v>
      </c>
      <c r="T2921">
        <f t="shared" si="335"/>
        <v>104.165</v>
      </c>
      <c r="U2921">
        <f t="shared" si="336"/>
        <v>310.8</v>
      </c>
      <c r="V2921">
        <f t="shared" si="334"/>
        <v>25.9</v>
      </c>
      <c r="W2921">
        <f t="shared" si="332"/>
        <v>815.266666666667</v>
      </c>
      <c r="X2921">
        <f t="shared" si="330"/>
        <v>1.03865017324785</v>
      </c>
      <c r="AH2921" t="str">
        <f t="shared" si="333"/>
        <v>3rd Quality</v>
      </c>
      <c r="AJ2921">
        <f>((T2921-X2921)*2)/33.7</f>
        <v>6.12025814995562</v>
      </c>
      <c r="AK2921">
        <f t="shared" si="331"/>
        <v>129268.765</v>
      </c>
    </row>
    <row r="2922" spans="1:37">
      <c r="A2922" t="s">
        <v>2988</v>
      </c>
      <c r="B2922">
        <v>39</v>
      </c>
      <c r="C2922" t="s">
        <v>44</v>
      </c>
      <c r="D2922" t="s">
        <v>51</v>
      </c>
      <c r="E2922">
        <v>692</v>
      </c>
      <c r="F2922">
        <v>103</v>
      </c>
      <c r="G2922">
        <v>1</v>
      </c>
      <c r="H2922">
        <v>2848.59</v>
      </c>
      <c r="I2922">
        <v>3130.3</v>
      </c>
      <c r="J2922">
        <v>19</v>
      </c>
      <c r="K2922">
        <v>0</v>
      </c>
      <c r="L2922">
        <v>30.4</v>
      </c>
      <c r="M2922">
        <v>20</v>
      </c>
      <c r="N2922" t="s">
        <v>61</v>
      </c>
      <c r="O2922" t="s">
        <v>53</v>
      </c>
      <c r="P2922" t="s">
        <v>68</v>
      </c>
      <c r="R2922">
        <f>SUMIF(A2922:A7921,"C02921",I2922:I7921)</f>
        <v>3130.3</v>
      </c>
      <c r="S2922" s="1">
        <v>1342.27</v>
      </c>
      <c r="T2922">
        <f t="shared" si="335"/>
        <v>164.752631578947</v>
      </c>
      <c r="U2922">
        <f t="shared" si="336"/>
        <v>380</v>
      </c>
      <c r="V2922">
        <f t="shared" si="334"/>
        <v>31.6666666666667</v>
      </c>
      <c r="W2922">
        <f t="shared" si="332"/>
        <v>1993.29666666667</v>
      </c>
      <c r="X2922">
        <f t="shared" si="330"/>
        <v>0.242927202580926</v>
      </c>
      <c r="AH2922" t="str">
        <f t="shared" si="333"/>
        <v>3rd Quality</v>
      </c>
      <c r="AJ2922">
        <f>((T2922-X2922)*2)/30.4</f>
        <v>10.8230068668662</v>
      </c>
      <c r="AK2922">
        <f t="shared" si="331"/>
        <v>114008.821052632</v>
      </c>
    </row>
    <row r="2923" spans="1:37">
      <c r="A2923" t="s">
        <v>2989</v>
      </c>
      <c r="B2923">
        <v>35</v>
      </c>
      <c r="C2923" t="s">
        <v>50</v>
      </c>
      <c r="D2923" t="s">
        <v>45</v>
      </c>
      <c r="E2923">
        <v>1201</v>
      </c>
      <c r="F2923">
        <v>8</v>
      </c>
      <c r="G2923">
        <v>34</v>
      </c>
      <c r="H2923">
        <v>3315.88</v>
      </c>
      <c r="I2923">
        <v>114756.65</v>
      </c>
      <c r="J2923">
        <v>109</v>
      </c>
      <c r="K2923">
        <v>7</v>
      </c>
      <c r="L2923">
        <v>0</v>
      </c>
      <c r="M2923">
        <v>26</v>
      </c>
      <c r="N2923" t="s">
        <v>61</v>
      </c>
      <c r="O2923" t="s">
        <v>47</v>
      </c>
      <c r="P2923" t="s">
        <v>58</v>
      </c>
      <c r="R2923">
        <f>SUMIF(A2923:A7922,"C02922",I2923:I7922)</f>
        <v>114756.65</v>
      </c>
      <c r="S2923" s="1">
        <v>122453.19</v>
      </c>
      <c r="T2923">
        <f t="shared" si="335"/>
        <v>1052.81330275229</v>
      </c>
      <c r="U2923">
        <f t="shared" si="336"/>
        <v>2834</v>
      </c>
      <c r="V2923">
        <f>U2923</f>
        <v>2834</v>
      </c>
      <c r="W2923">
        <f t="shared" si="332"/>
        <v>39357.8433333333</v>
      </c>
      <c r="X2923">
        <f t="shared" si="330"/>
        <v>0.362196460668058</v>
      </c>
      <c r="AH2923" t="str">
        <f t="shared" si="333"/>
        <v>2nd Quality</v>
      </c>
      <c r="AJ2923">
        <f>((T2923-X2923)*2)</f>
        <v>2104.90221258324</v>
      </c>
      <c r="AK2923">
        <f t="shared" si="331"/>
        <v>1264428.7766055</v>
      </c>
    </row>
    <row r="2924" spans="1:37">
      <c r="A2924" t="s">
        <v>2990</v>
      </c>
      <c r="B2924">
        <v>42</v>
      </c>
      <c r="C2924" t="s">
        <v>44</v>
      </c>
      <c r="D2924" t="s">
        <v>60</v>
      </c>
      <c r="E2924">
        <v>843</v>
      </c>
      <c r="F2924">
        <v>2</v>
      </c>
      <c r="G2924">
        <v>26</v>
      </c>
      <c r="H2924">
        <v>2110.95</v>
      </c>
      <c r="I2924">
        <v>58324.16</v>
      </c>
      <c r="J2924">
        <v>188</v>
      </c>
      <c r="K2924">
        <v>3</v>
      </c>
      <c r="L2924">
        <v>17.3</v>
      </c>
      <c r="M2924">
        <v>28.1</v>
      </c>
      <c r="N2924" t="s">
        <v>61</v>
      </c>
      <c r="O2924" t="s">
        <v>75</v>
      </c>
      <c r="P2924" t="s">
        <v>58</v>
      </c>
      <c r="R2924">
        <f>SUMIF(A2924:A7923,"C02923",I2924:I7923)</f>
        <v>58324.16</v>
      </c>
      <c r="S2924" s="1">
        <v>62562.97</v>
      </c>
      <c r="T2924">
        <f t="shared" si="335"/>
        <v>310.234893617021</v>
      </c>
      <c r="U2924">
        <f t="shared" si="336"/>
        <v>5282.8</v>
      </c>
      <c r="V2924">
        <f>U2924</f>
        <v>5282.8</v>
      </c>
      <c r="W2924">
        <f t="shared" si="332"/>
        <v>20145.37</v>
      </c>
      <c r="X2924">
        <f t="shared" si="330"/>
        <v>0.39934626589924</v>
      </c>
      <c r="AH2924" t="str">
        <f t="shared" si="333"/>
        <v>2nd Quality</v>
      </c>
      <c r="AJ2924">
        <f>((T2924-X2924)*2)/17.3</f>
        <v>35.819138422095</v>
      </c>
      <c r="AK2924">
        <f t="shared" si="331"/>
        <v>261528.015319149</v>
      </c>
    </row>
    <row r="2925" spans="1:37">
      <c r="A2925" t="s">
        <v>2991</v>
      </c>
      <c r="B2925">
        <v>34</v>
      </c>
      <c r="C2925" t="s">
        <v>50</v>
      </c>
      <c r="D2925" t="s">
        <v>45</v>
      </c>
      <c r="E2925">
        <v>651</v>
      </c>
      <c r="F2925">
        <v>43</v>
      </c>
      <c r="G2925">
        <v>2</v>
      </c>
      <c r="H2925">
        <v>648.79</v>
      </c>
      <c r="I2925">
        <v>1342.27</v>
      </c>
      <c r="J2925">
        <v>15</v>
      </c>
      <c r="K2925">
        <v>0</v>
      </c>
      <c r="L2925">
        <v>30.7</v>
      </c>
      <c r="M2925">
        <v>45.3</v>
      </c>
      <c r="N2925" t="s">
        <v>81</v>
      </c>
      <c r="O2925" t="s">
        <v>47</v>
      </c>
      <c r="P2925" t="s">
        <v>58</v>
      </c>
      <c r="R2925">
        <f>SUMIF(A2925:A7924,"C02924",I2925:I7924)</f>
        <v>1342.27</v>
      </c>
      <c r="S2925" s="1">
        <v>460.84</v>
      </c>
      <c r="T2925">
        <f t="shared" si="335"/>
        <v>89.4846666666667</v>
      </c>
      <c r="U2925">
        <f t="shared" si="336"/>
        <v>679.5</v>
      </c>
      <c r="V2925">
        <f>U2925/12</f>
        <v>56.625</v>
      </c>
      <c r="W2925">
        <f t="shared" si="332"/>
        <v>664.02</v>
      </c>
      <c r="X2925">
        <f t="shared" si="330"/>
        <v>1.00340634103485</v>
      </c>
      <c r="AH2925" t="str">
        <f t="shared" si="333"/>
        <v>3rd Quality</v>
      </c>
      <c r="AJ2925">
        <f>((T2925-X2925)*2)/30.7</f>
        <v>5.76425148701185</v>
      </c>
      <c r="AK2925">
        <f t="shared" si="331"/>
        <v>58254.518</v>
      </c>
    </row>
    <row r="2926" spans="1:37">
      <c r="A2926" t="s">
        <v>2992</v>
      </c>
      <c r="B2926">
        <v>18</v>
      </c>
      <c r="C2926" t="s">
        <v>101</v>
      </c>
      <c r="D2926" t="s">
        <v>45</v>
      </c>
      <c r="E2926">
        <v>608</v>
      </c>
      <c r="F2926">
        <v>9</v>
      </c>
      <c r="G2926">
        <v>33</v>
      </c>
      <c r="H2926">
        <v>3378.35</v>
      </c>
      <c r="I2926">
        <v>122453.19</v>
      </c>
      <c r="J2926">
        <v>274</v>
      </c>
      <c r="K2926">
        <v>0</v>
      </c>
      <c r="L2926">
        <v>16.3</v>
      </c>
      <c r="M2926">
        <v>37.1</v>
      </c>
      <c r="N2926" t="s">
        <v>78</v>
      </c>
      <c r="O2926" t="s">
        <v>47</v>
      </c>
      <c r="P2926" t="s">
        <v>58</v>
      </c>
      <c r="R2926">
        <f>SUMIF(A2926:A7925,"C02925",I2926:I7925)</f>
        <v>122453.19</v>
      </c>
      <c r="S2926" s="1">
        <v>39790.53</v>
      </c>
      <c r="T2926">
        <f t="shared" si="335"/>
        <v>446.909452554745</v>
      </c>
      <c r="U2926">
        <f t="shared" si="336"/>
        <v>10165.4</v>
      </c>
      <c r="V2926">
        <f t="shared" si="334"/>
        <v>847.116666666667</v>
      </c>
      <c r="W2926">
        <f t="shared" si="332"/>
        <v>41944.18</v>
      </c>
      <c r="X2926">
        <f t="shared" si="330"/>
        <v>0.179969511743899</v>
      </c>
      <c r="AH2926" t="str">
        <f t="shared" si="333"/>
        <v>2nd Quality</v>
      </c>
      <c r="AJ2926">
        <f>((T2926-X2926)*2)/16.3</f>
        <v>54.8134335022087</v>
      </c>
      <c r="AK2926">
        <f t="shared" si="331"/>
        <v>271720.947153285</v>
      </c>
    </row>
    <row r="2927" spans="1:37">
      <c r="A2927" t="s">
        <v>2993</v>
      </c>
      <c r="B2927">
        <v>32</v>
      </c>
      <c r="C2927" t="s">
        <v>50</v>
      </c>
      <c r="D2927" t="s">
        <v>51</v>
      </c>
      <c r="E2927">
        <v>617</v>
      </c>
      <c r="F2927">
        <v>38</v>
      </c>
      <c r="G2927">
        <v>4</v>
      </c>
      <c r="H2927">
        <v>14555.1</v>
      </c>
      <c r="I2927">
        <v>62562.97</v>
      </c>
      <c r="J2927">
        <v>17</v>
      </c>
      <c r="K2927">
        <v>1</v>
      </c>
      <c r="L2927">
        <v>1.9</v>
      </c>
      <c r="M2927">
        <v>32.8</v>
      </c>
      <c r="N2927" t="s">
        <v>78</v>
      </c>
      <c r="O2927" t="s">
        <v>53</v>
      </c>
      <c r="P2927" t="s">
        <v>58</v>
      </c>
      <c r="R2927">
        <f>SUMIF(A2927:A7926,"C02926",I2927:I7926)</f>
        <v>62562.97</v>
      </c>
      <c r="S2927" s="1">
        <v>13846.11</v>
      </c>
      <c r="T2927">
        <f t="shared" si="335"/>
        <v>3680.17470588235</v>
      </c>
      <c r="U2927">
        <f t="shared" si="336"/>
        <v>557.6</v>
      </c>
      <c r="V2927">
        <f>U2927</f>
        <v>557.6</v>
      </c>
      <c r="W2927">
        <f t="shared" si="332"/>
        <v>25706.3566666667</v>
      </c>
      <c r="X2927">
        <f t="shared" si="330"/>
        <v>0.0423906397070443</v>
      </c>
      <c r="AH2927" t="str">
        <f t="shared" si="333"/>
        <v>2nd Quality</v>
      </c>
      <c r="AJ2927">
        <f>((T2927-X2927)*2)/1.9</f>
        <v>3873.8234897291</v>
      </c>
      <c r="AK2927">
        <f t="shared" si="331"/>
        <v>2270667.79352941</v>
      </c>
    </row>
    <row r="2928" spans="1:37">
      <c r="A2928" t="s">
        <v>2994</v>
      </c>
      <c r="B2928">
        <v>42</v>
      </c>
      <c r="C2928" t="s">
        <v>44</v>
      </c>
      <c r="D2928" t="s">
        <v>51</v>
      </c>
      <c r="E2928">
        <v>1094</v>
      </c>
      <c r="F2928">
        <v>198</v>
      </c>
      <c r="G2928">
        <v>1</v>
      </c>
      <c r="H2928">
        <v>490.59</v>
      </c>
      <c r="I2928">
        <v>460.84</v>
      </c>
      <c r="J2928">
        <v>21</v>
      </c>
      <c r="K2928">
        <v>0</v>
      </c>
      <c r="L2928">
        <v>27.7</v>
      </c>
      <c r="M2928">
        <v>41</v>
      </c>
      <c r="N2928" t="s">
        <v>57</v>
      </c>
      <c r="O2928" t="s">
        <v>47</v>
      </c>
      <c r="P2928" t="s">
        <v>58</v>
      </c>
      <c r="R2928">
        <f>SUMIF(A2928:A7927,"C02927",I2928:I7927)</f>
        <v>460.84</v>
      </c>
      <c r="S2928" s="1">
        <v>532.07</v>
      </c>
      <c r="T2928">
        <f t="shared" si="335"/>
        <v>21.9447619047619</v>
      </c>
      <c r="U2928">
        <f t="shared" si="336"/>
        <v>861</v>
      </c>
      <c r="V2928">
        <f t="shared" si="334"/>
        <v>71.75</v>
      </c>
      <c r="W2928">
        <f t="shared" si="332"/>
        <v>317.476666666667</v>
      </c>
      <c r="X2928">
        <f t="shared" si="330"/>
        <v>2.22996799771703</v>
      </c>
      <c r="AH2928" t="str">
        <f t="shared" si="333"/>
        <v>3rd Quality</v>
      </c>
      <c r="AJ2928">
        <f>((T2928-X2928)*2)/27.7</f>
        <v>1.42345082361335</v>
      </c>
      <c r="AK2928">
        <f t="shared" si="331"/>
        <v>24007.5695238095</v>
      </c>
    </row>
    <row r="2929" spans="1:37">
      <c r="A2929" t="s">
        <v>2995</v>
      </c>
      <c r="B2929">
        <v>55</v>
      </c>
      <c r="C2929" t="s">
        <v>44</v>
      </c>
      <c r="D2929" t="s">
        <v>60</v>
      </c>
      <c r="E2929">
        <v>408</v>
      </c>
      <c r="F2929">
        <v>26</v>
      </c>
      <c r="G2929">
        <v>7</v>
      </c>
      <c r="H2929">
        <v>6090.26</v>
      </c>
      <c r="I2929">
        <v>39790.53</v>
      </c>
      <c r="J2929">
        <v>35</v>
      </c>
      <c r="K2929">
        <v>1</v>
      </c>
      <c r="L2929">
        <v>14.9</v>
      </c>
      <c r="M2929">
        <v>14.5</v>
      </c>
      <c r="N2929" t="s">
        <v>52</v>
      </c>
      <c r="O2929" t="s">
        <v>47</v>
      </c>
      <c r="P2929" t="s">
        <v>58</v>
      </c>
      <c r="R2929">
        <f>SUMIF(A2929:A7928,"C02928",I2929:I7928)</f>
        <v>39790.53</v>
      </c>
      <c r="S2929" s="1">
        <v>12240.68</v>
      </c>
      <c r="T2929">
        <f t="shared" si="335"/>
        <v>1136.87228571429</v>
      </c>
      <c r="U2929">
        <f t="shared" si="336"/>
        <v>507.5</v>
      </c>
      <c r="V2929">
        <f>U2929</f>
        <v>507.5</v>
      </c>
      <c r="W2929">
        <f t="shared" si="332"/>
        <v>15293.93</v>
      </c>
      <c r="X2929">
        <f t="shared" si="330"/>
        <v>0.0669922137971121</v>
      </c>
      <c r="AH2929" t="str">
        <f t="shared" si="333"/>
        <v>3rd Quality</v>
      </c>
      <c r="AJ2929">
        <f>((T2929-X2929)*2)/14.9</f>
        <v>152.591314563825</v>
      </c>
      <c r="AK2929">
        <f t="shared" si="331"/>
        <v>463843.892571429</v>
      </c>
    </row>
    <row r="2930" spans="1:37">
      <c r="A2930" t="s">
        <v>2996</v>
      </c>
      <c r="B2930">
        <v>18</v>
      </c>
      <c r="C2930" t="s">
        <v>50</v>
      </c>
      <c r="D2930" t="s">
        <v>51</v>
      </c>
      <c r="E2930">
        <v>575</v>
      </c>
      <c r="F2930">
        <v>17</v>
      </c>
      <c r="G2930">
        <v>7</v>
      </c>
      <c r="H2930">
        <v>1800.07</v>
      </c>
      <c r="I2930">
        <v>13846.11</v>
      </c>
      <c r="J2930">
        <v>19</v>
      </c>
      <c r="K2930">
        <v>0</v>
      </c>
      <c r="L2930">
        <v>21.7</v>
      </c>
      <c r="M2930">
        <v>26.2</v>
      </c>
      <c r="N2930" t="s">
        <v>46</v>
      </c>
      <c r="O2930" t="s">
        <v>75</v>
      </c>
      <c r="P2930" t="s">
        <v>58</v>
      </c>
      <c r="R2930">
        <f>SUMIF(A2930:A7929,"C02929",I2930:I7929)</f>
        <v>13846.11</v>
      </c>
      <c r="S2930" s="1">
        <v>108469.9</v>
      </c>
      <c r="T2930">
        <f t="shared" si="335"/>
        <v>728.742631578947</v>
      </c>
      <c r="U2930">
        <f t="shared" si="336"/>
        <v>497.8</v>
      </c>
      <c r="V2930">
        <f t="shared" si="334"/>
        <v>41.4833333333333</v>
      </c>
      <c r="W2930">
        <f t="shared" si="332"/>
        <v>5215.72666666667</v>
      </c>
      <c r="X2930">
        <f t="shared" si="330"/>
        <v>0.31943202208803</v>
      </c>
      <c r="AH2930" t="str">
        <f t="shared" si="333"/>
        <v>3rd Quality</v>
      </c>
      <c r="AJ2930">
        <f>((T2930-X2930)*2)/21.7</f>
        <v>67.1357787610008</v>
      </c>
      <c r="AK2930">
        <f t="shared" si="331"/>
        <v>419027.013157895</v>
      </c>
    </row>
    <row r="2931" spans="1:37">
      <c r="A2931" t="s">
        <v>2997</v>
      </c>
      <c r="B2931">
        <v>31</v>
      </c>
      <c r="C2931" t="s">
        <v>50</v>
      </c>
      <c r="D2931" t="s">
        <v>60</v>
      </c>
      <c r="E2931">
        <v>1266</v>
      </c>
      <c r="F2931">
        <v>29</v>
      </c>
      <c r="G2931">
        <v>1</v>
      </c>
      <c r="H2931">
        <v>519.91</v>
      </c>
      <c r="I2931">
        <v>532.07</v>
      </c>
      <c r="J2931">
        <v>14</v>
      </c>
      <c r="K2931">
        <v>0</v>
      </c>
      <c r="L2931">
        <v>34.8</v>
      </c>
      <c r="M2931">
        <v>7.9</v>
      </c>
      <c r="N2931" t="s">
        <v>81</v>
      </c>
      <c r="O2931" t="s">
        <v>47</v>
      </c>
      <c r="P2931" t="s">
        <v>68</v>
      </c>
      <c r="R2931">
        <f>SUMIF(A2931:A7930,"C02930",I2931:I7930)</f>
        <v>532.07</v>
      </c>
      <c r="S2931" s="1">
        <v>33104.63</v>
      </c>
      <c r="T2931">
        <f t="shared" si="335"/>
        <v>38.005</v>
      </c>
      <c r="U2931">
        <f t="shared" si="336"/>
        <v>110.6</v>
      </c>
      <c r="V2931">
        <f t="shared" si="334"/>
        <v>9.21666666666667</v>
      </c>
      <c r="W2931">
        <f t="shared" si="332"/>
        <v>350.993333333333</v>
      </c>
      <c r="X2931">
        <f t="shared" si="330"/>
        <v>2.43503683329807</v>
      </c>
      <c r="AH2931" t="str">
        <f t="shared" si="333"/>
        <v>3rd Quality</v>
      </c>
      <c r="AJ2931">
        <f>((T2931-X2931)*2)/34.8</f>
        <v>2.04425075670701</v>
      </c>
      <c r="AK2931">
        <f t="shared" si="331"/>
        <v>48114.33</v>
      </c>
    </row>
    <row r="2932" spans="1:37">
      <c r="A2932" t="s">
        <v>2998</v>
      </c>
      <c r="B2932">
        <v>41</v>
      </c>
      <c r="C2932" t="s">
        <v>44</v>
      </c>
      <c r="D2932" t="s">
        <v>45</v>
      </c>
      <c r="E2932">
        <v>718</v>
      </c>
      <c r="F2932">
        <v>59</v>
      </c>
      <c r="G2932">
        <v>2</v>
      </c>
      <c r="H2932">
        <v>6195.25</v>
      </c>
      <c r="I2932">
        <v>12240.68</v>
      </c>
      <c r="J2932">
        <v>19</v>
      </c>
      <c r="K2932">
        <v>0</v>
      </c>
      <c r="L2932">
        <v>1.9</v>
      </c>
      <c r="M2932">
        <v>9.4</v>
      </c>
      <c r="N2932" t="s">
        <v>61</v>
      </c>
      <c r="O2932" t="s">
        <v>75</v>
      </c>
      <c r="P2932" t="s">
        <v>48</v>
      </c>
      <c r="R2932">
        <f>SUMIF(A2932:A7931,"C02931",I2932:I7931)</f>
        <v>12240.68</v>
      </c>
      <c r="S2932" s="1">
        <v>1630.53</v>
      </c>
      <c r="T2932">
        <f t="shared" si="335"/>
        <v>644.246315789474</v>
      </c>
      <c r="U2932">
        <f t="shared" si="336"/>
        <v>178.6</v>
      </c>
      <c r="V2932">
        <f t="shared" si="334"/>
        <v>14.8833333333333</v>
      </c>
      <c r="W2932">
        <f t="shared" si="332"/>
        <v>6145.64333333333</v>
      </c>
      <c r="X2932">
        <f t="shared" si="330"/>
        <v>0.115895242322747</v>
      </c>
      <c r="AH2932" t="str">
        <f t="shared" si="333"/>
        <v>3rd Quality</v>
      </c>
      <c r="AJ2932">
        <f>((T2932-X2932)*2)/1.9</f>
        <v>678.03202162858</v>
      </c>
      <c r="AK2932">
        <f t="shared" si="331"/>
        <v>462568.854736842</v>
      </c>
    </row>
    <row r="2933" spans="1:37">
      <c r="A2933" t="s">
        <v>2999</v>
      </c>
      <c r="B2933">
        <v>30</v>
      </c>
      <c r="C2933" t="s">
        <v>44</v>
      </c>
      <c r="D2933" t="s">
        <v>60</v>
      </c>
      <c r="E2933">
        <v>1032</v>
      </c>
      <c r="F2933">
        <v>10</v>
      </c>
      <c r="G2933">
        <v>21</v>
      </c>
      <c r="H2933">
        <v>4928.5</v>
      </c>
      <c r="I2933">
        <v>108469.9</v>
      </c>
      <c r="J2933">
        <v>156</v>
      </c>
      <c r="K2933">
        <v>3</v>
      </c>
      <c r="L2933">
        <v>7.6</v>
      </c>
      <c r="M2933">
        <v>19.3</v>
      </c>
      <c r="N2933" t="s">
        <v>52</v>
      </c>
      <c r="O2933" t="s">
        <v>47</v>
      </c>
      <c r="P2933" t="s">
        <v>68</v>
      </c>
      <c r="R2933">
        <f>SUMIF(A2933:A7932,"C02932",I2933:I7932)</f>
        <v>108469.9</v>
      </c>
      <c r="S2933" s="1">
        <v>10074.18</v>
      </c>
      <c r="T2933">
        <f t="shared" si="335"/>
        <v>695.319871794872</v>
      </c>
      <c r="U2933">
        <f t="shared" si="336"/>
        <v>3010.8</v>
      </c>
      <c r="V2933">
        <f>U2933</f>
        <v>3010.8</v>
      </c>
      <c r="W2933">
        <f t="shared" si="332"/>
        <v>37799.8</v>
      </c>
      <c r="X2933">
        <f t="shared" si="330"/>
        <v>0.209394339048392</v>
      </c>
      <c r="AH2933" t="str">
        <f t="shared" si="333"/>
        <v>1st Quality</v>
      </c>
      <c r="AJ2933">
        <f>((T2933-X2933)*2)/7.6</f>
        <v>182.923809856796</v>
      </c>
      <c r="AK2933">
        <f t="shared" si="331"/>
        <v>717570.107692308</v>
      </c>
    </row>
    <row r="2934" spans="1:37">
      <c r="A2934" t="s">
        <v>3000</v>
      </c>
      <c r="B2934">
        <v>18</v>
      </c>
      <c r="C2934" t="s">
        <v>44</v>
      </c>
      <c r="D2934" t="s">
        <v>45</v>
      </c>
      <c r="E2934">
        <v>696</v>
      </c>
      <c r="F2934">
        <v>25</v>
      </c>
      <c r="G2934">
        <v>4</v>
      </c>
      <c r="H2934">
        <v>8733.7</v>
      </c>
      <c r="I2934">
        <v>33104.63</v>
      </c>
      <c r="J2934">
        <v>42</v>
      </c>
      <c r="K2934">
        <v>0</v>
      </c>
      <c r="L2934">
        <v>9.6</v>
      </c>
      <c r="M2934">
        <v>35.5</v>
      </c>
      <c r="N2934" t="s">
        <v>63</v>
      </c>
      <c r="O2934" t="s">
        <v>53</v>
      </c>
      <c r="P2934" t="s">
        <v>68</v>
      </c>
      <c r="R2934">
        <f>SUMIF(A2934:A7933,"C02933",I2934:I7933)</f>
        <v>33104.63</v>
      </c>
      <c r="S2934" s="1">
        <v>8834.71</v>
      </c>
      <c r="T2934">
        <f t="shared" si="335"/>
        <v>788.205476190476</v>
      </c>
      <c r="U2934">
        <f t="shared" si="336"/>
        <v>1491</v>
      </c>
      <c r="V2934">
        <f t="shared" si="334"/>
        <v>124.25</v>
      </c>
      <c r="W2934">
        <f t="shared" si="332"/>
        <v>13946.4433333333</v>
      </c>
      <c r="X2934">
        <f t="shared" si="330"/>
        <v>0.0796913106701627</v>
      </c>
      <c r="AH2934" t="str">
        <f t="shared" si="333"/>
        <v>2nd Quality</v>
      </c>
      <c r="AJ2934">
        <f>((T2934-X2934)*2)/9.6</f>
        <v>164.19287184996</v>
      </c>
      <c r="AK2934">
        <f t="shared" si="331"/>
        <v>548591.011428571</v>
      </c>
    </row>
    <row r="2935" spans="1:37">
      <c r="A2935" t="s">
        <v>3001</v>
      </c>
      <c r="B2935">
        <v>30</v>
      </c>
      <c r="C2935" t="s">
        <v>44</v>
      </c>
      <c r="D2935" t="s">
        <v>60</v>
      </c>
      <c r="E2935">
        <v>387</v>
      </c>
      <c r="F2935">
        <v>229</v>
      </c>
      <c r="G2935">
        <v>1</v>
      </c>
      <c r="H2935">
        <v>1518.1</v>
      </c>
      <c r="I2935">
        <v>1630.53</v>
      </c>
      <c r="J2935">
        <v>14</v>
      </c>
      <c r="K2935">
        <v>0</v>
      </c>
      <c r="L2935">
        <v>19.8</v>
      </c>
      <c r="M2935">
        <v>6</v>
      </c>
      <c r="N2935" t="s">
        <v>61</v>
      </c>
      <c r="O2935" t="s">
        <v>75</v>
      </c>
      <c r="P2935" t="s">
        <v>66</v>
      </c>
      <c r="R2935">
        <f>SUMIF(A2935:A7934,"C02934",I2935:I7934)</f>
        <v>1630.53</v>
      </c>
      <c r="S2935" s="1">
        <v>11230.71</v>
      </c>
      <c r="T2935">
        <f t="shared" si="335"/>
        <v>116.466428571429</v>
      </c>
      <c r="U2935">
        <f t="shared" si="336"/>
        <v>84</v>
      </c>
      <c r="V2935">
        <f t="shared" si="334"/>
        <v>7</v>
      </c>
      <c r="W2935">
        <f t="shared" si="332"/>
        <v>1049.87666666667</v>
      </c>
      <c r="X2935">
        <f t="shared" si="330"/>
        <v>0.254923918055464</v>
      </c>
      <c r="AH2935" t="str">
        <f t="shared" si="333"/>
        <v>3rd Quality</v>
      </c>
      <c r="AJ2935">
        <f>((T2935-X2935)*2)/19.8</f>
        <v>11.7385358235731</v>
      </c>
      <c r="AK2935">
        <f t="shared" si="331"/>
        <v>45072.5078571429</v>
      </c>
    </row>
    <row r="2936" spans="1:37">
      <c r="A2936" t="s">
        <v>3002</v>
      </c>
      <c r="B2936">
        <v>35</v>
      </c>
      <c r="C2936" t="s">
        <v>44</v>
      </c>
      <c r="D2936" t="s">
        <v>51</v>
      </c>
      <c r="E2936">
        <v>858</v>
      </c>
      <c r="F2936">
        <v>161</v>
      </c>
      <c r="G2936">
        <v>7</v>
      </c>
      <c r="H2936">
        <v>1429.65</v>
      </c>
      <c r="I2936">
        <v>10074.18</v>
      </c>
      <c r="J2936">
        <v>52</v>
      </c>
      <c r="K2936">
        <v>1</v>
      </c>
      <c r="L2936">
        <v>34.8</v>
      </c>
      <c r="M2936">
        <v>41.5</v>
      </c>
      <c r="N2936" t="s">
        <v>46</v>
      </c>
      <c r="O2936" t="s">
        <v>53</v>
      </c>
      <c r="P2936" t="s">
        <v>58</v>
      </c>
      <c r="R2936">
        <f>SUMIF(A2936:A7935,"C02935",I2936:I7935)</f>
        <v>10074.18</v>
      </c>
      <c r="S2936" s="1">
        <v>184839.65</v>
      </c>
      <c r="T2936">
        <f t="shared" si="335"/>
        <v>193.734230769231</v>
      </c>
      <c r="U2936">
        <f t="shared" si="336"/>
        <v>2158</v>
      </c>
      <c r="V2936">
        <f>U2936</f>
        <v>2158</v>
      </c>
      <c r="W2936">
        <f t="shared" si="332"/>
        <v>3834.94333333333</v>
      </c>
      <c r="X2936">
        <f t="shared" ref="X2936:X2999" si="337">E2936/H2936</f>
        <v>0.60014688909873</v>
      </c>
      <c r="AH2936" t="str">
        <f t="shared" si="333"/>
        <v>3rd Quality</v>
      </c>
      <c r="AJ2936">
        <f>((T2936-X2936)*2)/34.8</f>
        <v>11.0996599931111</v>
      </c>
      <c r="AK2936">
        <f t="shared" si="331"/>
        <v>166223.97</v>
      </c>
    </row>
    <row r="2937" spans="1:37">
      <c r="A2937" t="s">
        <v>3003</v>
      </c>
      <c r="B2937">
        <v>39</v>
      </c>
      <c r="C2937" t="s">
        <v>44</v>
      </c>
      <c r="D2937" t="s">
        <v>45</v>
      </c>
      <c r="E2937">
        <v>615</v>
      </c>
      <c r="F2937">
        <v>91</v>
      </c>
      <c r="G2937">
        <v>9</v>
      </c>
      <c r="H2937">
        <v>901.38</v>
      </c>
      <c r="I2937">
        <v>8834.71</v>
      </c>
      <c r="J2937">
        <v>24</v>
      </c>
      <c r="K2937">
        <v>0</v>
      </c>
      <c r="L2937">
        <v>19.6</v>
      </c>
      <c r="M2937">
        <v>8.3</v>
      </c>
      <c r="N2937" t="s">
        <v>46</v>
      </c>
      <c r="O2937" t="s">
        <v>47</v>
      </c>
      <c r="P2937" t="s">
        <v>68</v>
      </c>
      <c r="R2937">
        <f>SUMIF(A2937:A7936,"C02936",I2937:I7936)</f>
        <v>8834.71</v>
      </c>
      <c r="S2937" s="1">
        <v>19679.4</v>
      </c>
      <c r="T2937">
        <f t="shared" si="335"/>
        <v>368.112916666667</v>
      </c>
      <c r="U2937">
        <f t="shared" si="336"/>
        <v>199.2</v>
      </c>
      <c r="V2937">
        <f t="shared" si="334"/>
        <v>16.6</v>
      </c>
      <c r="W2937">
        <f t="shared" si="332"/>
        <v>3245.69666666667</v>
      </c>
      <c r="X2937">
        <f t="shared" si="337"/>
        <v>0.682287159688478</v>
      </c>
      <c r="AH2937" t="str">
        <f t="shared" si="333"/>
        <v>3rd Quality</v>
      </c>
      <c r="AJ2937">
        <f>((T2937-X2937)*2)/19.6</f>
        <v>37.4929213782631</v>
      </c>
      <c r="AK2937">
        <f t="shared" si="331"/>
        <v>226389.44375</v>
      </c>
    </row>
    <row r="2938" spans="1:37">
      <c r="A2938" t="s">
        <v>3004</v>
      </c>
      <c r="B2938">
        <v>18</v>
      </c>
      <c r="C2938" t="s">
        <v>50</v>
      </c>
      <c r="D2938" t="s">
        <v>51</v>
      </c>
      <c r="E2938">
        <v>1173</v>
      </c>
      <c r="F2938">
        <v>9</v>
      </c>
      <c r="G2938">
        <v>13</v>
      </c>
      <c r="H2938">
        <v>835.1</v>
      </c>
      <c r="I2938">
        <v>11230.71</v>
      </c>
      <c r="J2938">
        <v>48</v>
      </c>
      <c r="K2938">
        <v>1</v>
      </c>
      <c r="L2938">
        <v>22</v>
      </c>
      <c r="M2938">
        <v>79.3</v>
      </c>
      <c r="N2938" t="s">
        <v>52</v>
      </c>
      <c r="O2938" t="s">
        <v>47</v>
      </c>
      <c r="P2938" t="s">
        <v>58</v>
      </c>
      <c r="R2938">
        <f>SUMIF(A2938:A7937,"C02937",I2938:I7937)</f>
        <v>11230.71</v>
      </c>
      <c r="S2938" s="1">
        <v>101151.58</v>
      </c>
      <c r="T2938">
        <f t="shared" si="335"/>
        <v>233.973125</v>
      </c>
      <c r="U2938">
        <f t="shared" si="336"/>
        <v>3806.4</v>
      </c>
      <c r="V2938">
        <f>U2938</f>
        <v>3806.4</v>
      </c>
      <c r="W2938">
        <f t="shared" si="332"/>
        <v>4022.27</v>
      </c>
      <c r="X2938">
        <f t="shared" si="337"/>
        <v>1.40462220093402</v>
      </c>
      <c r="AH2938" t="str">
        <f t="shared" si="333"/>
        <v>3rd Quality</v>
      </c>
      <c r="AJ2938">
        <f>((T2938-X2938)*2)/22</f>
        <v>21.1425911635515</v>
      </c>
      <c r="AK2938">
        <f t="shared" si="331"/>
        <v>274450.475625</v>
      </c>
    </row>
    <row r="2939" spans="1:37">
      <c r="A2939" t="s">
        <v>3005</v>
      </c>
      <c r="B2939">
        <v>41</v>
      </c>
      <c r="C2939" t="s">
        <v>44</v>
      </c>
      <c r="D2939" t="s">
        <v>45</v>
      </c>
      <c r="E2939">
        <v>1276</v>
      </c>
      <c r="F2939">
        <v>8</v>
      </c>
      <c r="G2939">
        <v>33</v>
      </c>
      <c r="H2939">
        <v>5943.22</v>
      </c>
      <c r="I2939">
        <v>184839.65</v>
      </c>
      <c r="J2939">
        <v>205</v>
      </c>
      <c r="K2939">
        <v>0</v>
      </c>
      <c r="L2939">
        <v>15.8</v>
      </c>
      <c r="M2939">
        <v>34.4</v>
      </c>
      <c r="N2939" t="s">
        <v>57</v>
      </c>
      <c r="O2939" t="s">
        <v>47</v>
      </c>
      <c r="P2939" t="s">
        <v>58</v>
      </c>
      <c r="R2939">
        <f>SUMIF(A2939:A7938,"C02938",I2939:I7938)</f>
        <v>184839.65</v>
      </c>
      <c r="S2939" s="1">
        <v>1606.86</v>
      </c>
      <c r="T2939">
        <f t="shared" si="335"/>
        <v>901.656829268293</v>
      </c>
      <c r="U2939">
        <f t="shared" si="336"/>
        <v>7052</v>
      </c>
      <c r="V2939">
        <f t="shared" si="334"/>
        <v>587.666666666667</v>
      </c>
      <c r="W2939">
        <f t="shared" si="332"/>
        <v>63594.6233333333</v>
      </c>
      <c r="X2939">
        <f t="shared" si="337"/>
        <v>0.214698429470893</v>
      </c>
      <c r="AH2939" t="str">
        <f t="shared" si="333"/>
        <v>2nd Quality</v>
      </c>
      <c r="AJ2939">
        <f>((T2939-X2939)*2)/15.8</f>
        <v>114.106598840357</v>
      </c>
      <c r="AK2939">
        <f t="shared" si="331"/>
        <v>1150514.11414634</v>
      </c>
    </row>
    <row r="2940" spans="1:37">
      <c r="A2940" t="s">
        <v>3006</v>
      </c>
      <c r="B2940">
        <v>41</v>
      </c>
      <c r="C2940" t="s">
        <v>44</v>
      </c>
      <c r="D2940" t="s">
        <v>60</v>
      </c>
      <c r="E2940">
        <v>1332</v>
      </c>
      <c r="F2940">
        <v>58</v>
      </c>
      <c r="G2940">
        <v>12</v>
      </c>
      <c r="H2940">
        <v>1475.16</v>
      </c>
      <c r="I2940">
        <v>19679.4</v>
      </c>
      <c r="J2940">
        <v>76</v>
      </c>
      <c r="K2940">
        <v>0</v>
      </c>
      <c r="L2940">
        <v>32.1</v>
      </c>
      <c r="M2940">
        <v>27.8</v>
      </c>
      <c r="N2940" t="s">
        <v>78</v>
      </c>
      <c r="O2940" t="s">
        <v>47</v>
      </c>
      <c r="P2940" t="s">
        <v>48</v>
      </c>
      <c r="R2940">
        <f>SUMIF(A2940:A7939,"C02939",I2940:I7939)</f>
        <v>19679.4</v>
      </c>
      <c r="S2940" s="1">
        <v>13423.82</v>
      </c>
      <c r="T2940">
        <f t="shared" si="335"/>
        <v>258.939473684211</v>
      </c>
      <c r="U2940">
        <f t="shared" si="336"/>
        <v>2112.8</v>
      </c>
      <c r="V2940">
        <f t="shared" si="334"/>
        <v>176.066666666667</v>
      </c>
      <c r="W2940">
        <f t="shared" si="332"/>
        <v>7051.85333333333</v>
      </c>
      <c r="X2940">
        <f t="shared" si="337"/>
        <v>0.902952900024404</v>
      </c>
      <c r="AH2940" t="str">
        <f t="shared" si="333"/>
        <v>2nd Quality</v>
      </c>
      <c r="AJ2940">
        <f>((T2940-X2940)*2)/32.1</f>
        <v>16.0770417934073</v>
      </c>
      <c r="AK2940">
        <f t="shared" si="331"/>
        <v>344907.378947368</v>
      </c>
    </row>
    <row r="2941" spans="1:37">
      <c r="A2941" t="s">
        <v>3007</v>
      </c>
      <c r="B2941">
        <v>34</v>
      </c>
      <c r="C2941" t="s">
        <v>50</v>
      </c>
      <c r="D2941" t="s">
        <v>60</v>
      </c>
      <c r="E2941">
        <v>1026</v>
      </c>
      <c r="F2941">
        <v>3</v>
      </c>
      <c r="G2941">
        <v>25</v>
      </c>
      <c r="H2941">
        <v>4143.08</v>
      </c>
      <c r="I2941">
        <v>101151.58</v>
      </c>
      <c r="J2941">
        <v>132</v>
      </c>
      <c r="K2941">
        <v>0</v>
      </c>
      <c r="L2941">
        <v>3.1</v>
      </c>
      <c r="M2941">
        <v>23.8</v>
      </c>
      <c r="N2941" t="s">
        <v>46</v>
      </c>
      <c r="O2941" t="s">
        <v>47</v>
      </c>
      <c r="P2941" t="s">
        <v>68</v>
      </c>
      <c r="R2941">
        <f>SUMIF(A2941:A7940,"C02940",I2941:I7940)</f>
        <v>101151.58</v>
      </c>
      <c r="S2941" s="1">
        <v>4463.15</v>
      </c>
      <c r="T2941">
        <f t="shared" si="335"/>
        <v>766.299848484849</v>
      </c>
      <c r="U2941">
        <f t="shared" si="336"/>
        <v>3141.6</v>
      </c>
      <c r="V2941">
        <f t="shared" si="334"/>
        <v>261.8</v>
      </c>
      <c r="W2941">
        <f t="shared" si="332"/>
        <v>35098.5533333333</v>
      </c>
      <c r="X2941">
        <f t="shared" si="337"/>
        <v>0.247641850990085</v>
      </c>
      <c r="AH2941" t="str">
        <f t="shared" si="333"/>
        <v>2nd Quality</v>
      </c>
      <c r="AJ2941">
        <f>((T2941-X2941)*2)/3.1</f>
        <v>494.227230086361</v>
      </c>
      <c r="AK2941">
        <f t="shared" si="331"/>
        <v>786223.644545455</v>
      </c>
    </row>
    <row r="2942" spans="1:37">
      <c r="A2942" t="s">
        <v>3008</v>
      </c>
      <c r="B2942">
        <v>24</v>
      </c>
      <c r="C2942" t="s">
        <v>50</v>
      </c>
      <c r="D2942" t="s">
        <v>45</v>
      </c>
      <c r="E2942">
        <v>458</v>
      </c>
      <c r="F2942">
        <v>365</v>
      </c>
      <c r="G2942">
        <v>1</v>
      </c>
      <c r="H2942">
        <v>1510.46</v>
      </c>
      <c r="I2942">
        <v>1606.86</v>
      </c>
      <c r="J2942">
        <v>14</v>
      </c>
      <c r="K2942">
        <v>0</v>
      </c>
      <c r="L2942">
        <v>25.3</v>
      </c>
      <c r="M2942">
        <v>44.2</v>
      </c>
      <c r="N2942" t="s">
        <v>52</v>
      </c>
      <c r="O2942" t="s">
        <v>47</v>
      </c>
      <c r="P2942" t="s">
        <v>66</v>
      </c>
      <c r="R2942">
        <f>SUMIF(A2942:A7941,"C02941",I2942:I7941)</f>
        <v>1606.86</v>
      </c>
      <c r="S2942" s="1">
        <v>110713.53</v>
      </c>
      <c r="T2942">
        <f t="shared" si="335"/>
        <v>114.775714285714</v>
      </c>
      <c r="U2942">
        <f t="shared" si="336"/>
        <v>618.8</v>
      </c>
      <c r="V2942">
        <f t="shared" si="334"/>
        <v>51.5666666666667</v>
      </c>
      <c r="W2942">
        <f t="shared" si="332"/>
        <v>1039.44</v>
      </c>
      <c r="X2942">
        <f t="shared" si="337"/>
        <v>0.303218886961588</v>
      </c>
      <c r="AH2942" t="str">
        <f t="shared" si="333"/>
        <v>3rd Quality</v>
      </c>
      <c r="AJ2942">
        <f>((T2942-X2942)*2)/25.3</f>
        <v>9.04920912243102</v>
      </c>
      <c r="AK2942">
        <f t="shared" si="331"/>
        <v>52567.2771428571</v>
      </c>
    </row>
    <row r="2943" spans="1:37">
      <c r="A2943" t="s">
        <v>3009</v>
      </c>
      <c r="B2943">
        <v>51</v>
      </c>
      <c r="C2943" t="s">
        <v>50</v>
      </c>
      <c r="D2943" t="s">
        <v>60</v>
      </c>
      <c r="E2943">
        <v>1303</v>
      </c>
      <c r="F2943">
        <v>28</v>
      </c>
      <c r="G2943">
        <v>11</v>
      </c>
      <c r="H2943">
        <v>1296.41</v>
      </c>
      <c r="I2943">
        <v>13423.82</v>
      </c>
      <c r="J2943">
        <v>51</v>
      </c>
      <c r="K2943">
        <v>0</v>
      </c>
      <c r="L2943">
        <v>16.6</v>
      </c>
      <c r="M2943">
        <v>40.6</v>
      </c>
      <c r="N2943" t="s">
        <v>78</v>
      </c>
      <c r="O2943" t="s">
        <v>75</v>
      </c>
      <c r="P2943" t="s">
        <v>58</v>
      </c>
      <c r="R2943">
        <f>SUMIF(A2943:A7942,"C02942",I2943:I7942)</f>
        <v>13423.82</v>
      </c>
      <c r="S2943" s="1">
        <v>25204.04</v>
      </c>
      <c r="T2943">
        <f t="shared" si="335"/>
        <v>263.212156862745</v>
      </c>
      <c r="U2943">
        <f t="shared" si="336"/>
        <v>2070.6</v>
      </c>
      <c r="V2943">
        <f t="shared" si="334"/>
        <v>172.55</v>
      </c>
      <c r="W2943">
        <f t="shared" si="332"/>
        <v>4907.07666666667</v>
      </c>
      <c r="X2943">
        <f t="shared" si="337"/>
        <v>1.00508326841046</v>
      </c>
      <c r="AH2943" t="str">
        <f t="shared" si="333"/>
        <v>3rd Quality</v>
      </c>
      <c r="AJ2943">
        <f>((T2943-X2943)*2)/16.6</f>
        <v>31.5912136860644</v>
      </c>
      <c r="AK2943">
        <f t="shared" si="331"/>
        <v>342965.440392157</v>
      </c>
    </row>
    <row r="2944" spans="1:37">
      <c r="A2944" t="s">
        <v>3010</v>
      </c>
      <c r="B2944">
        <v>30</v>
      </c>
      <c r="C2944" t="s">
        <v>50</v>
      </c>
      <c r="D2944" t="s">
        <v>45</v>
      </c>
      <c r="E2944">
        <v>1291</v>
      </c>
      <c r="F2944">
        <v>328</v>
      </c>
      <c r="G2944">
        <v>7</v>
      </c>
      <c r="H2944">
        <v>650.54</v>
      </c>
      <c r="I2944">
        <v>4463.15</v>
      </c>
      <c r="J2944">
        <v>66</v>
      </c>
      <c r="K2944">
        <v>3</v>
      </c>
      <c r="L2944">
        <v>30.5</v>
      </c>
      <c r="M2944">
        <v>23.5</v>
      </c>
      <c r="N2944" t="s">
        <v>81</v>
      </c>
      <c r="O2944" t="s">
        <v>53</v>
      </c>
      <c r="P2944" t="s">
        <v>66</v>
      </c>
      <c r="R2944">
        <f>SUMIF(A2944:A7943,"C02943",I2944:I7943)</f>
        <v>4463.15</v>
      </c>
      <c r="S2944" s="1">
        <v>14468.5</v>
      </c>
      <c r="T2944">
        <f t="shared" si="335"/>
        <v>67.6234848484848</v>
      </c>
      <c r="U2944">
        <f t="shared" si="336"/>
        <v>1551</v>
      </c>
      <c r="V2944">
        <f>U2944</f>
        <v>1551</v>
      </c>
      <c r="W2944">
        <f t="shared" si="332"/>
        <v>1704.89666666667</v>
      </c>
      <c r="X2944">
        <f t="shared" si="337"/>
        <v>1.98450518031174</v>
      </c>
      <c r="AH2944" t="str">
        <f t="shared" si="333"/>
        <v>3rd Quality</v>
      </c>
      <c r="AJ2944">
        <f>((T2944-X2944)*2)/30.5</f>
        <v>4.30419538807692</v>
      </c>
      <c r="AK2944">
        <f t="shared" si="331"/>
        <v>87301.9189393939</v>
      </c>
    </row>
    <row r="2945" spans="1:37">
      <c r="A2945" t="s">
        <v>3011</v>
      </c>
      <c r="B2945">
        <v>35</v>
      </c>
      <c r="C2945" t="s">
        <v>50</v>
      </c>
      <c r="D2945" t="s">
        <v>60</v>
      </c>
      <c r="E2945">
        <v>530</v>
      </c>
      <c r="F2945">
        <v>2</v>
      </c>
      <c r="G2945">
        <v>29</v>
      </c>
      <c r="H2945">
        <v>3611.19</v>
      </c>
      <c r="I2945">
        <v>110713.53</v>
      </c>
      <c r="J2945">
        <v>64</v>
      </c>
      <c r="K2945">
        <v>2</v>
      </c>
      <c r="L2945">
        <v>11</v>
      </c>
      <c r="M2945">
        <v>34.5</v>
      </c>
      <c r="N2945" t="s">
        <v>46</v>
      </c>
      <c r="O2945" t="s">
        <v>47</v>
      </c>
      <c r="P2945" t="s">
        <v>68</v>
      </c>
      <c r="R2945">
        <f>SUMIF(A2945:A7944,"C02944",I2945:I7944)</f>
        <v>110713.53</v>
      </c>
      <c r="S2945" s="1">
        <v>15153.01</v>
      </c>
      <c r="T2945">
        <f t="shared" si="335"/>
        <v>1729.89890625</v>
      </c>
      <c r="U2945">
        <f t="shared" si="336"/>
        <v>2208</v>
      </c>
      <c r="V2945">
        <f>U2945</f>
        <v>2208</v>
      </c>
      <c r="W2945">
        <f t="shared" si="332"/>
        <v>38108.5733333333</v>
      </c>
      <c r="X2945">
        <f t="shared" si="337"/>
        <v>0.14676602449608</v>
      </c>
      <c r="AH2945" t="str">
        <f t="shared" si="333"/>
        <v>2nd Quality</v>
      </c>
      <c r="AJ2945">
        <f>((T2945-X2945)*2)/11</f>
        <v>314.50038913191</v>
      </c>
      <c r="AK2945">
        <f t="shared" si="331"/>
        <v>916846.4203125</v>
      </c>
    </row>
    <row r="2946" spans="1:37">
      <c r="A2946" t="s">
        <v>3012</v>
      </c>
      <c r="B2946">
        <v>37</v>
      </c>
      <c r="C2946" t="s">
        <v>44</v>
      </c>
      <c r="D2946" t="s">
        <v>60</v>
      </c>
      <c r="E2946">
        <v>814</v>
      </c>
      <c r="F2946">
        <v>70</v>
      </c>
      <c r="G2946">
        <v>13</v>
      </c>
      <c r="H2946">
        <v>1851.56</v>
      </c>
      <c r="I2946">
        <v>25204.04</v>
      </c>
      <c r="J2946">
        <v>110</v>
      </c>
      <c r="K2946">
        <v>0</v>
      </c>
      <c r="L2946">
        <v>18.6</v>
      </c>
      <c r="M2946">
        <v>9.8</v>
      </c>
      <c r="N2946" t="s">
        <v>46</v>
      </c>
      <c r="O2946" t="s">
        <v>75</v>
      </c>
      <c r="P2946" t="s">
        <v>58</v>
      </c>
      <c r="R2946">
        <f>SUMIF(A2946:A7945,"C02945",I2946:I7945)</f>
        <v>25204.04</v>
      </c>
      <c r="S2946" s="1">
        <v>2094.32</v>
      </c>
      <c r="T2946">
        <f t="shared" si="335"/>
        <v>229.127636363636</v>
      </c>
      <c r="U2946">
        <f t="shared" si="336"/>
        <v>1078</v>
      </c>
      <c r="V2946">
        <f t="shared" si="334"/>
        <v>89.8333333333333</v>
      </c>
      <c r="W2946">
        <f t="shared" si="332"/>
        <v>9018.86666666667</v>
      </c>
      <c r="X2946">
        <f t="shared" si="337"/>
        <v>0.439629285575407</v>
      </c>
      <c r="AH2946" t="str">
        <f t="shared" si="333"/>
        <v>2nd Quality</v>
      </c>
      <c r="AJ2946">
        <f>((T2946-X2946)*2)/18.6</f>
        <v>24.5901082879635</v>
      </c>
      <c r="AK2946">
        <f t="shared" si="331"/>
        <v>186509.896</v>
      </c>
    </row>
    <row r="2947" spans="1:37">
      <c r="A2947" t="s">
        <v>3013</v>
      </c>
      <c r="B2947">
        <v>42</v>
      </c>
      <c r="C2947" t="s">
        <v>44</v>
      </c>
      <c r="D2947" t="s">
        <v>51</v>
      </c>
      <c r="E2947">
        <v>1409</v>
      </c>
      <c r="F2947">
        <v>19</v>
      </c>
      <c r="G2947">
        <v>9</v>
      </c>
      <c r="H2947">
        <v>1454.38</v>
      </c>
      <c r="I2947">
        <v>14468.5</v>
      </c>
      <c r="J2947">
        <v>63</v>
      </c>
      <c r="K2947">
        <v>1</v>
      </c>
      <c r="L2947">
        <v>20.8</v>
      </c>
      <c r="M2947">
        <v>45.2</v>
      </c>
      <c r="N2947" t="s">
        <v>61</v>
      </c>
      <c r="O2947" t="s">
        <v>75</v>
      </c>
      <c r="P2947" t="s">
        <v>58</v>
      </c>
      <c r="R2947">
        <f>SUMIF(A2947:A7946,"C02946",I2947:I7946)</f>
        <v>14468.5</v>
      </c>
      <c r="S2947" s="1">
        <v>1240.88</v>
      </c>
      <c r="T2947">
        <f t="shared" si="335"/>
        <v>229.65873015873</v>
      </c>
      <c r="U2947">
        <f t="shared" si="336"/>
        <v>2847.6</v>
      </c>
      <c r="V2947">
        <f>U2947</f>
        <v>2847.6</v>
      </c>
      <c r="W2947">
        <f t="shared" si="332"/>
        <v>5307.96</v>
      </c>
      <c r="X2947">
        <f t="shared" si="337"/>
        <v>0.968797700738459</v>
      </c>
      <c r="AH2947" t="str">
        <f t="shared" si="333"/>
        <v>3rd Quality</v>
      </c>
      <c r="AJ2947">
        <f>((T2947-X2947)*2)/20.8</f>
        <v>21.9894165824992</v>
      </c>
      <c r="AK2947">
        <f t="shared" ref="AK2947:AK3010" si="338">I2947/J2947*E2947</f>
        <v>323589.150793651</v>
      </c>
    </row>
    <row r="2948" spans="1:37">
      <c r="A2948" t="s">
        <v>3014</v>
      </c>
      <c r="B2948">
        <v>34</v>
      </c>
      <c r="C2948" t="s">
        <v>44</v>
      </c>
      <c r="D2948" t="s">
        <v>60</v>
      </c>
      <c r="E2948">
        <v>1250</v>
      </c>
      <c r="F2948">
        <v>35</v>
      </c>
      <c r="G2948">
        <v>7</v>
      </c>
      <c r="H2948">
        <v>2020.31</v>
      </c>
      <c r="I2948">
        <v>15153.01</v>
      </c>
      <c r="J2948">
        <v>67</v>
      </c>
      <c r="K2948">
        <v>1</v>
      </c>
      <c r="L2948">
        <v>9.6</v>
      </c>
      <c r="M2948">
        <v>17.5</v>
      </c>
      <c r="N2948" t="s">
        <v>63</v>
      </c>
      <c r="O2948" t="s">
        <v>47</v>
      </c>
      <c r="P2948" t="s">
        <v>66</v>
      </c>
      <c r="R2948">
        <f>SUMIF(A2948:A7947,"C02947",I2948:I7947)</f>
        <v>15153.01</v>
      </c>
      <c r="S2948" s="1">
        <v>3543.24</v>
      </c>
      <c r="T2948">
        <f t="shared" si="335"/>
        <v>226.164328358209</v>
      </c>
      <c r="U2948">
        <f t="shared" si="336"/>
        <v>1172.5</v>
      </c>
      <c r="V2948">
        <f>U2948</f>
        <v>1172.5</v>
      </c>
      <c r="W2948">
        <f t="shared" si="332"/>
        <v>5724.77333333333</v>
      </c>
      <c r="X2948">
        <f t="shared" si="337"/>
        <v>0.618716929580114</v>
      </c>
      <c r="AH2948" t="str">
        <f t="shared" si="333"/>
        <v>3rd Quality</v>
      </c>
      <c r="AJ2948">
        <f>((T2948-X2948)*2)/9.6</f>
        <v>46.988669047631</v>
      </c>
      <c r="AK2948">
        <f t="shared" si="338"/>
        <v>282705.410447761</v>
      </c>
    </row>
    <row r="2949" spans="1:37">
      <c r="A2949" t="s">
        <v>3015</v>
      </c>
      <c r="B2949">
        <v>35</v>
      </c>
      <c r="C2949" t="s">
        <v>44</v>
      </c>
      <c r="D2949" t="s">
        <v>60</v>
      </c>
      <c r="E2949">
        <v>596</v>
      </c>
      <c r="F2949">
        <v>140</v>
      </c>
      <c r="G2949">
        <v>2</v>
      </c>
      <c r="H2949">
        <v>1093.29</v>
      </c>
      <c r="I2949">
        <v>2094.32</v>
      </c>
      <c r="J2949">
        <v>20</v>
      </c>
      <c r="K2949">
        <v>1</v>
      </c>
      <c r="L2949">
        <v>34.1</v>
      </c>
      <c r="M2949">
        <v>16.4</v>
      </c>
      <c r="N2949" t="s">
        <v>57</v>
      </c>
      <c r="O2949" t="s">
        <v>53</v>
      </c>
      <c r="P2949" t="s">
        <v>68</v>
      </c>
      <c r="R2949">
        <f>SUMIF(A2949:A7948,"C02948",I2949:I7948)</f>
        <v>2094.32</v>
      </c>
      <c r="S2949" s="1">
        <v>62848.37</v>
      </c>
      <c r="T2949">
        <f t="shared" si="335"/>
        <v>104.716</v>
      </c>
      <c r="U2949">
        <f t="shared" si="336"/>
        <v>328</v>
      </c>
      <c r="V2949">
        <f>U2949</f>
        <v>328</v>
      </c>
      <c r="W2949">
        <f t="shared" si="332"/>
        <v>1062.87</v>
      </c>
      <c r="X2949">
        <f t="shared" si="337"/>
        <v>0.545143557519048</v>
      </c>
      <c r="AH2949" t="str">
        <f t="shared" si="333"/>
        <v>3rd Quality</v>
      </c>
      <c r="AJ2949">
        <f>((T2949-X2949)*2)/34.1</f>
        <v>6.10972765058539</v>
      </c>
      <c r="AK2949">
        <f t="shared" si="338"/>
        <v>62410.736</v>
      </c>
    </row>
    <row r="2950" spans="1:37">
      <c r="A2950" t="s">
        <v>3016</v>
      </c>
      <c r="B2950">
        <v>33</v>
      </c>
      <c r="C2950" t="s">
        <v>101</v>
      </c>
      <c r="D2950" t="s">
        <v>60</v>
      </c>
      <c r="E2950">
        <v>1054</v>
      </c>
      <c r="F2950">
        <v>365</v>
      </c>
      <c r="G2950">
        <v>1</v>
      </c>
      <c r="H2950">
        <v>1141.36</v>
      </c>
      <c r="I2950">
        <v>1240.88</v>
      </c>
      <c r="J2950">
        <v>9</v>
      </c>
      <c r="K2950">
        <v>0</v>
      </c>
      <c r="L2950">
        <v>15.1</v>
      </c>
      <c r="M2950">
        <v>28.9</v>
      </c>
      <c r="N2950" t="s">
        <v>46</v>
      </c>
      <c r="O2950" t="s">
        <v>47</v>
      </c>
      <c r="P2950" t="s">
        <v>48</v>
      </c>
      <c r="R2950">
        <f>SUMIF(A2950:A7949,"C02949",I2950:I7949)</f>
        <v>1240.88</v>
      </c>
      <c r="S2950" s="1">
        <v>3721.63</v>
      </c>
      <c r="T2950">
        <f t="shared" si="335"/>
        <v>137.875555555556</v>
      </c>
      <c r="U2950">
        <f t="shared" si="336"/>
        <v>260.1</v>
      </c>
      <c r="V2950">
        <f t="shared" si="334"/>
        <v>21.675</v>
      </c>
      <c r="W2950">
        <f t="shared" si="332"/>
        <v>794.413333333333</v>
      </c>
      <c r="X2950">
        <f t="shared" si="337"/>
        <v>0.923459732249247</v>
      </c>
      <c r="AH2950" t="str">
        <f t="shared" si="333"/>
        <v>3rd Quality</v>
      </c>
      <c r="AJ2950">
        <f>((T2950-X2950)*2)/15.1</f>
        <v>18.1393504401731</v>
      </c>
      <c r="AK2950">
        <f t="shared" si="338"/>
        <v>145320.835555556</v>
      </c>
    </row>
    <row r="2951" spans="1:37">
      <c r="A2951" t="s">
        <v>3017</v>
      </c>
      <c r="B2951">
        <v>19</v>
      </c>
      <c r="C2951" t="s">
        <v>56</v>
      </c>
      <c r="D2951" t="s">
        <v>51</v>
      </c>
      <c r="E2951">
        <v>701</v>
      </c>
      <c r="F2951">
        <v>278</v>
      </c>
      <c r="G2951">
        <v>2</v>
      </c>
      <c r="H2951">
        <v>1609.02</v>
      </c>
      <c r="I2951">
        <v>3543.24</v>
      </c>
      <c r="J2951">
        <v>9</v>
      </c>
      <c r="K2951">
        <v>0</v>
      </c>
      <c r="L2951">
        <v>16.7</v>
      </c>
      <c r="M2951">
        <v>49.5</v>
      </c>
      <c r="N2951" t="s">
        <v>57</v>
      </c>
      <c r="O2951" t="s">
        <v>47</v>
      </c>
      <c r="P2951" t="s">
        <v>58</v>
      </c>
      <c r="R2951">
        <f>SUMIF(A2951:A7950,"C02950",I2951:I7950)</f>
        <v>3543.24</v>
      </c>
      <c r="S2951" s="1">
        <v>63877.44</v>
      </c>
      <c r="T2951">
        <f t="shared" si="335"/>
        <v>393.693333333333</v>
      </c>
      <c r="U2951">
        <f t="shared" si="336"/>
        <v>445.5</v>
      </c>
      <c r="V2951">
        <f t="shared" si="334"/>
        <v>37.125</v>
      </c>
      <c r="W2951">
        <f t="shared" si="332"/>
        <v>1717.75333333333</v>
      </c>
      <c r="X2951">
        <f t="shared" si="337"/>
        <v>0.435668916483325</v>
      </c>
      <c r="AH2951" t="str">
        <f t="shared" si="333"/>
        <v>3rd Quality</v>
      </c>
      <c r="AJ2951">
        <f>((T2951-X2951)*2)/16.7</f>
        <v>47.096726277467</v>
      </c>
      <c r="AK2951">
        <f t="shared" si="338"/>
        <v>275979.026666667</v>
      </c>
    </row>
    <row r="2952" spans="1:37">
      <c r="A2952" t="s">
        <v>3018</v>
      </c>
      <c r="B2952">
        <v>18</v>
      </c>
      <c r="C2952" t="s">
        <v>50</v>
      </c>
      <c r="D2952" t="s">
        <v>45</v>
      </c>
      <c r="E2952">
        <v>1317</v>
      </c>
      <c r="F2952">
        <v>9</v>
      </c>
      <c r="G2952">
        <v>21</v>
      </c>
      <c r="H2952">
        <v>2698.67</v>
      </c>
      <c r="I2952">
        <v>62848.37</v>
      </c>
      <c r="J2952">
        <v>140</v>
      </c>
      <c r="K2952">
        <v>2</v>
      </c>
      <c r="L2952">
        <v>5</v>
      </c>
      <c r="M2952">
        <v>46.7</v>
      </c>
      <c r="N2952" t="s">
        <v>63</v>
      </c>
      <c r="O2952" t="s">
        <v>47</v>
      </c>
      <c r="P2952" t="s">
        <v>58</v>
      </c>
      <c r="R2952">
        <f>SUMIF(A2952:A7951,"C02951",I2952:I7951)</f>
        <v>62848.37</v>
      </c>
      <c r="S2952" s="1">
        <v>3821.98</v>
      </c>
      <c r="T2952">
        <f t="shared" si="335"/>
        <v>448.916928571429</v>
      </c>
      <c r="U2952">
        <f t="shared" si="336"/>
        <v>6538</v>
      </c>
      <c r="V2952">
        <f>U2952</f>
        <v>6538</v>
      </c>
      <c r="W2952">
        <f t="shared" si="332"/>
        <v>21849.3466666667</v>
      </c>
      <c r="X2952">
        <f t="shared" si="337"/>
        <v>0.488018171914313</v>
      </c>
      <c r="AH2952" t="str">
        <f t="shared" si="333"/>
        <v>1st Quality</v>
      </c>
      <c r="AJ2952">
        <f>((T2952-X2952)*2)/5</f>
        <v>179.371564159806</v>
      </c>
      <c r="AK2952">
        <f t="shared" si="338"/>
        <v>591223.594928571</v>
      </c>
    </row>
    <row r="2953" spans="1:37">
      <c r="A2953" t="s">
        <v>3019</v>
      </c>
      <c r="B2953">
        <v>42</v>
      </c>
      <c r="C2953" t="s">
        <v>50</v>
      </c>
      <c r="D2953" t="s">
        <v>60</v>
      </c>
      <c r="E2953">
        <v>1380</v>
      </c>
      <c r="F2953">
        <v>101</v>
      </c>
      <c r="G2953">
        <v>3</v>
      </c>
      <c r="H2953">
        <v>1131.77</v>
      </c>
      <c r="I2953">
        <v>3721.63</v>
      </c>
      <c r="J2953">
        <v>27</v>
      </c>
      <c r="K2953">
        <v>0</v>
      </c>
      <c r="L2953">
        <v>34.1</v>
      </c>
      <c r="M2953">
        <v>35.7</v>
      </c>
      <c r="N2953" t="s">
        <v>57</v>
      </c>
      <c r="O2953" t="s">
        <v>47</v>
      </c>
      <c r="P2953" t="s">
        <v>58</v>
      </c>
      <c r="R2953">
        <f>SUMIF(A2953:A7952,"C02952",I2953:I7952)</f>
        <v>3721.63</v>
      </c>
      <c r="S2953" s="1">
        <v>43377.34</v>
      </c>
      <c r="T2953">
        <f t="shared" si="335"/>
        <v>137.838148148148</v>
      </c>
      <c r="U2953">
        <f t="shared" si="336"/>
        <v>963.9</v>
      </c>
      <c r="V2953">
        <f t="shared" si="334"/>
        <v>80.325</v>
      </c>
      <c r="W2953">
        <f t="shared" ref="W2953:W3016" si="339">(H2953+I2953+1)/3</f>
        <v>1618.13333333333</v>
      </c>
      <c r="X2953">
        <f t="shared" si="337"/>
        <v>1.21932901561271</v>
      </c>
      <c r="AH2953" t="str">
        <f t="shared" si="333"/>
        <v>3rd Quality</v>
      </c>
      <c r="AJ2953">
        <f>((T2953-X2953)*2)/34.1</f>
        <v>8.01283396671761</v>
      </c>
      <c r="AK2953">
        <f t="shared" si="338"/>
        <v>190216.644444444</v>
      </c>
    </row>
    <row r="2954" spans="1:37">
      <c r="A2954" t="s">
        <v>3020</v>
      </c>
      <c r="B2954">
        <v>34</v>
      </c>
      <c r="C2954" t="s">
        <v>50</v>
      </c>
      <c r="D2954" t="s">
        <v>45</v>
      </c>
      <c r="E2954">
        <v>1223</v>
      </c>
      <c r="F2954">
        <v>49</v>
      </c>
      <c r="G2954">
        <v>16</v>
      </c>
      <c r="H2954">
        <v>3813.53</v>
      </c>
      <c r="I2954">
        <v>63877.44</v>
      </c>
      <c r="J2954">
        <v>116</v>
      </c>
      <c r="K2954">
        <v>0</v>
      </c>
      <c r="L2954">
        <v>10.3</v>
      </c>
      <c r="M2954">
        <v>45.1</v>
      </c>
      <c r="N2954" t="s">
        <v>78</v>
      </c>
      <c r="O2954" t="s">
        <v>75</v>
      </c>
      <c r="P2954" t="s">
        <v>58</v>
      </c>
      <c r="R2954">
        <f>SUMIF(A2954:A7953,"C02953",I2954:I7953)</f>
        <v>63877.44</v>
      </c>
      <c r="S2954" s="1">
        <v>3813.97</v>
      </c>
      <c r="T2954">
        <f t="shared" si="335"/>
        <v>550.667586206897</v>
      </c>
      <c r="U2954">
        <f t="shared" si="336"/>
        <v>5231.6</v>
      </c>
      <c r="V2954">
        <f t="shared" si="334"/>
        <v>435.966666666667</v>
      </c>
      <c r="W2954">
        <f t="shared" si="339"/>
        <v>22563.99</v>
      </c>
      <c r="X2954">
        <f t="shared" si="337"/>
        <v>0.320700243606317</v>
      </c>
      <c r="AH2954" t="str">
        <f t="shared" si="333"/>
        <v>2nd Quality</v>
      </c>
      <c r="AJ2954">
        <f>((T2954-X2954)*2)/10.3</f>
        <v>106.863473002581</v>
      </c>
      <c r="AK2954">
        <f t="shared" si="338"/>
        <v>673466.457931034</v>
      </c>
    </row>
    <row r="2955" spans="1:37">
      <c r="A2955" t="s">
        <v>3021</v>
      </c>
      <c r="B2955">
        <v>34</v>
      </c>
      <c r="C2955" t="s">
        <v>44</v>
      </c>
      <c r="D2955" t="s">
        <v>60</v>
      </c>
      <c r="E2955">
        <v>711</v>
      </c>
      <c r="F2955">
        <v>365</v>
      </c>
      <c r="G2955">
        <v>2</v>
      </c>
      <c r="H2955">
        <v>1784.31</v>
      </c>
      <c r="I2955">
        <v>3821.98</v>
      </c>
      <c r="J2955">
        <v>14</v>
      </c>
      <c r="K2955">
        <v>1</v>
      </c>
      <c r="L2955">
        <v>9</v>
      </c>
      <c r="M2955">
        <v>51.9</v>
      </c>
      <c r="N2955" t="s">
        <v>52</v>
      </c>
      <c r="O2955" t="s">
        <v>53</v>
      </c>
      <c r="P2955" t="s">
        <v>68</v>
      </c>
      <c r="R2955">
        <f>SUMIF(A2955:A7954,"C02954",I2955:I7954)</f>
        <v>3821.98</v>
      </c>
      <c r="S2955" s="1">
        <v>73915.43</v>
      </c>
      <c r="T2955">
        <f t="shared" si="335"/>
        <v>272.998571428571</v>
      </c>
      <c r="U2955">
        <f t="shared" si="336"/>
        <v>726.6</v>
      </c>
      <c r="V2955">
        <f>U2955</f>
        <v>726.6</v>
      </c>
      <c r="W2955">
        <f t="shared" si="339"/>
        <v>1869.09666666667</v>
      </c>
      <c r="X2955">
        <f t="shared" si="337"/>
        <v>0.398473359449871</v>
      </c>
      <c r="AH2955" t="str">
        <f t="shared" si="333"/>
        <v>3rd Quality</v>
      </c>
      <c r="AJ2955">
        <f>((T2955-X2955)*2)/9</f>
        <v>60.5777995709158</v>
      </c>
      <c r="AK2955">
        <f t="shared" si="338"/>
        <v>194101.984285714</v>
      </c>
    </row>
    <row r="2956" spans="1:37">
      <c r="A2956" t="s">
        <v>3022</v>
      </c>
      <c r="B2956">
        <v>44</v>
      </c>
      <c r="C2956" t="s">
        <v>44</v>
      </c>
      <c r="D2956" t="s">
        <v>60</v>
      </c>
      <c r="E2956">
        <v>800</v>
      </c>
      <c r="F2956">
        <v>12</v>
      </c>
      <c r="G2956">
        <v>3</v>
      </c>
      <c r="H2956">
        <v>13963.62</v>
      </c>
      <c r="I2956">
        <v>43377.34</v>
      </c>
      <c r="J2956">
        <v>16</v>
      </c>
      <c r="K2956">
        <v>1</v>
      </c>
      <c r="L2956">
        <v>5.2</v>
      </c>
      <c r="M2956">
        <v>11.6</v>
      </c>
      <c r="N2956" t="s">
        <v>46</v>
      </c>
      <c r="O2956" t="s">
        <v>75</v>
      </c>
      <c r="P2956" t="s">
        <v>58</v>
      </c>
      <c r="R2956">
        <f>SUMIF(A2956:A7955,"C02955",I2956:I7955)</f>
        <v>43377.34</v>
      </c>
      <c r="S2956" s="1">
        <v>73683.47</v>
      </c>
      <c r="T2956">
        <f t="shared" si="335"/>
        <v>2711.08375</v>
      </c>
      <c r="U2956">
        <f t="shared" si="336"/>
        <v>185.6</v>
      </c>
      <c r="V2956">
        <f>U2956</f>
        <v>185.6</v>
      </c>
      <c r="W2956">
        <f t="shared" si="339"/>
        <v>19113.9866666667</v>
      </c>
      <c r="X2956">
        <f t="shared" si="337"/>
        <v>0.0572917338054172</v>
      </c>
      <c r="AH2956" t="str">
        <f t="shared" si="333"/>
        <v>3rd Quality</v>
      </c>
      <c r="AJ2956">
        <f>((T2956-X2956)*2)/5.2</f>
        <v>1042.70248394854</v>
      </c>
      <c r="AK2956">
        <f t="shared" si="338"/>
        <v>2168867</v>
      </c>
    </row>
    <row r="2957" spans="1:37">
      <c r="A2957" t="s">
        <v>3023</v>
      </c>
      <c r="B2957">
        <v>32</v>
      </c>
      <c r="C2957" t="s">
        <v>44</v>
      </c>
      <c r="D2957" t="s">
        <v>60</v>
      </c>
      <c r="E2957">
        <v>1019</v>
      </c>
      <c r="F2957">
        <v>38</v>
      </c>
      <c r="G2957">
        <v>6</v>
      </c>
      <c r="H2957">
        <v>664.41</v>
      </c>
      <c r="I2957">
        <v>3813.97</v>
      </c>
      <c r="J2957">
        <v>48</v>
      </c>
      <c r="K2957">
        <v>0</v>
      </c>
      <c r="L2957">
        <v>14.8</v>
      </c>
      <c r="M2957">
        <v>33.8</v>
      </c>
      <c r="N2957" t="s">
        <v>63</v>
      </c>
      <c r="O2957" t="s">
        <v>47</v>
      </c>
      <c r="P2957" t="s">
        <v>58</v>
      </c>
      <c r="R2957">
        <f>SUMIF(A2957:A7956,"C02956",I2957:I7956)</f>
        <v>3813.97</v>
      </c>
      <c r="S2957" s="1">
        <v>8766.17</v>
      </c>
      <c r="T2957">
        <f t="shared" si="335"/>
        <v>79.4577083333333</v>
      </c>
      <c r="U2957">
        <f t="shared" si="336"/>
        <v>1622.4</v>
      </c>
      <c r="V2957">
        <f t="shared" si="334"/>
        <v>135.2</v>
      </c>
      <c r="W2957">
        <f t="shared" si="339"/>
        <v>1493.12666666667</v>
      </c>
      <c r="X2957">
        <f t="shared" si="337"/>
        <v>1.53369154588281</v>
      </c>
      <c r="AH2957" t="str">
        <f t="shared" si="333"/>
        <v>3rd Quality</v>
      </c>
      <c r="AJ2957">
        <f>((T2957-X2957)*2)/14.8</f>
        <v>10.5302725388447</v>
      </c>
      <c r="AK2957">
        <f t="shared" si="338"/>
        <v>80967.4047916667</v>
      </c>
    </row>
    <row r="2958" spans="1:37">
      <c r="A2958" t="s">
        <v>3024</v>
      </c>
      <c r="B2958">
        <v>43</v>
      </c>
      <c r="C2958" t="s">
        <v>50</v>
      </c>
      <c r="D2958" t="s">
        <v>45</v>
      </c>
      <c r="E2958">
        <v>1404</v>
      </c>
      <c r="F2958">
        <v>14</v>
      </c>
      <c r="G2958">
        <v>27</v>
      </c>
      <c r="H2958">
        <v>2544.57</v>
      </c>
      <c r="I2958">
        <v>73915.43</v>
      </c>
      <c r="J2958">
        <v>193</v>
      </c>
      <c r="K2958">
        <v>3</v>
      </c>
      <c r="L2958">
        <v>9.1</v>
      </c>
      <c r="M2958">
        <v>17</v>
      </c>
      <c r="N2958" t="s">
        <v>81</v>
      </c>
      <c r="O2958" t="s">
        <v>53</v>
      </c>
      <c r="P2958" t="s">
        <v>58</v>
      </c>
      <c r="R2958">
        <f>SUMIF(A2958:A7957,"C02957",I2958:I7957)</f>
        <v>73915.43</v>
      </c>
      <c r="S2958" s="1">
        <v>4037.24</v>
      </c>
      <c r="T2958">
        <f t="shared" si="335"/>
        <v>382.981502590674</v>
      </c>
      <c r="U2958">
        <f t="shared" si="336"/>
        <v>3281</v>
      </c>
      <c r="V2958">
        <f>U2958</f>
        <v>3281</v>
      </c>
      <c r="W2958">
        <f t="shared" si="339"/>
        <v>25487</v>
      </c>
      <c r="X2958">
        <f t="shared" si="337"/>
        <v>0.551763166271708</v>
      </c>
      <c r="AH2958" t="str">
        <f t="shared" ref="AH2958:AH3021" si="340">IF(AND(W2958&gt;=12550,B2958&lt;=33,E2958&gt;=915),"1st Quality",IF(AND(W2958&gt;=6275,B2958&lt;=43,E2958&gt;=457),"2nd Quality","3rd Quality"))</f>
        <v>2nd Quality</v>
      </c>
      <c r="AJ2958">
        <f>((T2958-X2958)*2)/9.1</f>
        <v>84.0504921811873</v>
      </c>
      <c r="AK2958">
        <f t="shared" si="338"/>
        <v>537706.029637306</v>
      </c>
    </row>
    <row r="2959" spans="1:37">
      <c r="A2959" t="s">
        <v>3025</v>
      </c>
      <c r="B2959">
        <v>23</v>
      </c>
      <c r="C2959" t="s">
        <v>50</v>
      </c>
      <c r="D2959" t="s">
        <v>60</v>
      </c>
      <c r="E2959">
        <v>745</v>
      </c>
      <c r="F2959">
        <v>1</v>
      </c>
      <c r="G2959">
        <v>30</v>
      </c>
      <c r="H2959">
        <v>2627.94</v>
      </c>
      <c r="I2959">
        <v>73683.47</v>
      </c>
      <c r="J2959">
        <v>127</v>
      </c>
      <c r="K2959">
        <v>0</v>
      </c>
      <c r="L2959">
        <v>13.8</v>
      </c>
      <c r="M2959">
        <v>69.7</v>
      </c>
      <c r="N2959" t="s">
        <v>63</v>
      </c>
      <c r="O2959" t="s">
        <v>53</v>
      </c>
      <c r="P2959" t="s">
        <v>66</v>
      </c>
      <c r="R2959">
        <f>SUMIF(A2959:A7958,"C02958",I2959:I7958)</f>
        <v>73683.47</v>
      </c>
      <c r="S2959" s="1">
        <v>4696.39</v>
      </c>
      <c r="T2959">
        <f t="shared" si="335"/>
        <v>580.184803149606</v>
      </c>
      <c r="U2959">
        <f t="shared" si="336"/>
        <v>8851.9</v>
      </c>
      <c r="V2959">
        <f t="shared" si="334"/>
        <v>737.658333333333</v>
      </c>
      <c r="W2959">
        <f t="shared" si="339"/>
        <v>25437.47</v>
      </c>
      <c r="X2959">
        <f t="shared" si="337"/>
        <v>0.283492012755238</v>
      </c>
      <c r="AH2959" t="str">
        <f t="shared" si="340"/>
        <v>2nd Quality</v>
      </c>
      <c r="AJ2959">
        <f>((T2959-X2959)*2)/13.8</f>
        <v>84.043668280703</v>
      </c>
      <c r="AK2959">
        <f t="shared" si="338"/>
        <v>432237.678346457</v>
      </c>
    </row>
    <row r="2960" spans="1:37">
      <c r="A2960" t="s">
        <v>3026</v>
      </c>
      <c r="B2960">
        <v>55</v>
      </c>
      <c r="C2960" t="s">
        <v>56</v>
      </c>
      <c r="D2960" t="s">
        <v>51</v>
      </c>
      <c r="E2960">
        <v>975</v>
      </c>
      <c r="F2960">
        <v>79</v>
      </c>
      <c r="G2960">
        <v>6</v>
      </c>
      <c r="H2960">
        <v>1485.52</v>
      </c>
      <c r="I2960">
        <v>8766.17</v>
      </c>
      <c r="J2960">
        <v>29</v>
      </c>
      <c r="K2960">
        <v>0</v>
      </c>
      <c r="L2960">
        <v>23.3</v>
      </c>
      <c r="M2960">
        <v>47.5</v>
      </c>
      <c r="N2960" t="s">
        <v>57</v>
      </c>
      <c r="O2960" t="s">
        <v>75</v>
      </c>
      <c r="P2960" t="s">
        <v>68</v>
      </c>
      <c r="R2960">
        <f>SUMIF(A2960:A7959,"C02959",I2960:I7959)</f>
        <v>8766.17</v>
      </c>
      <c r="S2960" s="1">
        <v>1105.42</v>
      </c>
      <c r="T2960">
        <f t="shared" si="335"/>
        <v>302.281724137931</v>
      </c>
      <c r="U2960">
        <f t="shared" si="336"/>
        <v>1377.5</v>
      </c>
      <c r="V2960">
        <f t="shared" si="334"/>
        <v>114.791666666667</v>
      </c>
      <c r="W2960">
        <f t="shared" si="339"/>
        <v>3417.56333333333</v>
      </c>
      <c r="X2960">
        <f t="shared" si="337"/>
        <v>0.656335828531423</v>
      </c>
      <c r="AH2960" t="str">
        <f t="shared" si="340"/>
        <v>3rd Quality</v>
      </c>
      <c r="AJ2960">
        <f>((T2960-X2960)*2)/23.3</f>
        <v>25.8905912711931</v>
      </c>
      <c r="AK2960">
        <f t="shared" si="338"/>
        <v>294724.681034483</v>
      </c>
    </row>
    <row r="2961" spans="1:37">
      <c r="A2961" t="s">
        <v>3027</v>
      </c>
      <c r="B2961">
        <v>59</v>
      </c>
      <c r="C2961" t="s">
        <v>50</v>
      </c>
      <c r="D2961" t="s">
        <v>60</v>
      </c>
      <c r="E2961">
        <v>1176</v>
      </c>
      <c r="F2961">
        <v>95</v>
      </c>
      <c r="G2961">
        <v>2</v>
      </c>
      <c r="H2961">
        <v>2097.4</v>
      </c>
      <c r="I2961">
        <v>4037.24</v>
      </c>
      <c r="J2961">
        <v>14</v>
      </c>
      <c r="K2961">
        <v>0</v>
      </c>
      <c r="L2961">
        <v>20</v>
      </c>
      <c r="M2961">
        <v>32.4</v>
      </c>
      <c r="N2961" t="s">
        <v>46</v>
      </c>
      <c r="O2961" t="s">
        <v>47</v>
      </c>
      <c r="P2961" t="s">
        <v>58</v>
      </c>
      <c r="R2961">
        <f>SUMIF(A2961:A7960,"C02960",I2961:I7960)</f>
        <v>4037.24</v>
      </c>
      <c r="S2961" s="1">
        <v>122421.6</v>
      </c>
      <c r="T2961">
        <f t="shared" si="335"/>
        <v>288.374285714286</v>
      </c>
      <c r="U2961">
        <f t="shared" si="336"/>
        <v>453.6</v>
      </c>
      <c r="V2961">
        <f t="shared" si="334"/>
        <v>37.8</v>
      </c>
      <c r="W2961">
        <f t="shared" si="339"/>
        <v>2045.21333333333</v>
      </c>
      <c r="X2961">
        <f t="shared" si="337"/>
        <v>0.560694192810146</v>
      </c>
      <c r="AH2961" t="str">
        <f t="shared" si="340"/>
        <v>3rd Quality</v>
      </c>
      <c r="AJ2961">
        <f>((T2961-X2961)*2)/20</f>
        <v>28.7813591521476</v>
      </c>
      <c r="AK2961">
        <f t="shared" si="338"/>
        <v>339128.16</v>
      </c>
    </row>
    <row r="2962" spans="1:37">
      <c r="A2962" t="s">
        <v>3028</v>
      </c>
      <c r="B2962">
        <v>45</v>
      </c>
      <c r="C2962" t="s">
        <v>44</v>
      </c>
      <c r="D2962" t="s">
        <v>51</v>
      </c>
      <c r="E2962">
        <v>776</v>
      </c>
      <c r="F2962">
        <v>55</v>
      </c>
      <c r="G2962">
        <v>6</v>
      </c>
      <c r="H2962">
        <v>849.58</v>
      </c>
      <c r="I2962">
        <v>4696.39</v>
      </c>
      <c r="J2962">
        <v>31</v>
      </c>
      <c r="K2962">
        <v>0</v>
      </c>
      <c r="L2962">
        <v>36.4</v>
      </c>
      <c r="M2962">
        <v>38.4</v>
      </c>
      <c r="N2962" t="s">
        <v>61</v>
      </c>
      <c r="O2962" t="s">
        <v>47</v>
      </c>
      <c r="P2962" t="s">
        <v>68</v>
      </c>
      <c r="R2962">
        <f>SUMIF(A2962:A7961,"C02961",I2962:I7961)</f>
        <v>4696.39</v>
      </c>
      <c r="S2962" s="1">
        <v>10038.34</v>
      </c>
      <c r="T2962">
        <f t="shared" si="335"/>
        <v>151.496451612903</v>
      </c>
      <c r="U2962">
        <f t="shared" si="336"/>
        <v>1190.4</v>
      </c>
      <c r="V2962">
        <f t="shared" ref="V2962:V3025" si="341">U2962/12</f>
        <v>99.2</v>
      </c>
      <c r="W2962">
        <f t="shared" si="339"/>
        <v>1848.99</v>
      </c>
      <c r="X2962">
        <f t="shared" si="337"/>
        <v>0.913392499823442</v>
      </c>
      <c r="AH2962" t="str">
        <f t="shared" si="340"/>
        <v>3rd Quality</v>
      </c>
      <c r="AJ2962">
        <f>((T2962-X2962)*2)/36.4</f>
        <v>8.27379445676261</v>
      </c>
      <c r="AK2962">
        <f t="shared" si="338"/>
        <v>117561.246451613</v>
      </c>
    </row>
    <row r="2963" spans="1:37">
      <c r="A2963" t="s">
        <v>3029</v>
      </c>
      <c r="B2963">
        <v>47</v>
      </c>
      <c r="C2963" t="s">
        <v>44</v>
      </c>
      <c r="D2963" t="s">
        <v>60</v>
      </c>
      <c r="E2963">
        <v>709</v>
      </c>
      <c r="F2963">
        <v>71</v>
      </c>
      <c r="G2963">
        <v>1</v>
      </c>
      <c r="H2963">
        <v>1031.43</v>
      </c>
      <c r="I2963">
        <v>1105.42</v>
      </c>
      <c r="J2963">
        <v>10</v>
      </c>
      <c r="K2963">
        <v>0</v>
      </c>
      <c r="L2963">
        <v>11.3</v>
      </c>
      <c r="M2963">
        <v>16.4</v>
      </c>
      <c r="N2963" t="s">
        <v>78</v>
      </c>
      <c r="O2963" t="s">
        <v>47</v>
      </c>
      <c r="P2963" t="s">
        <v>58</v>
      </c>
      <c r="R2963">
        <f>SUMIF(A2963:A7962,"C02962",I2963:I7962)</f>
        <v>1105.42</v>
      </c>
      <c r="S2963" s="1">
        <v>10821.56</v>
      </c>
      <c r="T2963">
        <f t="shared" si="335"/>
        <v>110.542</v>
      </c>
      <c r="U2963">
        <f t="shared" si="336"/>
        <v>164</v>
      </c>
      <c r="V2963">
        <f t="shared" si="341"/>
        <v>13.6666666666667</v>
      </c>
      <c r="W2963">
        <f t="shared" si="339"/>
        <v>712.616666666667</v>
      </c>
      <c r="X2963">
        <f t="shared" si="337"/>
        <v>0.687395169812784</v>
      </c>
      <c r="AH2963" t="str">
        <f t="shared" si="340"/>
        <v>3rd Quality</v>
      </c>
      <c r="AJ2963">
        <f>((T2963-X2963)*2)/11.3</f>
        <v>19.4432928902986</v>
      </c>
      <c r="AK2963">
        <f t="shared" si="338"/>
        <v>78374.278</v>
      </c>
    </row>
    <row r="2964" spans="1:37">
      <c r="A2964" t="s">
        <v>3030</v>
      </c>
      <c r="B2964">
        <v>34</v>
      </c>
      <c r="C2964" t="s">
        <v>50</v>
      </c>
      <c r="D2964" t="s">
        <v>60</v>
      </c>
      <c r="E2964">
        <v>796</v>
      </c>
      <c r="F2964">
        <v>20</v>
      </c>
      <c r="G2964">
        <v>33</v>
      </c>
      <c r="H2964">
        <v>3734.91</v>
      </c>
      <c r="I2964">
        <v>122421.6</v>
      </c>
      <c r="J2964">
        <v>171</v>
      </c>
      <c r="K2964">
        <v>4</v>
      </c>
      <c r="L2964">
        <v>5.9</v>
      </c>
      <c r="M2964">
        <v>69.9</v>
      </c>
      <c r="N2964" t="s">
        <v>61</v>
      </c>
      <c r="O2964" t="s">
        <v>47</v>
      </c>
      <c r="P2964" t="s">
        <v>58</v>
      </c>
      <c r="R2964">
        <f>SUMIF(A2964:A7963,"C02963",I2964:I7963)</f>
        <v>122421.6</v>
      </c>
      <c r="S2964" s="1">
        <v>35508.74</v>
      </c>
      <c r="T2964">
        <f t="shared" si="335"/>
        <v>715.915789473684</v>
      </c>
      <c r="U2964">
        <f t="shared" si="336"/>
        <v>11952.9</v>
      </c>
      <c r="V2964">
        <f>U2964</f>
        <v>11952.9</v>
      </c>
      <c r="W2964">
        <f t="shared" si="339"/>
        <v>42052.5033333333</v>
      </c>
      <c r="X2964">
        <f t="shared" si="337"/>
        <v>0.213124278764415</v>
      </c>
      <c r="AH2964" t="str">
        <f t="shared" si="340"/>
        <v>2nd Quality</v>
      </c>
      <c r="AJ2964">
        <f>((T2964-X2964)*2)/5.9</f>
        <v>242.61107294743</v>
      </c>
      <c r="AK2964">
        <f t="shared" si="338"/>
        <v>569868.968421053</v>
      </c>
    </row>
    <row r="2965" spans="1:37">
      <c r="A2965" t="s">
        <v>3031</v>
      </c>
      <c r="B2965">
        <v>46</v>
      </c>
      <c r="C2965" t="s">
        <v>50</v>
      </c>
      <c r="D2965" t="s">
        <v>60</v>
      </c>
      <c r="E2965">
        <v>851</v>
      </c>
      <c r="F2965">
        <v>46</v>
      </c>
      <c r="G2965">
        <v>1</v>
      </c>
      <c r="H2965">
        <v>9973.74</v>
      </c>
      <c r="I2965">
        <v>10038.34</v>
      </c>
      <c r="J2965">
        <v>10</v>
      </c>
      <c r="K2965">
        <v>0</v>
      </c>
      <c r="L2965">
        <v>0</v>
      </c>
      <c r="M2965">
        <v>47.3</v>
      </c>
      <c r="N2965" t="s">
        <v>81</v>
      </c>
      <c r="O2965" t="s">
        <v>53</v>
      </c>
      <c r="P2965" t="s">
        <v>58</v>
      </c>
      <c r="R2965">
        <f>SUMIF(A2965:A7964,"C02964",I2965:I7964)</f>
        <v>10038.34</v>
      </c>
      <c r="S2965" s="1">
        <v>10045.93</v>
      </c>
      <c r="T2965">
        <f t="shared" si="335"/>
        <v>1003.834</v>
      </c>
      <c r="U2965">
        <f t="shared" si="336"/>
        <v>473</v>
      </c>
      <c r="V2965">
        <f t="shared" si="341"/>
        <v>39.4166666666667</v>
      </c>
      <c r="W2965">
        <f t="shared" si="339"/>
        <v>6671.02666666667</v>
      </c>
      <c r="X2965">
        <f t="shared" si="337"/>
        <v>0.0853240609841444</v>
      </c>
      <c r="AH2965" t="str">
        <f t="shared" si="340"/>
        <v>3rd Quality</v>
      </c>
      <c r="AJ2965">
        <f>((T2965-X2965)*2)</f>
        <v>2007.49735187803</v>
      </c>
      <c r="AK2965">
        <f t="shared" si="338"/>
        <v>854262.734</v>
      </c>
    </row>
    <row r="2966" spans="1:37">
      <c r="A2966" t="s">
        <v>3032</v>
      </c>
      <c r="B2966">
        <v>30</v>
      </c>
      <c r="C2966" t="s">
        <v>50</v>
      </c>
      <c r="D2966" t="s">
        <v>45</v>
      </c>
      <c r="E2966">
        <v>471</v>
      </c>
      <c r="F2966">
        <v>73</v>
      </c>
      <c r="G2966">
        <v>14</v>
      </c>
      <c r="H2966">
        <v>772.59</v>
      </c>
      <c r="I2966">
        <v>10821.56</v>
      </c>
      <c r="J2966">
        <v>38</v>
      </c>
      <c r="K2966">
        <v>0</v>
      </c>
      <c r="L2966">
        <v>19.3</v>
      </c>
      <c r="M2966">
        <v>15.4</v>
      </c>
      <c r="N2966" t="s">
        <v>61</v>
      </c>
      <c r="O2966" t="s">
        <v>47</v>
      </c>
      <c r="P2966" t="s">
        <v>48</v>
      </c>
      <c r="R2966">
        <f>SUMIF(A2966:A7965,"C02965",I2966:I7965)</f>
        <v>10821.56</v>
      </c>
      <c r="S2966" s="1">
        <v>30369</v>
      </c>
      <c r="T2966">
        <f t="shared" ref="T2966:T3029" si="342">I2966/J2966</f>
        <v>284.777894736842</v>
      </c>
      <c r="U2966">
        <f t="shared" si="336"/>
        <v>585.2</v>
      </c>
      <c r="V2966">
        <f t="shared" si="341"/>
        <v>48.7666666666667</v>
      </c>
      <c r="W2966">
        <f t="shared" si="339"/>
        <v>3865.05</v>
      </c>
      <c r="X2966">
        <f t="shared" si="337"/>
        <v>0.60963771211121</v>
      </c>
      <c r="AH2966" t="str">
        <f t="shared" si="340"/>
        <v>3rd Quality</v>
      </c>
      <c r="AJ2966">
        <f>((T2966-X2966)*2)/19.3</f>
        <v>29.4474877745835</v>
      </c>
      <c r="AK2966">
        <f t="shared" si="338"/>
        <v>134130.388421053</v>
      </c>
    </row>
    <row r="2967" spans="1:37">
      <c r="A2967" t="s">
        <v>3033</v>
      </c>
      <c r="B2967">
        <v>48</v>
      </c>
      <c r="C2967" t="s">
        <v>50</v>
      </c>
      <c r="D2967" t="s">
        <v>45</v>
      </c>
      <c r="E2967">
        <v>461</v>
      </c>
      <c r="F2967">
        <v>80</v>
      </c>
      <c r="G2967">
        <v>4</v>
      </c>
      <c r="H2967">
        <v>8491.27</v>
      </c>
      <c r="I2967">
        <v>35508.74</v>
      </c>
      <c r="J2967">
        <v>36</v>
      </c>
      <c r="K2967">
        <v>0</v>
      </c>
      <c r="L2967">
        <v>1.7</v>
      </c>
      <c r="M2967">
        <v>18.1</v>
      </c>
      <c r="N2967" t="s">
        <v>61</v>
      </c>
      <c r="O2967" t="s">
        <v>47</v>
      </c>
      <c r="P2967" t="s">
        <v>68</v>
      </c>
      <c r="R2967">
        <f>SUMIF(A2967:A7966,"C02966",I2967:I7966)</f>
        <v>35508.74</v>
      </c>
      <c r="S2967" s="1">
        <v>5919.09</v>
      </c>
      <c r="T2967">
        <f t="shared" si="342"/>
        <v>986.353888888889</v>
      </c>
      <c r="U2967">
        <f t="shared" si="336"/>
        <v>651.6</v>
      </c>
      <c r="V2967">
        <f t="shared" si="341"/>
        <v>54.3</v>
      </c>
      <c r="W2967">
        <f t="shared" si="339"/>
        <v>14667.0033333333</v>
      </c>
      <c r="X2967">
        <f t="shared" si="337"/>
        <v>0.0542910542239265</v>
      </c>
      <c r="AH2967" t="str">
        <f t="shared" si="340"/>
        <v>3rd Quality</v>
      </c>
      <c r="AJ2967">
        <f>((T2967-X2967)*2)/1.7</f>
        <v>1160.35246804078</v>
      </c>
      <c r="AK2967">
        <f t="shared" si="338"/>
        <v>454709.142777778</v>
      </c>
    </row>
    <row r="2968" spans="1:37">
      <c r="A2968" t="s">
        <v>3034</v>
      </c>
      <c r="B2968">
        <v>18</v>
      </c>
      <c r="C2968" t="s">
        <v>44</v>
      </c>
      <c r="D2968" t="s">
        <v>45</v>
      </c>
      <c r="E2968">
        <v>1132</v>
      </c>
      <c r="F2968">
        <v>42</v>
      </c>
      <c r="G2968">
        <v>7</v>
      </c>
      <c r="H2968">
        <v>1556.18</v>
      </c>
      <c r="I2968">
        <v>10045.93</v>
      </c>
      <c r="J2968">
        <v>53</v>
      </c>
      <c r="K2968">
        <v>0</v>
      </c>
      <c r="L2968">
        <v>26.6</v>
      </c>
      <c r="M2968">
        <v>12.6</v>
      </c>
      <c r="N2968" t="s">
        <v>52</v>
      </c>
      <c r="O2968" t="s">
        <v>47</v>
      </c>
      <c r="P2968" t="s">
        <v>58</v>
      </c>
      <c r="R2968">
        <f>SUMIF(A2968:A7967,"C02967",I2968:I7967)</f>
        <v>10045.93</v>
      </c>
      <c r="S2968" s="1">
        <v>81764.78</v>
      </c>
      <c r="T2968">
        <f t="shared" si="342"/>
        <v>189.545849056604</v>
      </c>
      <c r="U2968">
        <f t="shared" si="336"/>
        <v>667.8</v>
      </c>
      <c r="V2968">
        <f t="shared" si="341"/>
        <v>55.65</v>
      </c>
      <c r="W2968">
        <f t="shared" si="339"/>
        <v>3867.70333333333</v>
      </c>
      <c r="X2968">
        <f t="shared" si="337"/>
        <v>0.727422277628552</v>
      </c>
      <c r="AH2968" t="str">
        <f t="shared" si="340"/>
        <v>3rd Quality</v>
      </c>
      <c r="AJ2968">
        <f>((T2968-X2968)*2)/26.6</f>
        <v>14.1968741939079</v>
      </c>
      <c r="AK2968">
        <f t="shared" si="338"/>
        <v>214565.901132075</v>
      </c>
    </row>
    <row r="2969" spans="1:37">
      <c r="A2969" t="s">
        <v>3035</v>
      </c>
      <c r="B2969">
        <v>22</v>
      </c>
      <c r="C2969" t="s">
        <v>50</v>
      </c>
      <c r="D2969" t="s">
        <v>60</v>
      </c>
      <c r="E2969">
        <v>1374</v>
      </c>
      <c r="F2969">
        <v>23</v>
      </c>
      <c r="G2969">
        <v>12</v>
      </c>
      <c r="H2969">
        <v>2530.26</v>
      </c>
      <c r="I2969">
        <v>30369</v>
      </c>
      <c r="J2969">
        <v>28</v>
      </c>
      <c r="K2969">
        <v>0</v>
      </c>
      <c r="L2969">
        <v>25.2</v>
      </c>
      <c r="M2969">
        <v>13.6</v>
      </c>
      <c r="N2969" t="s">
        <v>63</v>
      </c>
      <c r="O2969" t="s">
        <v>53</v>
      </c>
      <c r="P2969" t="s">
        <v>58</v>
      </c>
      <c r="R2969">
        <f>SUMIF(A2969:A7968,"C02968",I2969:I7968)</f>
        <v>30369</v>
      </c>
      <c r="S2969" s="1">
        <v>5614.76</v>
      </c>
      <c r="T2969">
        <f t="shared" si="342"/>
        <v>1084.60714285714</v>
      </c>
      <c r="U2969">
        <f t="shared" si="336"/>
        <v>380.8</v>
      </c>
      <c r="V2969">
        <f t="shared" si="341"/>
        <v>31.7333333333333</v>
      </c>
      <c r="W2969">
        <f t="shared" si="339"/>
        <v>10966.7533333333</v>
      </c>
      <c r="X2969">
        <f t="shared" si="337"/>
        <v>0.543027198785895</v>
      </c>
      <c r="AH2969" t="str">
        <f t="shared" si="340"/>
        <v>2nd Quality</v>
      </c>
      <c r="AJ2969">
        <f>((T2969-X2969)*2)/25.2</f>
        <v>86.0368345760598</v>
      </c>
      <c r="AK2969">
        <f t="shared" si="338"/>
        <v>1490250.21428571</v>
      </c>
    </row>
    <row r="2970" spans="1:37">
      <c r="A2970" t="s">
        <v>3036</v>
      </c>
      <c r="B2970">
        <v>49</v>
      </c>
      <c r="C2970" t="s">
        <v>50</v>
      </c>
      <c r="D2970" t="s">
        <v>60</v>
      </c>
      <c r="E2970">
        <v>1249</v>
      </c>
      <c r="F2970">
        <v>35</v>
      </c>
      <c r="G2970">
        <v>1</v>
      </c>
      <c r="H2970">
        <v>6280.47</v>
      </c>
      <c r="I2970">
        <v>5919.09</v>
      </c>
      <c r="J2970">
        <v>13</v>
      </c>
      <c r="K2970">
        <v>0</v>
      </c>
      <c r="L2970">
        <v>16.5</v>
      </c>
      <c r="M2970">
        <v>41</v>
      </c>
      <c r="N2970" t="s">
        <v>61</v>
      </c>
      <c r="O2970" t="s">
        <v>47</v>
      </c>
      <c r="P2970" t="s">
        <v>68</v>
      </c>
      <c r="R2970">
        <f>SUMIF(A2970:A7969,"C02969",I2970:I7969)</f>
        <v>5919.09</v>
      </c>
      <c r="S2970" s="1">
        <v>12929.02</v>
      </c>
      <c r="T2970">
        <f t="shared" si="342"/>
        <v>455.314615384615</v>
      </c>
      <c r="U2970">
        <f t="shared" si="336"/>
        <v>533</v>
      </c>
      <c r="V2970">
        <f t="shared" si="341"/>
        <v>44.4166666666667</v>
      </c>
      <c r="W2970">
        <f t="shared" si="339"/>
        <v>4066.85333333333</v>
      </c>
      <c r="X2970">
        <f t="shared" si="337"/>
        <v>0.198870466700741</v>
      </c>
      <c r="AH2970" t="str">
        <f t="shared" si="340"/>
        <v>3rd Quality</v>
      </c>
      <c r="AJ2970">
        <f>((T2970-X2970)*2)/16.5</f>
        <v>55.1655448385351</v>
      </c>
      <c r="AK2970">
        <f t="shared" si="338"/>
        <v>568687.954615385</v>
      </c>
    </row>
    <row r="2971" spans="1:37">
      <c r="A2971" t="s">
        <v>3037</v>
      </c>
      <c r="B2971">
        <v>27</v>
      </c>
      <c r="C2971" t="s">
        <v>44</v>
      </c>
      <c r="D2971" t="s">
        <v>45</v>
      </c>
      <c r="E2971">
        <v>1358</v>
      </c>
      <c r="F2971">
        <v>6</v>
      </c>
      <c r="G2971">
        <v>17</v>
      </c>
      <c r="H2971">
        <v>4320.61</v>
      </c>
      <c r="I2971">
        <v>81764.78</v>
      </c>
      <c r="J2971">
        <v>112</v>
      </c>
      <c r="K2971">
        <v>0</v>
      </c>
      <c r="L2971">
        <v>5.5</v>
      </c>
      <c r="M2971">
        <v>31.1</v>
      </c>
      <c r="N2971" t="s">
        <v>46</v>
      </c>
      <c r="O2971" t="s">
        <v>47</v>
      </c>
      <c r="P2971" t="s">
        <v>58</v>
      </c>
      <c r="R2971">
        <f>SUMIF(A2971:A7970,"C02970",I2971:I7970)</f>
        <v>81764.78</v>
      </c>
      <c r="S2971" s="1">
        <v>70434.47</v>
      </c>
      <c r="T2971">
        <f t="shared" si="342"/>
        <v>730.042678571429</v>
      </c>
      <c r="U2971">
        <f t="shared" si="336"/>
        <v>3483.2</v>
      </c>
      <c r="V2971">
        <f t="shared" si="341"/>
        <v>290.266666666667</v>
      </c>
      <c r="W2971">
        <f t="shared" si="339"/>
        <v>28695.4633333333</v>
      </c>
      <c r="X2971">
        <f t="shared" si="337"/>
        <v>0.314307470472919</v>
      </c>
      <c r="AH2971" t="str">
        <f t="shared" si="340"/>
        <v>1st Quality</v>
      </c>
      <c r="AJ2971">
        <f>((T2971-X2971)*2)/5.5</f>
        <v>265.355771309439</v>
      </c>
      <c r="AK2971">
        <f t="shared" si="338"/>
        <v>991397.9575</v>
      </c>
    </row>
    <row r="2972" spans="1:37">
      <c r="A2972" t="s">
        <v>3038</v>
      </c>
      <c r="B2972">
        <v>35</v>
      </c>
      <c r="C2972" t="s">
        <v>44</v>
      </c>
      <c r="D2972" t="s">
        <v>51</v>
      </c>
      <c r="E2972">
        <v>1284</v>
      </c>
      <c r="F2972">
        <v>52</v>
      </c>
      <c r="G2972">
        <v>7</v>
      </c>
      <c r="H2972">
        <v>896.77</v>
      </c>
      <c r="I2972">
        <v>5614.76</v>
      </c>
      <c r="J2972">
        <v>51</v>
      </c>
      <c r="K2972">
        <v>0</v>
      </c>
      <c r="L2972">
        <v>24.8</v>
      </c>
      <c r="M2972">
        <v>24.7</v>
      </c>
      <c r="N2972" t="s">
        <v>78</v>
      </c>
      <c r="O2972" t="s">
        <v>75</v>
      </c>
      <c r="P2972" t="s">
        <v>68</v>
      </c>
      <c r="R2972">
        <f>SUMIF(A2972:A7971,"C02971",I2972:I7971)</f>
        <v>5614.76</v>
      </c>
      <c r="S2972" s="1">
        <v>1938.79</v>
      </c>
      <c r="T2972">
        <f t="shared" si="342"/>
        <v>110.093333333333</v>
      </c>
      <c r="U2972">
        <f t="shared" si="336"/>
        <v>1259.7</v>
      </c>
      <c r="V2972">
        <f t="shared" si="341"/>
        <v>104.975</v>
      </c>
      <c r="W2972">
        <f t="shared" si="339"/>
        <v>2170.84333333333</v>
      </c>
      <c r="X2972">
        <f t="shared" si="337"/>
        <v>1.43180525664329</v>
      </c>
      <c r="AH2972" t="str">
        <f t="shared" si="340"/>
        <v>3rd Quality</v>
      </c>
      <c r="AJ2972">
        <f>((T2972-X2972)*2)/24.8</f>
        <v>8.76302645779756</v>
      </c>
      <c r="AK2972">
        <f t="shared" si="338"/>
        <v>141359.84</v>
      </c>
    </row>
    <row r="2973" spans="1:37">
      <c r="A2973" t="s">
        <v>3039</v>
      </c>
      <c r="B2973">
        <v>18</v>
      </c>
      <c r="C2973" t="s">
        <v>101</v>
      </c>
      <c r="D2973" t="s">
        <v>60</v>
      </c>
      <c r="E2973">
        <v>1247</v>
      </c>
      <c r="F2973">
        <v>68</v>
      </c>
      <c r="G2973">
        <v>2</v>
      </c>
      <c r="H2973">
        <v>5861.82</v>
      </c>
      <c r="I2973">
        <v>12929.02</v>
      </c>
      <c r="J2973">
        <v>20</v>
      </c>
      <c r="K2973">
        <v>1</v>
      </c>
      <c r="L2973">
        <v>11.2</v>
      </c>
      <c r="M2973">
        <v>41.3</v>
      </c>
      <c r="N2973" t="s">
        <v>52</v>
      </c>
      <c r="O2973" t="s">
        <v>47</v>
      </c>
      <c r="P2973" t="s">
        <v>58</v>
      </c>
      <c r="R2973">
        <f>SUMIF(A2973:A7972,"C02972",I2973:I7972)</f>
        <v>12929.02</v>
      </c>
      <c r="S2973" s="1">
        <v>43815.32</v>
      </c>
      <c r="T2973">
        <f t="shared" si="342"/>
        <v>646.451</v>
      </c>
      <c r="U2973">
        <f t="shared" si="336"/>
        <v>826</v>
      </c>
      <c r="V2973">
        <f>U2973</f>
        <v>826</v>
      </c>
      <c r="W2973">
        <f t="shared" si="339"/>
        <v>6263.94666666667</v>
      </c>
      <c r="X2973">
        <f t="shared" si="337"/>
        <v>0.212732564288907</v>
      </c>
      <c r="AH2973" t="str">
        <f t="shared" si="340"/>
        <v>3rd Quality</v>
      </c>
      <c r="AJ2973">
        <f>((T2973-X2973)*2)/11.2</f>
        <v>115.39969061352</v>
      </c>
      <c r="AK2973">
        <f t="shared" si="338"/>
        <v>806124.397</v>
      </c>
    </row>
    <row r="2974" spans="1:37">
      <c r="A2974" t="s">
        <v>3040</v>
      </c>
      <c r="B2974">
        <v>37</v>
      </c>
      <c r="C2974" t="s">
        <v>44</v>
      </c>
      <c r="D2974" t="s">
        <v>60</v>
      </c>
      <c r="E2974">
        <v>433</v>
      </c>
      <c r="F2974">
        <v>4</v>
      </c>
      <c r="G2974">
        <v>39</v>
      </c>
      <c r="H2974">
        <v>2019.29</v>
      </c>
      <c r="I2974">
        <v>70434.47</v>
      </c>
      <c r="J2974">
        <v>242</v>
      </c>
      <c r="K2974">
        <v>4</v>
      </c>
      <c r="L2974">
        <v>25</v>
      </c>
      <c r="M2974">
        <v>32.3</v>
      </c>
      <c r="N2974" t="s">
        <v>52</v>
      </c>
      <c r="O2974" t="s">
        <v>47</v>
      </c>
      <c r="P2974" t="s">
        <v>58</v>
      </c>
      <c r="R2974">
        <f>SUMIF(A2974:A7973,"C02973",I2974:I7973)</f>
        <v>70434.47</v>
      </c>
      <c r="S2974" s="1">
        <v>3904.81</v>
      </c>
      <c r="T2974">
        <f t="shared" si="342"/>
        <v>291.05152892562</v>
      </c>
      <c r="U2974">
        <f t="shared" si="336"/>
        <v>7816.6</v>
      </c>
      <c r="V2974">
        <f>U2974</f>
        <v>7816.6</v>
      </c>
      <c r="W2974">
        <f t="shared" si="339"/>
        <v>24151.5866666667</v>
      </c>
      <c r="X2974">
        <f t="shared" si="337"/>
        <v>0.214431805238475</v>
      </c>
      <c r="AH2974" t="str">
        <f t="shared" si="340"/>
        <v>3rd Quality</v>
      </c>
      <c r="AJ2974">
        <f>((T2974-X2974)*2)/25</f>
        <v>23.2669677696305</v>
      </c>
      <c r="AK2974">
        <f t="shared" si="338"/>
        <v>126025.312024793</v>
      </c>
    </row>
    <row r="2975" spans="1:37">
      <c r="A2975" t="s">
        <v>3041</v>
      </c>
      <c r="B2975">
        <v>23</v>
      </c>
      <c r="C2975" t="s">
        <v>44</v>
      </c>
      <c r="D2975" t="s">
        <v>60</v>
      </c>
      <c r="E2975">
        <v>1322</v>
      </c>
      <c r="F2975">
        <v>250</v>
      </c>
      <c r="G2975">
        <v>1</v>
      </c>
      <c r="H2975">
        <v>2139.42</v>
      </c>
      <c r="I2975">
        <v>1938.79</v>
      </c>
      <c r="J2975">
        <v>11</v>
      </c>
      <c r="K2975">
        <v>0</v>
      </c>
      <c r="L2975">
        <v>20</v>
      </c>
      <c r="M2975">
        <v>35.1</v>
      </c>
      <c r="N2975" t="s">
        <v>81</v>
      </c>
      <c r="O2975" t="s">
        <v>47</v>
      </c>
      <c r="P2975" t="s">
        <v>58</v>
      </c>
      <c r="R2975">
        <f>SUMIF(A2975:A7974,"C02974",I2975:I7974)</f>
        <v>1938.79</v>
      </c>
      <c r="S2975" s="1">
        <v>43315.41</v>
      </c>
      <c r="T2975">
        <f t="shared" si="342"/>
        <v>176.253636363636</v>
      </c>
      <c r="U2975">
        <f t="shared" si="336"/>
        <v>386.1</v>
      </c>
      <c r="V2975">
        <f t="shared" si="341"/>
        <v>32.175</v>
      </c>
      <c r="W2975">
        <f t="shared" si="339"/>
        <v>1359.73666666667</v>
      </c>
      <c r="X2975">
        <f t="shared" si="337"/>
        <v>0.617924484206</v>
      </c>
      <c r="AH2975" t="str">
        <f t="shared" si="340"/>
        <v>3rd Quality</v>
      </c>
      <c r="AJ2975">
        <f>((T2975-X2975)*2)/20</f>
        <v>17.563571187943</v>
      </c>
      <c r="AK2975">
        <f t="shared" si="338"/>
        <v>233007.307272727</v>
      </c>
    </row>
    <row r="2976" spans="1:37">
      <c r="A2976" t="s">
        <v>3042</v>
      </c>
      <c r="B2976">
        <v>23</v>
      </c>
      <c r="C2976" t="s">
        <v>50</v>
      </c>
      <c r="D2976" t="s">
        <v>45</v>
      </c>
      <c r="E2976">
        <v>858</v>
      </c>
      <c r="F2976">
        <v>27</v>
      </c>
      <c r="G2976">
        <v>4</v>
      </c>
      <c r="H2976">
        <v>9980.68</v>
      </c>
      <c r="I2976">
        <v>43815.32</v>
      </c>
      <c r="J2976">
        <v>23</v>
      </c>
      <c r="K2976">
        <v>1</v>
      </c>
      <c r="L2976">
        <v>5.7</v>
      </c>
      <c r="M2976">
        <v>21.7</v>
      </c>
      <c r="N2976" t="s">
        <v>63</v>
      </c>
      <c r="O2976" t="s">
        <v>53</v>
      </c>
      <c r="P2976" t="s">
        <v>48</v>
      </c>
      <c r="R2976">
        <f>SUMIF(A2976:A7975,"C02975",I2976:I7975)</f>
        <v>43815.32</v>
      </c>
      <c r="S2976" s="1">
        <v>3526.39</v>
      </c>
      <c r="T2976">
        <f t="shared" si="342"/>
        <v>1905.01391304348</v>
      </c>
      <c r="U2976">
        <f t="shared" si="336"/>
        <v>499.1</v>
      </c>
      <c r="V2976">
        <f>U2976</f>
        <v>499.1</v>
      </c>
      <c r="W2976">
        <f t="shared" si="339"/>
        <v>17932.3333333333</v>
      </c>
      <c r="X2976">
        <f t="shared" si="337"/>
        <v>0.0859660864790776</v>
      </c>
      <c r="AH2976" t="str">
        <f t="shared" si="340"/>
        <v>2nd Quality</v>
      </c>
      <c r="AJ2976">
        <f>((T2976-X2976)*2)/5.7</f>
        <v>668.395770862106</v>
      </c>
      <c r="AK2976">
        <f t="shared" si="338"/>
        <v>1634501.9373913</v>
      </c>
    </row>
    <row r="2977" spans="1:37">
      <c r="A2977" t="s">
        <v>3043</v>
      </c>
      <c r="B2977">
        <v>27</v>
      </c>
      <c r="C2977" t="s">
        <v>50</v>
      </c>
      <c r="D2977" t="s">
        <v>45</v>
      </c>
      <c r="E2977">
        <v>1027</v>
      </c>
      <c r="F2977">
        <v>91</v>
      </c>
      <c r="G2977">
        <v>5</v>
      </c>
      <c r="H2977">
        <v>754.2</v>
      </c>
      <c r="I2977">
        <v>3904.81</v>
      </c>
      <c r="J2977">
        <v>41</v>
      </c>
      <c r="K2977">
        <v>2</v>
      </c>
      <c r="L2977">
        <v>29.9</v>
      </c>
      <c r="M2977">
        <v>9.1</v>
      </c>
      <c r="N2977" t="s">
        <v>63</v>
      </c>
      <c r="O2977" t="s">
        <v>47</v>
      </c>
      <c r="P2977" t="s">
        <v>48</v>
      </c>
      <c r="R2977">
        <f>SUMIF(A2977:A7976,"C02976",I2977:I7976)</f>
        <v>3904.81</v>
      </c>
      <c r="S2977" s="1">
        <v>2446.3</v>
      </c>
      <c r="T2977">
        <f t="shared" si="342"/>
        <v>95.2392682926829</v>
      </c>
      <c r="U2977">
        <f t="shared" si="336"/>
        <v>373.1</v>
      </c>
      <c r="V2977">
        <f>U2977</f>
        <v>373.1</v>
      </c>
      <c r="W2977">
        <f t="shared" si="339"/>
        <v>1553.33666666667</v>
      </c>
      <c r="X2977">
        <f t="shared" si="337"/>
        <v>1.36170776982233</v>
      </c>
      <c r="AH2977" t="str">
        <f t="shared" si="340"/>
        <v>3rd Quality</v>
      </c>
      <c r="AJ2977">
        <f>((T2977-X2977)*2)/29.9</f>
        <v>6.27943548647897</v>
      </c>
      <c r="AK2977">
        <f t="shared" si="338"/>
        <v>97810.7285365854</v>
      </c>
    </row>
    <row r="2978" spans="1:37">
      <c r="A2978" t="s">
        <v>3044</v>
      </c>
      <c r="B2978">
        <v>26</v>
      </c>
      <c r="C2978" t="s">
        <v>44</v>
      </c>
      <c r="D2978" t="s">
        <v>60</v>
      </c>
      <c r="E2978">
        <v>1340</v>
      </c>
      <c r="F2978">
        <v>57</v>
      </c>
      <c r="G2978">
        <v>4</v>
      </c>
      <c r="H2978">
        <v>11305.26</v>
      </c>
      <c r="I2978">
        <v>43315.41</v>
      </c>
      <c r="J2978">
        <v>43</v>
      </c>
      <c r="K2978">
        <v>0</v>
      </c>
      <c r="L2978">
        <v>9.3</v>
      </c>
      <c r="M2978">
        <v>62.4</v>
      </c>
      <c r="N2978" t="s">
        <v>61</v>
      </c>
      <c r="O2978" t="s">
        <v>47</v>
      </c>
      <c r="P2978" t="s">
        <v>66</v>
      </c>
      <c r="R2978">
        <f>SUMIF(A2978:A7977,"C02977",I2978:I7977)</f>
        <v>43315.41</v>
      </c>
      <c r="S2978" s="1">
        <v>1356.62</v>
      </c>
      <c r="T2978">
        <f t="shared" si="342"/>
        <v>1007.33511627907</v>
      </c>
      <c r="U2978">
        <f t="shared" ref="U2978:U3041" si="343">J2978*M2978</f>
        <v>2683.2</v>
      </c>
      <c r="V2978">
        <f t="shared" si="341"/>
        <v>223.6</v>
      </c>
      <c r="W2978">
        <f t="shared" si="339"/>
        <v>18207.2233333333</v>
      </c>
      <c r="X2978">
        <f t="shared" si="337"/>
        <v>0.118528897168221</v>
      </c>
      <c r="AH2978" t="str">
        <f t="shared" si="340"/>
        <v>1st Quality</v>
      </c>
      <c r="AJ2978">
        <f>((T2978-X2978)*2)/9.3</f>
        <v>216.605717716538</v>
      </c>
      <c r="AK2978">
        <f t="shared" si="338"/>
        <v>1349829.05581395</v>
      </c>
    </row>
    <row r="2979" spans="1:37">
      <c r="A2979" t="s">
        <v>3045</v>
      </c>
      <c r="B2979">
        <v>33</v>
      </c>
      <c r="C2979" t="s">
        <v>44</v>
      </c>
      <c r="D2979" t="s">
        <v>60</v>
      </c>
      <c r="E2979">
        <v>463</v>
      </c>
      <c r="F2979">
        <v>131</v>
      </c>
      <c r="G2979">
        <v>4</v>
      </c>
      <c r="H2979">
        <v>863.29</v>
      </c>
      <c r="I2979">
        <v>3526.39</v>
      </c>
      <c r="J2979">
        <v>32</v>
      </c>
      <c r="K2979">
        <v>0</v>
      </c>
      <c r="L2979">
        <v>38.6</v>
      </c>
      <c r="M2979">
        <v>46.6</v>
      </c>
      <c r="N2979" t="s">
        <v>52</v>
      </c>
      <c r="O2979" t="s">
        <v>47</v>
      </c>
      <c r="P2979" t="s">
        <v>58</v>
      </c>
      <c r="R2979">
        <f>SUMIF(A2979:A7978,"C02978",I2979:I7978)</f>
        <v>3526.39</v>
      </c>
      <c r="S2979" s="1">
        <v>17200.51</v>
      </c>
      <c r="T2979">
        <f t="shared" si="342"/>
        <v>110.1996875</v>
      </c>
      <c r="U2979">
        <f t="shared" si="343"/>
        <v>1491.2</v>
      </c>
      <c r="V2979">
        <f t="shared" si="341"/>
        <v>124.266666666667</v>
      </c>
      <c r="W2979">
        <f t="shared" si="339"/>
        <v>1463.56</v>
      </c>
      <c r="X2979">
        <f t="shared" si="337"/>
        <v>0.536320355847977</v>
      </c>
      <c r="AH2979" t="str">
        <f t="shared" si="340"/>
        <v>3rd Quality</v>
      </c>
      <c r="AJ2979">
        <f>((T2979-X2979)*2)/38.6</f>
        <v>5.68203974840166</v>
      </c>
      <c r="AK2979">
        <f t="shared" si="338"/>
        <v>51022.4553125</v>
      </c>
    </row>
    <row r="2980" spans="1:37">
      <c r="A2980" t="s">
        <v>3046</v>
      </c>
      <c r="B2980">
        <v>31</v>
      </c>
      <c r="C2980" t="s">
        <v>50</v>
      </c>
      <c r="D2980" t="s">
        <v>45</v>
      </c>
      <c r="E2980">
        <v>646</v>
      </c>
      <c r="F2980">
        <v>75</v>
      </c>
      <c r="G2980">
        <v>3</v>
      </c>
      <c r="H2980">
        <v>886.46</v>
      </c>
      <c r="I2980">
        <v>2446.3</v>
      </c>
      <c r="J2980">
        <v>19</v>
      </c>
      <c r="K2980">
        <v>0</v>
      </c>
      <c r="L2980">
        <v>26</v>
      </c>
      <c r="M2980">
        <v>23.4</v>
      </c>
      <c r="N2980" t="s">
        <v>46</v>
      </c>
      <c r="O2980" t="s">
        <v>53</v>
      </c>
      <c r="P2980" t="s">
        <v>58</v>
      </c>
      <c r="R2980">
        <f>SUMIF(A2980:A7979,"C02979",I2980:I7979)</f>
        <v>2446.3</v>
      </c>
      <c r="S2980" s="1">
        <v>16978.27</v>
      </c>
      <c r="T2980">
        <f t="shared" si="342"/>
        <v>128.752631578947</v>
      </c>
      <c r="U2980">
        <f t="shared" si="343"/>
        <v>444.6</v>
      </c>
      <c r="V2980">
        <f t="shared" si="341"/>
        <v>37.05</v>
      </c>
      <c r="W2980">
        <f t="shared" si="339"/>
        <v>1111.25333333333</v>
      </c>
      <c r="X2980">
        <f t="shared" si="337"/>
        <v>0.7287412855628</v>
      </c>
      <c r="AH2980" t="str">
        <f t="shared" si="340"/>
        <v>3rd Quality</v>
      </c>
      <c r="AJ2980">
        <f>((T2980-X2980)*2)/26</f>
        <v>9.84799156102955</v>
      </c>
      <c r="AK2980">
        <f t="shared" si="338"/>
        <v>83174.2</v>
      </c>
    </row>
    <row r="2981" spans="1:37">
      <c r="A2981" t="s">
        <v>3047</v>
      </c>
      <c r="B2981">
        <v>19</v>
      </c>
      <c r="C2981" t="s">
        <v>44</v>
      </c>
      <c r="D2981" t="s">
        <v>45</v>
      </c>
      <c r="E2981">
        <v>447</v>
      </c>
      <c r="F2981">
        <v>185</v>
      </c>
      <c r="G2981">
        <v>1</v>
      </c>
      <c r="H2981">
        <v>1514.81</v>
      </c>
      <c r="I2981">
        <v>1356.62</v>
      </c>
      <c r="J2981">
        <v>15</v>
      </c>
      <c r="K2981">
        <v>0</v>
      </c>
      <c r="L2981">
        <v>12</v>
      </c>
      <c r="M2981">
        <v>35.7</v>
      </c>
      <c r="N2981" t="s">
        <v>78</v>
      </c>
      <c r="O2981" t="s">
        <v>75</v>
      </c>
      <c r="P2981" t="s">
        <v>66</v>
      </c>
      <c r="R2981">
        <f>SUMIF(A2981:A7980,"C02980",I2981:I7980)</f>
        <v>1356.62</v>
      </c>
      <c r="S2981" s="1">
        <v>90524.54</v>
      </c>
      <c r="T2981">
        <f t="shared" si="342"/>
        <v>90.4413333333333</v>
      </c>
      <c r="U2981">
        <f t="shared" si="343"/>
        <v>535.5</v>
      </c>
      <c r="V2981">
        <f t="shared" si="341"/>
        <v>44.625</v>
      </c>
      <c r="W2981">
        <f t="shared" si="339"/>
        <v>957.476666666667</v>
      </c>
      <c r="X2981">
        <f t="shared" si="337"/>
        <v>0.295086512499918</v>
      </c>
      <c r="AH2981" t="str">
        <f t="shared" si="340"/>
        <v>3rd Quality</v>
      </c>
      <c r="AJ2981">
        <f>((T2981-X2981)*2)/12</f>
        <v>15.0243744701389</v>
      </c>
      <c r="AK2981">
        <f t="shared" si="338"/>
        <v>40427.276</v>
      </c>
    </row>
    <row r="2982" spans="1:37">
      <c r="A2982" t="s">
        <v>3048</v>
      </c>
      <c r="B2982">
        <v>41</v>
      </c>
      <c r="C2982" t="s">
        <v>44</v>
      </c>
      <c r="D2982" t="s">
        <v>60</v>
      </c>
      <c r="E2982">
        <v>827</v>
      </c>
      <c r="F2982">
        <v>32</v>
      </c>
      <c r="G2982">
        <v>3</v>
      </c>
      <c r="H2982">
        <v>6429.03</v>
      </c>
      <c r="I2982">
        <v>17200.51</v>
      </c>
      <c r="J2982">
        <v>16</v>
      </c>
      <c r="K2982">
        <v>0</v>
      </c>
      <c r="L2982">
        <v>24.4</v>
      </c>
      <c r="M2982">
        <v>21.1</v>
      </c>
      <c r="N2982" t="s">
        <v>78</v>
      </c>
      <c r="O2982" t="s">
        <v>47</v>
      </c>
      <c r="P2982" t="s">
        <v>66</v>
      </c>
      <c r="R2982">
        <f>SUMIF(A2982:A7981,"C02981",I2982:I7981)</f>
        <v>17200.51</v>
      </c>
      <c r="S2982" s="1">
        <v>135845.31</v>
      </c>
      <c r="T2982">
        <f t="shared" si="342"/>
        <v>1075.031875</v>
      </c>
      <c r="U2982">
        <f t="shared" si="343"/>
        <v>337.6</v>
      </c>
      <c r="V2982">
        <f t="shared" si="341"/>
        <v>28.1333333333333</v>
      </c>
      <c r="W2982">
        <f t="shared" si="339"/>
        <v>7876.84666666667</v>
      </c>
      <c r="X2982">
        <f t="shared" si="337"/>
        <v>0.128635268461961</v>
      </c>
      <c r="AH2982" t="str">
        <f t="shared" si="340"/>
        <v>2nd Quality</v>
      </c>
      <c r="AJ2982">
        <f>((T2982-X2982)*2)/24.4</f>
        <v>88.1068229288146</v>
      </c>
      <c r="AK2982">
        <f t="shared" si="338"/>
        <v>889051.360625</v>
      </c>
    </row>
    <row r="2983" spans="1:37">
      <c r="A2983" t="s">
        <v>3049</v>
      </c>
      <c r="B2983">
        <v>26</v>
      </c>
      <c r="C2983" t="s">
        <v>56</v>
      </c>
      <c r="D2983" t="s">
        <v>60</v>
      </c>
      <c r="E2983">
        <v>1227</v>
      </c>
      <c r="F2983">
        <v>36</v>
      </c>
      <c r="G2983">
        <v>7</v>
      </c>
      <c r="H2983">
        <v>2567.16</v>
      </c>
      <c r="I2983">
        <v>16978.27</v>
      </c>
      <c r="J2983">
        <v>39</v>
      </c>
      <c r="K2983">
        <v>1</v>
      </c>
      <c r="L2983">
        <v>14.1</v>
      </c>
      <c r="M2983">
        <v>19.9</v>
      </c>
      <c r="N2983" t="s">
        <v>78</v>
      </c>
      <c r="O2983" t="s">
        <v>47</v>
      </c>
      <c r="P2983" t="s">
        <v>58</v>
      </c>
      <c r="R2983">
        <f>SUMIF(A2983:A7982,"C02982",I2983:I7982)</f>
        <v>16978.27</v>
      </c>
      <c r="S2983" s="1">
        <v>82438.47</v>
      </c>
      <c r="T2983">
        <f t="shared" si="342"/>
        <v>435.340256410256</v>
      </c>
      <c r="U2983">
        <f t="shared" si="343"/>
        <v>776.1</v>
      </c>
      <c r="V2983">
        <f>U2983</f>
        <v>776.1</v>
      </c>
      <c r="W2983">
        <f t="shared" si="339"/>
        <v>6515.47666666667</v>
      </c>
      <c r="X2983">
        <f t="shared" si="337"/>
        <v>0.477960080400131</v>
      </c>
      <c r="AH2983" t="str">
        <f t="shared" si="340"/>
        <v>2nd Quality</v>
      </c>
      <c r="AJ2983">
        <f>((T2983-X2983)*2)/14.1</f>
        <v>61.682595224093</v>
      </c>
      <c r="AK2983">
        <f t="shared" si="338"/>
        <v>534162.494615385</v>
      </c>
    </row>
    <row r="2984" spans="1:37">
      <c r="A2984" t="s">
        <v>3050</v>
      </c>
      <c r="B2984">
        <v>34</v>
      </c>
      <c r="C2984" t="s">
        <v>50</v>
      </c>
      <c r="D2984" t="s">
        <v>51</v>
      </c>
      <c r="E2984">
        <v>906</v>
      </c>
      <c r="F2984">
        <v>11</v>
      </c>
      <c r="G2984">
        <v>18</v>
      </c>
      <c r="H2984">
        <v>5448.36</v>
      </c>
      <c r="I2984">
        <v>90524.54</v>
      </c>
      <c r="J2984">
        <v>135</v>
      </c>
      <c r="K2984">
        <v>1</v>
      </c>
      <c r="L2984">
        <v>15</v>
      </c>
      <c r="M2984">
        <v>26.5</v>
      </c>
      <c r="N2984" t="s">
        <v>78</v>
      </c>
      <c r="O2984" t="s">
        <v>47</v>
      </c>
      <c r="P2984" t="s">
        <v>58</v>
      </c>
      <c r="R2984">
        <f>SUMIF(A2984:A7983,"C02983",I2984:I7983)</f>
        <v>90524.54</v>
      </c>
      <c r="S2984" s="1">
        <v>14160.36</v>
      </c>
      <c r="T2984">
        <f t="shared" si="342"/>
        <v>670.552148148148</v>
      </c>
      <c r="U2984">
        <f t="shared" si="343"/>
        <v>3577.5</v>
      </c>
      <c r="V2984">
        <f>U2984</f>
        <v>3577.5</v>
      </c>
      <c r="W2984">
        <f t="shared" si="339"/>
        <v>31991.3</v>
      </c>
      <c r="X2984">
        <f t="shared" si="337"/>
        <v>0.166288571239786</v>
      </c>
      <c r="AH2984" t="str">
        <f t="shared" si="340"/>
        <v>2nd Quality</v>
      </c>
      <c r="AJ2984">
        <f>((T2984-X2984)*2)/15</f>
        <v>89.3847812769211</v>
      </c>
      <c r="AK2984">
        <f t="shared" si="338"/>
        <v>607520.246222222</v>
      </c>
    </row>
    <row r="2985" spans="1:37">
      <c r="A2985" t="s">
        <v>3051</v>
      </c>
      <c r="B2985">
        <v>48</v>
      </c>
      <c r="C2985" t="s">
        <v>56</v>
      </c>
      <c r="D2985" t="s">
        <v>45</v>
      </c>
      <c r="E2985">
        <v>934</v>
      </c>
      <c r="F2985">
        <v>51</v>
      </c>
      <c r="G2985">
        <v>8</v>
      </c>
      <c r="H2985">
        <v>17384.03</v>
      </c>
      <c r="I2985">
        <v>135845.31</v>
      </c>
      <c r="J2985">
        <v>42</v>
      </c>
      <c r="K2985">
        <v>1</v>
      </c>
      <c r="L2985">
        <v>8.9</v>
      </c>
      <c r="M2985">
        <v>34.4</v>
      </c>
      <c r="N2985" t="s">
        <v>57</v>
      </c>
      <c r="O2985" t="s">
        <v>75</v>
      </c>
      <c r="P2985" t="s">
        <v>48</v>
      </c>
      <c r="R2985">
        <f>SUMIF(A2985:A7984,"C02984",I2985:I7984)</f>
        <v>135845.31</v>
      </c>
      <c r="S2985" s="1">
        <v>80015.06</v>
      </c>
      <c r="T2985">
        <f t="shared" si="342"/>
        <v>3234.41214285714</v>
      </c>
      <c r="U2985">
        <f t="shared" si="343"/>
        <v>1444.8</v>
      </c>
      <c r="V2985">
        <f>U2985</f>
        <v>1444.8</v>
      </c>
      <c r="W2985">
        <f t="shared" si="339"/>
        <v>51076.78</v>
      </c>
      <c r="X2985">
        <f t="shared" si="337"/>
        <v>0.05372747285871</v>
      </c>
      <c r="AH2985" t="str">
        <f t="shared" si="340"/>
        <v>3rd Quality</v>
      </c>
      <c r="AJ2985">
        <f>((T2985-X2985)*2)/8.9</f>
        <v>726.822115816693</v>
      </c>
      <c r="AK2985">
        <f t="shared" si="338"/>
        <v>3020940.94142857</v>
      </c>
    </row>
    <row r="2986" spans="1:37">
      <c r="A2986" t="s">
        <v>3052</v>
      </c>
      <c r="B2986">
        <v>25</v>
      </c>
      <c r="C2986" t="s">
        <v>56</v>
      </c>
      <c r="D2986" t="s">
        <v>60</v>
      </c>
      <c r="E2986">
        <v>625</v>
      </c>
      <c r="F2986">
        <v>3</v>
      </c>
      <c r="G2986">
        <v>29</v>
      </c>
      <c r="H2986">
        <v>2607.03</v>
      </c>
      <c r="I2986">
        <v>82438.47</v>
      </c>
      <c r="J2986">
        <v>178</v>
      </c>
      <c r="K2986">
        <v>0</v>
      </c>
      <c r="L2986">
        <v>11.3</v>
      </c>
      <c r="M2986">
        <v>43.9</v>
      </c>
      <c r="N2986" t="s">
        <v>52</v>
      </c>
      <c r="O2986" t="s">
        <v>47</v>
      </c>
      <c r="P2986" t="s">
        <v>58</v>
      </c>
      <c r="R2986">
        <f>SUMIF(A2986:A7985,"C02985",I2986:I7985)</f>
        <v>82438.47</v>
      </c>
      <c r="S2986" s="1">
        <v>38964.01</v>
      </c>
      <c r="T2986">
        <f t="shared" si="342"/>
        <v>463.137471910112</v>
      </c>
      <c r="U2986">
        <f t="shared" si="343"/>
        <v>7814.2</v>
      </c>
      <c r="V2986">
        <f t="shared" si="341"/>
        <v>651.183333333333</v>
      </c>
      <c r="W2986">
        <f t="shared" si="339"/>
        <v>28348.8333333333</v>
      </c>
      <c r="X2986">
        <f t="shared" si="337"/>
        <v>0.239736405027944</v>
      </c>
      <c r="AH2986" t="str">
        <f t="shared" si="340"/>
        <v>2nd Quality</v>
      </c>
      <c r="AJ2986">
        <f>((T2986-X2986)*2)/11.3</f>
        <v>81.9288027442627</v>
      </c>
      <c r="AK2986">
        <f t="shared" si="338"/>
        <v>289460.91994382</v>
      </c>
    </row>
    <row r="2987" spans="1:37">
      <c r="A2987" t="s">
        <v>3053</v>
      </c>
      <c r="B2987">
        <v>43</v>
      </c>
      <c r="C2987" t="s">
        <v>50</v>
      </c>
      <c r="D2987" t="s">
        <v>45</v>
      </c>
      <c r="E2987">
        <v>672</v>
      </c>
      <c r="F2987">
        <v>50</v>
      </c>
      <c r="G2987">
        <v>14</v>
      </c>
      <c r="H2987">
        <v>1041.82</v>
      </c>
      <c r="I2987">
        <v>14160.36</v>
      </c>
      <c r="J2987">
        <v>119</v>
      </c>
      <c r="K2987">
        <v>3</v>
      </c>
      <c r="L2987">
        <v>13.4</v>
      </c>
      <c r="M2987">
        <v>18.3</v>
      </c>
      <c r="N2987" t="s">
        <v>52</v>
      </c>
      <c r="O2987" t="s">
        <v>47</v>
      </c>
      <c r="P2987" t="s">
        <v>68</v>
      </c>
      <c r="R2987">
        <f>SUMIF(A2987:A7986,"C02986",I2987:I7986)</f>
        <v>14160.36</v>
      </c>
      <c r="S2987" s="1">
        <v>82226.54</v>
      </c>
      <c r="T2987">
        <f t="shared" si="342"/>
        <v>118.994621848739</v>
      </c>
      <c r="U2987">
        <f t="shared" si="343"/>
        <v>2177.7</v>
      </c>
      <c r="V2987">
        <f>U2987</f>
        <v>2177.7</v>
      </c>
      <c r="W2987">
        <f t="shared" si="339"/>
        <v>5067.72666666667</v>
      </c>
      <c r="X2987">
        <f t="shared" si="337"/>
        <v>0.6450250523123</v>
      </c>
      <c r="AH2987" t="str">
        <f t="shared" si="340"/>
        <v>3rd Quality</v>
      </c>
      <c r="AJ2987">
        <f>((T2987-X2987)*2)/13.4</f>
        <v>17.6641189248398</v>
      </c>
      <c r="AK2987">
        <f t="shared" si="338"/>
        <v>79964.3858823529</v>
      </c>
    </row>
    <row r="2988" spans="1:37">
      <c r="A2988" t="s">
        <v>3054</v>
      </c>
      <c r="B2988">
        <v>26</v>
      </c>
      <c r="C2988" t="s">
        <v>44</v>
      </c>
      <c r="D2988" t="s">
        <v>51</v>
      </c>
      <c r="E2988">
        <v>978</v>
      </c>
      <c r="F2988">
        <v>15</v>
      </c>
      <c r="G2988">
        <v>30</v>
      </c>
      <c r="H2988">
        <v>2733.72</v>
      </c>
      <c r="I2988">
        <v>80015.06</v>
      </c>
      <c r="J2988">
        <v>248</v>
      </c>
      <c r="K2988">
        <v>2</v>
      </c>
      <c r="L2988">
        <v>28</v>
      </c>
      <c r="M2988">
        <v>47.4</v>
      </c>
      <c r="N2988" t="s">
        <v>61</v>
      </c>
      <c r="O2988" t="s">
        <v>75</v>
      </c>
      <c r="P2988" t="s">
        <v>66</v>
      </c>
      <c r="R2988">
        <f>SUMIF(A2988:A7987,"C02987",I2988:I7987)</f>
        <v>80015.06</v>
      </c>
      <c r="S2988" s="1">
        <v>14140.46</v>
      </c>
      <c r="T2988">
        <f t="shared" si="342"/>
        <v>322.641370967742</v>
      </c>
      <c r="U2988">
        <f t="shared" si="343"/>
        <v>11755.2</v>
      </c>
      <c r="V2988">
        <f>U2988</f>
        <v>11755.2</v>
      </c>
      <c r="W2988">
        <f t="shared" si="339"/>
        <v>27583.26</v>
      </c>
      <c r="X2988">
        <f t="shared" si="337"/>
        <v>0.357754268908301</v>
      </c>
      <c r="AH2988" t="str">
        <f t="shared" si="340"/>
        <v>1st Quality</v>
      </c>
      <c r="AJ2988">
        <f>((T2988-X2988)*2)/28</f>
        <v>23.020258335631</v>
      </c>
      <c r="AK2988">
        <f t="shared" si="338"/>
        <v>315543.260806452</v>
      </c>
    </row>
    <row r="2989" spans="1:37">
      <c r="A2989" t="s">
        <v>3055</v>
      </c>
      <c r="B2989">
        <v>41</v>
      </c>
      <c r="C2989" t="s">
        <v>50</v>
      </c>
      <c r="D2989" t="s">
        <v>60</v>
      </c>
      <c r="E2989">
        <v>410</v>
      </c>
      <c r="F2989">
        <v>100</v>
      </c>
      <c r="G2989">
        <v>3</v>
      </c>
      <c r="H2989">
        <v>14288.46</v>
      </c>
      <c r="I2989">
        <v>38964.01</v>
      </c>
      <c r="J2989">
        <v>24</v>
      </c>
      <c r="K2989">
        <v>0</v>
      </c>
      <c r="L2989">
        <v>7.2</v>
      </c>
      <c r="M2989">
        <v>39.1</v>
      </c>
      <c r="N2989" t="s">
        <v>78</v>
      </c>
      <c r="O2989" t="s">
        <v>47</v>
      </c>
      <c r="P2989" t="s">
        <v>58</v>
      </c>
      <c r="R2989">
        <f>SUMIF(A2989:A7988,"C02988",I2989:I7988)</f>
        <v>38964.01</v>
      </c>
      <c r="S2989" s="1">
        <v>5628.98</v>
      </c>
      <c r="T2989">
        <f t="shared" si="342"/>
        <v>1623.50041666667</v>
      </c>
      <c r="U2989">
        <f t="shared" si="343"/>
        <v>938.4</v>
      </c>
      <c r="V2989">
        <f t="shared" si="341"/>
        <v>78.2</v>
      </c>
      <c r="W2989">
        <f t="shared" si="339"/>
        <v>17751.1566666667</v>
      </c>
      <c r="X2989">
        <f t="shared" si="337"/>
        <v>0.0286944849199984</v>
      </c>
      <c r="AH2989" t="str">
        <f t="shared" si="340"/>
        <v>3rd Quality</v>
      </c>
      <c r="AJ2989">
        <f>((T2989-X2989)*2)/7.2</f>
        <v>450.964367272708</v>
      </c>
      <c r="AK2989">
        <f t="shared" si="338"/>
        <v>665635.170833333</v>
      </c>
    </row>
    <row r="2990" spans="1:37">
      <c r="A2990" t="s">
        <v>3056</v>
      </c>
      <c r="B2990">
        <v>20</v>
      </c>
      <c r="C2990" t="s">
        <v>44</v>
      </c>
      <c r="D2990" t="s">
        <v>51</v>
      </c>
      <c r="E2990">
        <v>854</v>
      </c>
      <c r="F2990">
        <v>9</v>
      </c>
      <c r="G2990">
        <v>23</v>
      </c>
      <c r="H2990">
        <v>3199.77</v>
      </c>
      <c r="I2990">
        <v>82226.54</v>
      </c>
      <c r="J2990">
        <v>53</v>
      </c>
      <c r="K2990">
        <v>2</v>
      </c>
      <c r="L2990">
        <v>5.4</v>
      </c>
      <c r="M2990">
        <v>44.4</v>
      </c>
      <c r="N2990" t="s">
        <v>52</v>
      </c>
      <c r="O2990" t="s">
        <v>75</v>
      </c>
      <c r="P2990" t="s">
        <v>58</v>
      </c>
      <c r="R2990">
        <f>SUMIF(A2990:A7989,"C02989",I2990:I7989)</f>
        <v>82226.54</v>
      </c>
      <c r="S2990" s="1">
        <v>2133.73</v>
      </c>
      <c r="T2990">
        <f t="shared" si="342"/>
        <v>1551.4441509434</v>
      </c>
      <c r="U2990">
        <f t="shared" si="343"/>
        <v>2353.2</v>
      </c>
      <c r="V2990">
        <f>U2990</f>
        <v>2353.2</v>
      </c>
      <c r="W2990">
        <f t="shared" si="339"/>
        <v>28475.77</v>
      </c>
      <c r="X2990">
        <f t="shared" si="337"/>
        <v>0.266894183019405</v>
      </c>
      <c r="AH2990" t="str">
        <f t="shared" si="340"/>
        <v>2nd Quality</v>
      </c>
      <c r="AJ2990">
        <f>((T2990-X2990)*2)/5.4</f>
        <v>574.510095096437</v>
      </c>
      <c r="AK2990">
        <f t="shared" si="338"/>
        <v>1324933.30490566</v>
      </c>
    </row>
    <row r="2991" spans="1:37">
      <c r="A2991" t="s">
        <v>3057</v>
      </c>
      <c r="B2991">
        <v>37</v>
      </c>
      <c r="C2991" t="s">
        <v>44</v>
      </c>
      <c r="D2991" t="s">
        <v>45</v>
      </c>
      <c r="E2991">
        <v>1443</v>
      </c>
      <c r="F2991">
        <v>41</v>
      </c>
      <c r="G2991">
        <v>2</v>
      </c>
      <c r="H2991">
        <v>7728.22</v>
      </c>
      <c r="I2991">
        <v>14140.46</v>
      </c>
      <c r="J2991">
        <v>26</v>
      </c>
      <c r="K2991">
        <v>0</v>
      </c>
      <c r="L2991">
        <v>0</v>
      </c>
      <c r="M2991">
        <v>26.6</v>
      </c>
      <c r="N2991" t="s">
        <v>52</v>
      </c>
      <c r="O2991" t="s">
        <v>47</v>
      </c>
      <c r="P2991" t="s">
        <v>68</v>
      </c>
      <c r="R2991">
        <f>SUMIF(A2991:A7990,"C02990",I2991:I7990)</f>
        <v>14140.46</v>
      </c>
      <c r="S2991" s="1">
        <v>11967.96</v>
      </c>
      <c r="T2991">
        <f t="shared" si="342"/>
        <v>543.863846153846</v>
      </c>
      <c r="U2991">
        <f t="shared" si="343"/>
        <v>691.6</v>
      </c>
      <c r="V2991">
        <f t="shared" si="341"/>
        <v>57.6333333333333</v>
      </c>
      <c r="W2991">
        <f t="shared" si="339"/>
        <v>7289.89333333333</v>
      </c>
      <c r="X2991">
        <f t="shared" si="337"/>
        <v>0.186718287005287</v>
      </c>
      <c r="AH2991" t="str">
        <f t="shared" si="340"/>
        <v>2nd Quality</v>
      </c>
      <c r="AJ2991">
        <f>((T2991-X2991)*2)</f>
        <v>1087.35425573368</v>
      </c>
      <c r="AK2991">
        <f t="shared" si="338"/>
        <v>784795.53</v>
      </c>
    </row>
    <row r="2992" spans="1:37">
      <c r="A2992" t="s">
        <v>3058</v>
      </c>
      <c r="B2992">
        <v>18</v>
      </c>
      <c r="C2992" t="s">
        <v>101</v>
      </c>
      <c r="D2992" t="s">
        <v>60</v>
      </c>
      <c r="E2992">
        <v>991</v>
      </c>
      <c r="F2992">
        <v>181</v>
      </c>
      <c r="G2992">
        <v>6</v>
      </c>
      <c r="H2992">
        <v>976.04</v>
      </c>
      <c r="I2992">
        <v>5628.98</v>
      </c>
      <c r="J2992">
        <v>52</v>
      </c>
      <c r="K2992">
        <v>0</v>
      </c>
      <c r="L2992">
        <v>14.9</v>
      </c>
      <c r="M2992">
        <v>32.1</v>
      </c>
      <c r="N2992" t="s">
        <v>46</v>
      </c>
      <c r="O2992" t="s">
        <v>47</v>
      </c>
      <c r="P2992" t="s">
        <v>54</v>
      </c>
      <c r="R2992">
        <f>SUMIF(A2992:A7991,"C02991",I2992:I7991)</f>
        <v>5628.98</v>
      </c>
      <c r="S2992" s="1">
        <v>19180.94</v>
      </c>
      <c r="T2992">
        <f t="shared" si="342"/>
        <v>108.249615384615</v>
      </c>
      <c r="U2992">
        <f t="shared" si="343"/>
        <v>1669.2</v>
      </c>
      <c r="V2992">
        <f t="shared" si="341"/>
        <v>139.1</v>
      </c>
      <c r="W2992">
        <f t="shared" si="339"/>
        <v>2202.00666666667</v>
      </c>
      <c r="X2992">
        <f t="shared" si="337"/>
        <v>1.01532724068686</v>
      </c>
      <c r="AH2992" t="str">
        <f t="shared" si="340"/>
        <v>3rd Quality</v>
      </c>
      <c r="AJ2992">
        <f>((T2992-X2992)*2)/14.9</f>
        <v>14.393864180393</v>
      </c>
      <c r="AK2992">
        <f t="shared" si="338"/>
        <v>107275.368846154</v>
      </c>
    </row>
    <row r="2993" spans="1:37">
      <c r="A2993" t="s">
        <v>3059</v>
      </c>
      <c r="B2993">
        <v>28</v>
      </c>
      <c r="C2993" t="s">
        <v>44</v>
      </c>
      <c r="D2993" t="s">
        <v>45</v>
      </c>
      <c r="E2993">
        <v>475</v>
      </c>
      <c r="F2993">
        <v>129</v>
      </c>
      <c r="G2993">
        <v>3</v>
      </c>
      <c r="H2993">
        <v>642.51</v>
      </c>
      <c r="I2993">
        <v>2133.73</v>
      </c>
      <c r="J2993">
        <v>20</v>
      </c>
      <c r="K2993">
        <v>0</v>
      </c>
      <c r="L2993">
        <v>33.9</v>
      </c>
      <c r="M2993">
        <v>13.1</v>
      </c>
      <c r="N2993" t="s">
        <v>46</v>
      </c>
      <c r="O2993" t="s">
        <v>47</v>
      </c>
      <c r="P2993" t="s">
        <v>58</v>
      </c>
      <c r="R2993">
        <f>SUMIF(A2993:A7992,"C02992",I2993:I7992)</f>
        <v>2133.73</v>
      </c>
      <c r="S2993" s="1">
        <v>49268.88</v>
      </c>
      <c r="T2993">
        <f t="shared" si="342"/>
        <v>106.6865</v>
      </c>
      <c r="U2993">
        <f t="shared" si="343"/>
        <v>262</v>
      </c>
      <c r="V2993">
        <f t="shared" si="341"/>
        <v>21.8333333333333</v>
      </c>
      <c r="W2993">
        <f t="shared" si="339"/>
        <v>925.746666666667</v>
      </c>
      <c r="X2993">
        <f t="shared" si="337"/>
        <v>0.7392881044653</v>
      </c>
      <c r="AH2993" t="str">
        <f t="shared" si="340"/>
        <v>3rd Quality</v>
      </c>
      <c r="AJ2993">
        <f>((T2993-X2993)*2)/33.9</f>
        <v>6.25057297318789</v>
      </c>
      <c r="AK2993">
        <f t="shared" si="338"/>
        <v>50676.0875</v>
      </c>
    </row>
    <row r="2994" spans="1:37">
      <c r="A2994" t="s">
        <v>3060</v>
      </c>
      <c r="B2994">
        <v>25</v>
      </c>
      <c r="C2994" t="s">
        <v>50</v>
      </c>
      <c r="D2994" t="s">
        <v>45</v>
      </c>
      <c r="E2994">
        <v>827</v>
      </c>
      <c r="F2994">
        <v>5</v>
      </c>
      <c r="G2994">
        <v>15</v>
      </c>
      <c r="H2994">
        <v>806.59</v>
      </c>
      <c r="I2994">
        <v>11967.96</v>
      </c>
      <c r="J2994">
        <v>115</v>
      </c>
      <c r="K2994">
        <v>3</v>
      </c>
      <c r="L2994">
        <v>16.1</v>
      </c>
      <c r="M2994">
        <v>30.1</v>
      </c>
      <c r="N2994" t="s">
        <v>78</v>
      </c>
      <c r="O2994" t="s">
        <v>75</v>
      </c>
      <c r="P2994" t="s">
        <v>58</v>
      </c>
      <c r="R2994">
        <f>SUMIF(A2994:A7993,"C02993",I2994:I7993)</f>
        <v>11967.96</v>
      </c>
      <c r="S2994" s="1">
        <v>11924.77</v>
      </c>
      <c r="T2994">
        <f t="shared" si="342"/>
        <v>104.069217391304</v>
      </c>
      <c r="U2994">
        <f t="shared" si="343"/>
        <v>3461.5</v>
      </c>
      <c r="V2994">
        <f>U2994</f>
        <v>3461.5</v>
      </c>
      <c r="W2994">
        <f t="shared" si="339"/>
        <v>4258.51666666667</v>
      </c>
      <c r="X2994">
        <f t="shared" si="337"/>
        <v>1.02530405782368</v>
      </c>
      <c r="AH2994" t="str">
        <f t="shared" si="340"/>
        <v>3rd Quality</v>
      </c>
      <c r="AJ2994">
        <f>((T2994-X2994)*2)/16.1</f>
        <v>12.8004861283826</v>
      </c>
      <c r="AK2994">
        <f t="shared" si="338"/>
        <v>86065.2427826087</v>
      </c>
    </row>
    <row r="2995" spans="1:37">
      <c r="A2995" t="s">
        <v>3061</v>
      </c>
      <c r="B2995">
        <v>37</v>
      </c>
      <c r="C2995" t="s">
        <v>50</v>
      </c>
      <c r="D2995" t="s">
        <v>45</v>
      </c>
      <c r="E2995">
        <v>767</v>
      </c>
      <c r="F2995">
        <v>4</v>
      </c>
      <c r="G2995">
        <v>2</v>
      </c>
      <c r="H2995">
        <v>9978.18</v>
      </c>
      <c r="I2995">
        <v>19180.94</v>
      </c>
      <c r="J2995">
        <v>18</v>
      </c>
      <c r="K2995">
        <v>0</v>
      </c>
      <c r="L2995">
        <v>4.1</v>
      </c>
      <c r="M2995">
        <v>18.9</v>
      </c>
      <c r="N2995" t="s">
        <v>57</v>
      </c>
      <c r="O2995" t="s">
        <v>53</v>
      </c>
      <c r="P2995" t="s">
        <v>58</v>
      </c>
      <c r="R2995">
        <f>SUMIF(A2995:A7994,"C02994",I2995:I7994)</f>
        <v>19180.94</v>
      </c>
      <c r="S2995" s="1">
        <v>13111.37</v>
      </c>
      <c r="T2995">
        <f t="shared" si="342"/>
        <v>1065.60777777778</v>
      </c>
      <c r="U2995">
        <f t="shared" si="343"/>
        <v>340.2</v>
      </c>
      <c r="V2995">
        <f t="shared" si="341"/>
        <v>28.35</v>
      </c>
      <c r="W2995">
        <f t="shared" si="339"/>
        <v>9720.04</v>
      </c>
      <c r="X2995">
        <f t="shared" si="337"/>
        <v>0.0768677253767721</v>
      </c>
      <c r="AH2995" t="str">
        <f t="shared" si="340"/>
        <v>2nd Quality</v>
      </c>
      <c r="AJ2995">
        <f>((T2995-X2995)*2)/4.1</f>
        <v>519.771175635319</v>
      </c>
      <c r="AK2995">
        <f t="shared" si="338"/>
        <v>817321.165555555</v>
      </c>
    </row>
    <row r="2996" spans="1:37">
      <c r="A2996" t="s">
        <v>3062</v>
      </c>
      <c r="B2996">
        <v>34</v>
      </c>
      <c r="C2996" t="s">
        <v>44</v>
      </c>
      <c r="D2996" t="s">
        <v>51</v>
      </c>
      <c r="E2996">
        <v>1133</v>
      </c>
      <c r="F2996">
        <v>26</v>
      </c>
      <c r="G2996">
        <v>6</v>
      </c>
      <c r="H2996">
        <v>7808.27</v>
      </c>
      <c r="I2996">
        <v>49268.88</v>
      </c>
      <c r="J2996">
        <v>54</v>
      </c>
      <c r="K2996">
        <v>0</v>
      </c>
      <c r="L2996">
        <v>1.8</v>
      </c>
      <c r="M2996">
        <v>28.7</v>
      </c>
      <c r="N2996" t="s">
        <v>63</v>
      </c>
      <c r="O2996" t="s">
        <v>47</v>
      </c>
      <c r="P2996" t="s">
        <v>68</v>
      </c>
      <c r="R2996">
        <f>SUMIF(A2996:A7995,"C02995",I2996:I7995)</f>
        <v>49268.88</v>
      </c>
      <c r="S2996" s="1">
        <v>58096.81</v>
      </c>
      <c r="T2996">
        <f t="shared" si="342"/>
        <v>912.386666666667</v>
      </c>
      <c r="U2996">
        <f t="shared" si="343"/>
        <v>1549.8</v>
      </c>
      <c r="V2996">
        <f t="shared" si="341"/>
        <v>129.15</v>
      </c>
      <c r="W2996">
        <f t="shared" si="339"/>
        <v>19026.05</v>
      </c>
      <c r="X2996">
        <f t="shared" si="337"/>
        <v>0.145102564332432</v>
      </c>
      <c r="AH2996" t="str">
        <f t="shared" si="340"/>
        <v>2nd Quality</v>
      </c>
      <c r="AJ2996">
        <f>((T2996-X2996)*2)/1.8</f>
        <v>1013.60173789148</v>
      </c>
      <c r="AK2996">
        <f t="shared" si="338"/>
        <v>1033734.09333333</v>
      </c>
    </row>
    <row r="2997" spans="1:37">
      <c r="A2997" t="s">
        <v>3063</v>
      </c>
      <c r="B2997">
        <v>36</v>
      </c>
      <c r="C2997" t="s">
        <v>44</v>
      </c>
      <c r="D2997" t="s">
        <v>45</v>
      </c>
      <c r="E2997">
        <v>1112</v>
      </c>
      <c r="F2997">
        <v>36</v>
      </c>
      <c r="G2997">
        <v>10</v>
      </c>
      <c r="H2997">
        <v>1342.99</v>
      </c>
      <c r="I2997">
        <v>11924.77</v>
      </c>
      <c r="J2997">
        <v>89</v>
      </c>
      <c r="K2997">
        <v>0</v>
      </c>
      <c r="L2997">
        <v>25.8</v>
      </c>
      <c r="M2997">
        <v>11.1</v>
      </c>
      <c r="N2997" t="s">
        <v>57</v>
      </c>
      <c r="O2997" t="s">
        <v>47</v>
      </c>
      <c r="P2997" t="s">
        <v>54</v>
      </c>
      <c r="R2997">
        <f>SUMIF(A2997:A7996,"C02996",I2997:I7996)</f>
        <v>11924.77</v>
      </c>
      <c r="S2997" s="1">
        <v>1868.07</v>
      </c>
      <c r="T2997">
        <f t="shared" si="342"/>
        <v>133.986179775281</v>
      </c>
      <c r="U2997">
        <f t="shared" si="343"/>
        <v>987.9</v>
      </c>
      <c r="V2997">
        <f t="shared" si="341"/>
        <v>82.325</v>
      </c>
      <c r="W2997">
        <f t="shared" si="339"/>
        <v>4422.92</v>
      </c>
      <c r="X2997">
        <f t="shared" si="337"/>
        <v>0.828003186918741</v>
      </c>
      <c r="AH2997" t="str">
        <f t="shared" si="340"/>
        <v>3rd Quality</v>
      </c>
      <c r="AJ2997">
        <f>((T2997-X2997)*2)/25.8</f>
        <v>10.3223392704157</v>
      </c>
      <c r="AK2997">
        <f t="shared" si="338"/>
        <v>148992.631910112</v>
      </c>
    </row>
    <row r="2998" spans="1:37">
      <c r="A2998" t="s">
        <v>3064</v>
      </c>
      <c r="B2998">
        <v>39</v>
      </c>
      <c r="C2998" t="s">
        <v>44</v>
      </c>
      <c r="D2998" t="s">
        <v>60</v>
      </c>
      <c r="E2998">
        <v>1437</v>
      </c>
      <c r="F2998">
        <v>38</v>
      </c>
      <c r="G2998">
        <v>4</v>
      </c>
      <c r="H2998">
        <v>3424.81</v>
      </c>
      <c r="I2998">
        <v>13111.37</v>
      </c>
      <c r="J2998">
        <v>29</v>
      </c>
      <c r="K2998">
        <v>1</v>
      </c>
      <c r="L2998">
        <v>8.7</v>
      </c>
      <c r="M2998">
        <v>17.7</v>
      </c>
      <c r="N2998" t="s">
        <v>63</v>
      </c>
      <c r="O2998" t="s">
        <v>47</v>
      </c>
      <c r="P2998" t="s">
        <v>66</v>
      </c>
      <c r="R2998">
        <f>SUMIF(A2998:A7997,"C02997",I2998:I7997)</f>
        <v>13111.37</v>
      </c>
      <c r="S2998" s="1">
        <v>40004.89</v>
      </c>
      <c r="T2998">
        <f t="shared" si="342"/>
        <v>452.116206896552</v>
      </c>
      <c r="U2998">
        <f t="shared" si="343"/>
        <v>513.3</v>
      </c>
      <c r="V2998">
        <f>U2998</f>
        <v>513.3</v>
      </c>
      <c r="W2998">
        <f t="shared" si="339"/>
        <v>5512.39333333333</v>
      </c>
      <c r="X2998">
        <f t="shared" si="337"/>
        <v>0.419585320061551</v>
      </c>
      <c r="AH2998" t="str">
        <f t="shared" si="340"/>
        <v>3rd Quality</v>
      </c>
      <c r="AJ2998">
        <f>((T2998-X2998)*2)/8.7</f>
        <v>103.838303810687</v>
      </c>
      <c r="AK2998">
        <f t="shared" si="338"/>
        <v>649690.989310345</v>
      </c>
    </row>
    <row r="2999" spans="1:37">
      <c r="A2999" t="s">
        <v>3065</v>
      </c>
      <c r="B2999">
        <v>31</v>
      </c>
      <c r="C2999" t="s">
        <v>44</v>
      </c>
      <c r="D2999" t="s">
        <v>60</v>
      </c>
      <c r="E2999">
        <v>1049</v>
      </c>
      <c r="F2999">
        <v>3</v>
      </c>
      <c r="G2999">
        <v>25</v>
      </c>
      <c r="H2999">
        <v>2279.97</v>
      </c>
      <c r="I2999">
        <v>58096.81</v>
      </c>
      <c r="J2999">
        <v>130</v>
      </c>
      <c r="K2999">
        <v>0</v>
      </c>
      <c r="L2999">
        <v>14.3</v>
      </c>
      <c r="M2999">
        <v>28.6</v>
      </c>
      <c r="N2999" t="s">
        <v>81</v>
      </c>
      <c r="O2999" t="s">
        <v>47</v>
      </c>
      <c r="P2999" t="s">
        <v>66</v>
      </c>
      <c r="R2999">
        <f>SUMIF(A2999:A7998,"C02998",I2999:I7998)</f>
        <v>58096.81</v>
      </c>
      <c r="S2999" s="1">
        <v>1495.73</v>
      </c>
      <c r="T2999">
        <f t="shared" si="342"/>
        <v>446.898538461538</v>
      </c>
      <c r="U2999">
        <f t="shared" si="343"/>
        <v>3718</v>
      </c>
      <c r="V2999">
        <f t="shared" si="341"/>
        <v>309.833333333333</v>
      </c>
      <c r="W2999">
        <f t="shared" si="339"/>
        <v>20125.9266666667</v>
      </c>
      <c r="X2999">
        <f t="shared" si="337"/>
        <v>0.460093773163682</v>
      </c>
      <c r="AH2999" t="str">
        <f t="shared" si="340"/>
        <v>1st Quality</v>
      </c>
      <c r="AJ2999">
        <f>((T2999-X2999)*2)/14.3</f>
        <v>62.4389433130593</v>
      </c>
      <c r="AK2999">
        <f t="shared" si="338"/>
        <v>468796.566846154</v>
      </c>
    </row>
    <row r="3000" spans="1:37">
      <c r="A3000" t="s">
        <v>3066</v>
      </c>
      <c r="B3000">
        <v>51</v>
      </c>
      <c r="C3000" t="s">
        <v>44</v>
      </c>
      <c r="D3000" t="s">
        <v>60</v>
      </c>
      <c r="E3000">
        <v>628</v>
      </c>
      <c r="F3000">
        <v>326</v>
      </c>
      <c r="G3000">
        <v>1</v>
      </c>
      <c r="H3000">
        <v>1671.14</v>
      </c>
      <c r="I3000">
        <v>1868.07</v>
      </c>
      <c r="J3000">
        <v>15</v>
      </c>
      <c r="K3000">
        <v>0</v>
      </c>
      <c r="L3000">
        <v>22.5</v>
      </c>
      <c r="M3000">
        <v>13.4</v>
      </c>
      <c r="N3000" t="s">
        <v>78</v>
      </c>
      <c r="O3000" t="s">
        <v>75</v>
      </c>
      <c r="P3000" t="s">
        <v>68</v>
      </c>
      <c r="R3000">
        <f>SUMIF(A3000:A7999,"C02999",I3000:I7999)</f>
        <v>1868.07</v>
      </c>
      <c r="S3000" s="1">
        <v>46355.18</v>
      </c>
      <c r="T3000">
        <f t="shared" si="342"/>
        <v>124.538</v>
      </c>
      <c r="U3000">
        <f t="shared" si="343"/>
        <v>201</v>
      </c>
      <c r="V3000">
        <f t="shared" si="341"/>
        <v>16.75</v>
      </c>
      <c r="W3000">
        <f t="shared" si="339"/>
        <v>1180.07</v>
      </c>
      <c r="X3000">
        <f t="shared" ref="X3000:X3063" si="344">E3000/H3000</f>
        <v>0.375791375946958</v>
      </c>
      <c r="AH3000" t="str">
        <f t="shared" si="340"/>
        <v>3rd Quality</v>
      </c>
      <c r="AJ3000">
        <f>((T3000-X3000)*2)/22.5</f>
        <v>11.0366407665825</v>
      </c>
      <c r="AK3000">
        <f t="shared" si="338"/>
        <v>78209.864</v>
      </c>
    </row>
    <row r="3001" spans="1:37">
      <c r="A3001" t="s">
        <v>3067</v>
      </c>
      <c r="B3001">
        <v>21</v>
      </c>
      <c r="C3001" t="s">
        <v>44</v>
      </c>
      <c r="D3001" t="s">
        <v>45</v>
      </c>
      <c r="E3001">
        <v>507</v>
      </c>
      <c r="F3001">
        <v>3</v>
      </c>
      <c r="G3001">
        <v>20</v>
      </c>
      <c r="H3001">
        <v>1798.44</v>
      </c>
      <c r="I3001">
        <v>40004.89</v>
      </c>
      <c r="J3001">
        <v>147</v>
      </c>
      <c r="K3001">
        <v>3</v>
      </c>
      <c r="L3001">
        <v>4</v>
      </c>
      <c r="M3001">
        <v>59.1</v>
      </c>
      <c r="N3001" t="s">
        <v>57</v>
      </c>
      <c r="O3001" t="s">
        <v>53</v>
      </c>
      <c r="P3001" t="s">
        <v>58</v>
      </c>
      <c r="R3001">
        <f>SUMIF(A3001:A8000,"C03000",I3001:I8000)</f>
        <v>40004.89</v>
      </c>
      <c r="S3001" s="1">
        <v>10701.73</v>
      </c>
      <c r="T3001">
        <f t="shared" si="342"/>
        <v>272.142108843537</v>
      </c>
      <c r="U3001">
        <f t="shared" si="343"/>
        <v>8687.7</v>
      </c>
      <c r="V3001">
        <f>U3001</f>
        <v>8687.7</v>
      </c>
      <c r="W3001">
        <f t="shared" si="339"/>
        <v>13934.7766666667</v>
      </c>
      <c r="X3001">
        <f t="shared" si="344"/>
        <v>0.281910989524254</v>
      </c>
      <c r="AH3001" t="str">
        <f t="shared" si="340"/>
        <v>2nd Quality</v>
      </c>
      <c r="AJ3001">
        <f>((T3001-X3001)*2)/4</f>
        <v>135.930098927006</v>
      </c>
      <c r="AK3001">
        <f t="shared" si="338"/>
        <v>137976.049183673</v>
      </c>
    </row>
    <row r="3002" spans="1:37">
      <c r="A3002" t="s">
        <v>3068</v>
      </c>
      <c r="B3002">
        <v>31</v>
      </c>
      <c r="C3002" t="s">
        <v>44</v>
      </c>
      <c r="D3002" t="s">
        <v>45</v>
      </c>
      <c r="E3002">
        <v>542</v>
      </c>
      <c r="F3002">
        <v>128</v>
      </c>
      <c r="G3002">
        <v>3</v>
      </c>
      <c r="H3002">
        <v>483.92</v>
      </c>
      <c r="I3002">
        <v>1495.73</v>
      </c>
      <c r="J3002">
        <v>21</v>
      </c>
      <c r="K3002">
        <v>0</v>
      </c>
      <c r="L3002">
        <v>19.6</v>
      </c>
      <c r="M3002">
        <v>22.8</v>
      </c>
      <c r="N3002" t="s">
        <v>61</v>
      </c>
      <c r="O3002" t="s">
        <v>47</v>
      </c>
      <c r="P3002" t="s">
        <v>68</v>
      </c>
      <c r="R3002">
        <f>SUMIF(A3002:A8001,"C03001",I3002:I8001)</f>
        <v>1495.73</v>
      </c>
      <c r="S3002" s="1">
        <v>2675.08</v>
      </c>
      <c r="T3002">
        <f t="shared" si="342"/>
        <v>71.2252380952381</v>
      </c>
      <c r="U3002">
        <f t="shared" si="343"/>
        <v>478.8</v>
      </c>
      <c r="V3002">
        <f t="shared" si="341"/>
        <v>39.9</v>
      </c>
      <c r="W3002">
        <f t="shared" si="339"/>
        <v>660.216666666667</v>
      </c>
      <c r="X3002">
        <f t="shared" si="344"/>
        <v>1.12001983798975</v>
      </c>
      <c r="AH3002" t="str">
        <f t="shared" si="340"/>
        <v>3rd Quality</v>
      </c>
      <c r="AJ3002">
        <f>((T3002-X3002)*2)/19.6</f>
        <v>7.15359369971922</v>
      </c>
      <c r="AK3002">
        <f t="shared" si="338"/>
        <v>38604.0790476191</v>
      </c>
    </row>
    <row r="3003" spans="1:37">
      <c r="A3003" t="s">
        <v>3069</v>
      </c>
      <c r="B3003">
        <v>35</v>
      </c>
      <c r="C3003" t="s">
        <v>44</v>
      </c>
      <c r="D3003" t="s">
        <v>60</v>
      </c>
      <c r="E3003">
        <v>1046</v>
      </c>
      <c r="F3003">
        <v>12</v>
      </c>
      <c r="G3003">
        <v>5</v>
      </c>
      <c r="H3003">
        <v>9640.99</v>
      </c>
      <c r="I3003">
        <v>46355.18</v>
      </c>
      <c r="J3003">
        <v>45</v>
      </c>
      <c r="K3003">
        <v>0</v>
      </c>
      <c r="L3003">
        <v>5</v>
      </c>
      <c r="M3003">
        <v>25.4</v>
      </c>
      <c r="N3003" t="s">
        <v>46</v>
      </c>
      <c r="O3003" t="s">
        <v>75</v>
      </c>
      <c r="P3003" t="s">
        <v>58</v>
      </c>
      <c r="R3003">
        <f>SUMIF(A3003:A8002,"C03002",I3003:I8002)</f>
        <v>46355.18</v>
      </c>
      <c r="S3003" s="1">
        <v>72307.83</v>
      </c>
      <c r="T3003">
        <f t="shared" si="342"/>
        <v>1030.11511111111</v>
      </c>
      <c r="U3003">
        <f t="shared" si="343"/>
        <v>1143</v>
      </c>
      <c r="V3003">
        <f t="shared" si="341"/>
        <v>95.25</v>
      </c>
      <c r="W3003">
        <f t="shared" si="339"/>
        <v>18665.7233333333</v>
      </c>
      <c r="X3003">
        <f t="shared" si="344"/>
        <v>0.108495081936606</v>
      </c>
      <c r="AH3003" t="str">
        <f t="shared" si="340"/>
        <v>2nd Quality</v>
      </c>
      <c r="AJ3003">
        <f>((T3003-X3003)*2)/5</f>
        <v>412.002646411669</v>
      </c>
      <c r="AK3003">
        <f t="shared" si="338"/>
        <v>1077500.40622222</v>
      </c>
    </row>
    <row r="3004" spans="1:37">
      <c r="A3004" t="s">
        <v>3070</v>
      </c>
      <c r="B3004">
        <v>39</v>
      </c>
      <c r="C3004" t="s">
        <v>44</v>
      </c>
      <c r="D3004" t="s">
        <v>60</v>
      </c>
      <c r="E3004">
        <v>1021</v>
      </c>
      <c r="F3004">
        <v>54</v>
      </c>
      <c r="G3004">
        <v>6</v>
      </c>
      <c r="H3004">
        <v>1762.45</v>
      </c>
      <c r="I3004">
        <v>10701.73</v>
      </c>
      <c r="J3004">
        <v>43</v>
      </c>
      <c r="K3004">
        <v>0</v>
      </c>
      <c r="L3004">
        <v>25.6</v>
      </c>
      <c r="M3004">
        <v>33.7</v>
      </c>
      <c r="N3004" t="s">
        <v>61</v>
      </c>
      <c r="O3004" t="s">
        <v>47</v>
      </c>
      <c r="P3004" t="s">
        <v>48</v>
      </c>
      <c r="R3004">
        <f>SUMIF(A3004:A8003,"C03003",I3004:I8003)</f>
        <v>10701.73</v>
      </c>
      <c r="S3004" s="1">
        <v>2132.55</v>
      </c>
      <c r="T3004">
        <f t="shared" si="342"/>
        <v>248.877441860465</v>
      </c>
      <c r="U3004">
        <f t="shared" si="343"/>
        <v>1449.1</v>
      </c>
      <c r="V3004">
        <f t="shared" si="341"/>
        <v>120.758333333333</v>
      </c>
      <c r="W3004">
        <f t="shared" si="339"/>
        <v>4155.06</v>
      </c>
      <c r="X3004">
        <f t="shared" si="344"/>
        <v>0.579307214389061</v>
      </c>
      <c r="AH3004" t="str">
        <f t="shared" si="340"/>
        <v>3rd Quality</v>
      </c>
      <c r="AJ3004">
        <f>((T3004-X3004)*2)/25.6</f>
        <v>19.3982917692247</v>
      </c>
      <c r="AK3004">
        <f t="shared" si="338"/>
        <v>254103.868139535</v>
      </c>
    </row>
    <row r="3005" spans="1:37">
      <c r="A3005" t="s">
        <v>3071</v>
      </c>
      <c r="B3005">
        <v>37</v>
      </c>
      <c r="C3005" t="s">
        <v>50</v>
      </c>
      <c r="D3005" t="s">
        <v>60</v>
      </c>
      <c r="E3005">
        <v>737</v>
      </c>
      <c r="F3005">
        <v>181</v>
      </c>
      <c r="G3005">
        <v>4</v>
      </c>
      <c r="H3005">
        <v>605.7</v>
      </c>
      <c r="I3005">
        <v>2675.08</v>
      </c>
      <c r="J3005">
        <v>35</v>
      </c>
      <c r="K3005">
        <v>0</v>
      </c>
      <c r="L3005">
        <v>29.8</v>
      </c>
      <c r="M3005">
        <v>55.5</v>
      </c>
      <c r="N3005" t="s">
        <v>81</v>
      </c>
      <c r="O3005" t="s">
        <v>75</v>
      </c>
      <c r="P3005" t="s">
        <v>58</v>
      </c>
      <c r="R3005">
        <f>SUMIF(A3005:A8004,"C03004",I3005:I8004)</f>
        <v>2675.08</v>
      </c>
      <c r="S3005" s="1">
        <v>11681.1</v>
      </c>
      <c r="T3005">
        <f t="shared" si="342"/>
        <v>76.4308571428571</v>
      </c>
      <c r="U3005">
        <f t="shared" si="343"/>
        <v>1942.5</v>
      </c>
      <c r="V3005">
        <f t="shared" si="341"/>
        <v>161.875</v>
      </c>
      <c r="W3005">
        <f t="shared" si="339"/>
        <v>1093.92666666667</v>
      </c>
      <c r="X3005">
        <f t="shared" si="344"/>
        <v>1.21677398051841</v>
      </c>
      <c r="AH3005" t="str">
        <f t="shared" si="340"/>
        <v>3rd Quality</v>
      </c>
      <c r="AJ3005">
        <f>((T3005-X3005)*2)/29.8</f>
        <v>5.04792504445226</v>
      </c>
      <c r="AK3005">
        <f t="shared" si="338"/>
        <v>56329.5417142857</v>
      </c>
    </row>
    <row r="3006" spans="1:37">
      <c r="A3006" t="s">
        <v>3072</v>
      </c>
      <c r="B3006">
        <v>33</v>
      </c>
      <c r="C3006" t="s">
        <v>44</v>
      </c>
      <c r="D3006" t="s">
        <v>51</v>
      </c>
      <c r="E3006">
        <v>1173</v>
      </c>
      <c r="F3006">
        <v>5</v>
      </c>
      <c r="G3006">
        <v>24</v>
      </c>
      <c r="H3006">
        <v>2896.61</v>
      </c>
      <c r="I3006">
        <v>72307.83</v>
      </c>
      <c r="J3006">
        <v>52</v>
      </c>
      <c r="K3006">
        <v>1</v>
      </c>
      <c r="L3006">
        <v>0</v>
      </c>
      <c r="M3006">
        <v>14.5</v>
      </c>
      <c r="N3006" t="s">
        <v>61</v>
      </c>
      <c r="O3006" t="s">
        <v>47</v>
      </c>
      <c r="P3006" t="s">
        <v>58</v>
      </c>
      <c r="R3006">
        <f>SUMIF(A3006:A8005,"C03005",I3006:I8005)</f>
        <v>72307.83</v>
      </c>
      <c r="S3006" s="1">
        <v>165070.87</v>
      </c>
      <c r="T3006">
        <f t="shared" si="342"/>
        <v>1390.53519230769</v>
      </c>
      <c r="U3006">
        <f t="shared" si="343"/>
        <v>754</v>
      </c>
      <c r="V3006">
        <f>U3006</f>
        <v>754</v>
      </c>
      <c r="W3006">
        <f t="shared" si="339"/>
        <v>25068.48</v>
      </c>
      <c r="X3006">
        <f t="shared" si="344"/>
        <v>0.404956138382454</v>
      </c>
      <c r="AH3006" t="str">
        <f t="shared" si="340"/>
        <v>1st Quality</v>
      </c>
      <c r="AJ3006">
        <f>((T3006-X3006)*2)</f>
        <v>2780.26047233862</v>
      </c>
      <c r="AK3006">
        <f t="shared" si="338"/>
        <v>1631097.78057692</v>
      </c>
    </row>
    <row r="3007" spans="1:37">
      <c r="A3007" t="s">
        <v>3073</v>
      </c>
      <c r="B3007">
        <v>34</v>
      </c>
      <c r="C3007" t="s">
        <v>44</v>
      </c>
      <c r="D3007" t="s">
        <v>51</v>
      </c>
      <c r="E3007">
        <v>556</v>
      </c>
      <c r="F3007">
        <v>126</v>
      </c>
      <c r="G3007">
        <v>3</v>
      </c>
      <c r="H3007">
        <v>776.2</v>
      </c>
      <c r="I3007">
        <v>2132.55</v>
      </c>
      <c r="J3007">
        <v>27</v>
      </c>
      <c r="K3007">
        <v>0</v>
      </c>
      <c r="L3007">
        <v>29.4</v>
      </c>
      <c r="M3007">
        <v>2.9</v>
      </c>
      <c r="N3007" t="s">
        <v>81</v>
      </c>
      <c r="O3007" t="s">
        <v>47</v>
      </c>
      <c r="P3007" t="s">
        <v>48</v>
      </c>
      <c r="R3007">
        <f>SUMIF(A3007:A8006,"C03006",I3007:I8006)</f>
        <v>2132.55</v>
      </c>
      <c r="S3007" s="1">
        <v>69554.35</v>
      </c>
      <c r="T3007">
        <f t="shared" si="342"/>
        <v>78.9833333333333</v>
      </c>
      <c r="U3007">
        <f t="shared" si="343"/>
        <v>78.3</v>
      </c>
      <c r="V3007">
        <f t="shared" si="341"/>
        <v>6.525</v>
      </c>
      <c r="W3007">
        <f t="shared" si="339"/>
        <v>969.916666666667</v>
      </c>
      <c r="X3007">
        <f t="shared" si="344"/>
        <v>0.71631022932234</v>
      </c>
      <c r="AH3007" t="str">
        <f t="shared" si="340"/>
        <v>3rd Quality</v>
      </c>
      <c r="AJ3007">
        <f>((T3007-X3007)*2)/29.4</f>
        <v>5.32428728598714</v>
      </c>
      <c r="AK3007">
        <f t="shared" si="338"/>
        <v>43914.7333333333</v>
      </c>
    </row>
    <row r="3008" spans="1:37">
      <c r="A3008" t="s">
        <v>3074</v>
      </c>
      <c r="B3008">
        <v>35</v>
      </c>
      <c r="C3008" t="s">
        <v>101</v>
      </c>
      <c r="D3008" t="s">
        <v>60</v>
      </c>
      <c r="E3008">
        <v>1149</v>
      </c>
      <c r="F3008">
        <v>34</v>
      </c>
      <c r="G3008">
        <v>2</v>
      </c>
      <c r="H3008">
        <v>5246.77</v>
      </c>
      <c r="I3008">
        <v>11681.1</v>
      </c>
      <c r="J3008">
        <v>12</v>
      </c>
      <c r="K3008">
        <v>0</v>
      </c>
      <c r="L3008">
        <v>0</v>
      </c>
      <c r="M3008">
        <v>14.6</v>
      </c>
      <c r="N3008" t="s">
        <v>63</v>
      </c>
      <c r="O3008" t="s">
        <v>53</v>
      </c>
      <c r="P3008" t="s">
        <v>66</v>
      </c>
      <c r="R3008">
        <f>SUMIF(A3008:A8007,"C03007",I3008:I8007)</f>
        <v>11681.1</v>
      </c>
      <c r="S3008" s="1">
        <v>2478.36</v>
      </c>
      <c r="T3008">
        <f t="shared" si="342"/>
        <v>973.425</v>
      </c>
      <c r="U3008">
        <f t="shared" si="343"/>
        <v>175.2</v>
      </c>
      <c r="V3008">
        <f t="shared" si="341"/>
        <v>14.6</v>
      </c>
      <c r="W3008">
        <f t="shared" si="339"/>
        <v>5642.95666666667</v>
      </c>
      <c r="X3008">
        <f t="shared" si="344"/>
        <v>0.218991875001191</v>
      </c>
      <c r="AH3008" t="str">
        <f t="shared" si="340"/>
        <v>3rd Quality</v>
      </c>
      <c r="AJ3008">
        <f>((T3008-X3008)*2)</f>
        <v>1946.41201625</v>
      </c>
      <c r="AK3008">
        <f t="shared" si="338"/>
        <v>1118465.325</v>
      </c>
    </row>
    <row r="3009" spans="1:37">
      <c r="A3009" t="s">
        <v>3075</v>
      </c>
      <c r="B3009">
        <v>37</v>
      </c>
      <c r="C3009" t="s">
        <v>44</v>
      </c>
      <c r="D3009" t="s">
        <v>51</v>
      </c>
      <c r="E3009">
        <v>1043</v>
      </c>
      <c r="F3009">
        <v>5</v>
      </c>
      <c r="G3009">
        <v>30</v>
      </c>
      <c r="H3009">
        <v>5017.98</v>
      </c>
      <c r="I3009">
        <v>165070.87</v>
      </c>
      <c r="J3009">
        <v>65</v>
      </c>
      <c r="K3009">
        <v>2</v>
      </c>
      <c r="L3009">
        <v>9.2</v>
      </c>
      <c r="M3009">
        <v>41.8</v>
      </c>
      <c r="N3009" t="s">
        <v>46</v>
      </c>
      <c r="O3009" t="s">
        <v>47</v>
      </c>
      <c r="P3009" t="s">
        <v>68</v>
      </c>
      <c r="R3009">
        <f>SUMIF(A3009:A8008,"C03008",I3009:I8008)</f>
        <v>165070.87</v>
      </c>
      <c r="S3009" s="1">
        <v>13574.12</v>
      </c>
      <c r="T3009">
        <f t="shared" si="342"/>
        <v>2539.55184615385</v>
      </c>
      <c r="U3009">
        <f t="shared" si="343"/>
        <v>2717</v>
      </c>
      <c r="V3009">
        <f>U3009</f>
        <v>2717</v>
      </c>
      <c r="W3009">
        <f t="shared" si="339"/>
        <v>56696.6166666667</v>
      </c>
      <c r="X3009">
        <f t="shared" si="344"/>
        <v>0.207852562186378</v>
      </c>
      <c r="AH3009" t="str">
        <f t="shared" si="340"/>
        <v>2nd Quality</v>
      </c>
      <c r="AJ3009">
        <f>((T3009-X3009)*2)/9.2</f>
        <v>552.03130295471</v>
      </c>
      <c r="AK3009">
        <f t="shared" si="338"/>
        <v>2648752.57553846</v>
      </c>
    </row>
    <row r="3010" spans="1:37">
      <c r="A3010" t="s">
        <v>3076</v>
      </c>
      <c r="B3010">
        <v>34</v>
      </c>
      <c r="C3010" t="s">
        <v>44</v>
      </c>
      <c r="D3010" t="s">
        <v>45</v>
      </c>
      <c r="E3010">
        <v>561</v>
      </c>
      <c r="F3010">
        <v>3</v>
      </c>
      <c r="G3010">
        <v>25</v>
      </c>
      <c r="H3010">
        <v>2985.08</v>
      </c>
      <c r="I3010">
        <v>69554.35</v>
      </c>
      <c r="J3010">
        <v>181</v>
      </c>
      <c r="K3010">
        <v>0</v>
      </c>
      <c r="L3010">
        <v>15.8</v>
      </c>
      <c r="M3010">
        <v>80</v>
      </c>
      <c r="N3010" t="s">
        <v>52</v>
      </c>
      <c r="O3010" t="s">
        <v>53</v>
      </c>
      <c r="P3010" t="s">
        <v>58</v>
      </c>
      <c r="R3010">
        <f>SUMIF(A3010:A8009,"C03009",I3010:I8009)</f>
        <v>69554.35</v>
      </c>
      <c r="S3010" s="1">
        <v>3506.75</v>
      </c>
      <c r="T3010">
        <f t="shared" si="342"/>
        <v>384.27817679558</v>
      </c>
      <c r="U3010">
        <f t="shared" si="343"/>
        <v>14480</v>
      </c>
      <c r="V3010">
        <f t="shared" si="341"/>
        <v>1206.66666666667</v>
      </c>
      <c r="W3010">
        <f t="shared" si="339"/>
        <v>24180.1433333333</v>
      </c>
      <c r="X3010">
        <f t="shared" si="344"/>
        <v>0.187934661717609</v>
      </c>
      <c r="AH3010" t="str">
        <f t="shared" si="340"/>
        <v>2nd Quality</v>
      </c>
      <c r="AJ3010">
        <f>((T3010-X3010)*2)/15.8</f>
        <v>48.6190179916281</v>
      </c>
      <c r="AK3010">
        <f t="shared" si="338"/>
        <v>215580.05718232</v>
      </c>
    </row>
    <row r="3011" spans="1:37">
      <c r="A3011" t="s">
        <v>3077</v>
      </c>
      <c r="B3011">
        <v>33</v>
      </c>
      <c r="C3011" t="s">
        <v>50</v>
      </c>
      <c r="D3011" t="s">
        <v>60</v>
      </c>
      <c r="E3011">
        <v>1352</v>
      </c>
      <c r="F3011">
        <v>148</v>
      </c>
      <c r="G3011">
        <v>3</v>
      </c>
      <c r="H3011">
        <v>796.15</v>
      </c>
      <c r="I3011">
        <v>2478.36</v>
      </c>
      <c r="J3011">
        <v>13</v>
      </c>
      <c r="K3011">
        <v>0</v>
      </c>
      <c r="L3011">
        <v>11.5</v>
      </c>
      <c r="M3011">
        <v>18</v>
      </c>
      <c r="N3011" t="s">
        <v>61</v>
      </c>
      <c r="O3011" t="s">
        <v>53</v>
      </c>
      <c r="P3011" t="s">
        <v>66</v>
      </c>
      <c r="R3011">
        <f>SUMIF(A3011:A8010,"C03010",I3011:I8010)</f>
        <v>2478.36</v>
      </c>
      <c r="S3011" s="1">
        <v>2656.55</v>
      </c>
      <c r="T3011">
        <f t="shared" si="342"/>
        <v>190.643076923077</v>
      </c>
      <c r="U3011">
        <f t="shared" si="343"/>
        <v>234</v>
      </c>
      <c r="V3011">
        <f t="shared" si="341"/>
        <v>19.5</v>
      </c>
      <c r="W3011">
        <f t="shared" si="339"/>
        <v>1091.83666666667</v>
      </c>
      <c r="X3011">
        <f t="shared" si="344"/>
        <v>1.6981724549394</v>
      </c>
      <c r="AH3011" t="str">
        <f t="shared" si="340"/>
        <v>3rd Quality</v>
      </c>
      <c r="AJ3011">
        <f>((T3011-X3011)*2)/11.5</f>
        <v>32.8599833857631</v>
      </c>
      <c r="AK3011">
        <f t="shared" ref="AK3011:AK3074" si="345">I3011/J3011*E3011</f>
        <v>257749.44</v>
      </c>
    </row>
    <row r="3012" spans="1:37">
      <c r="A3012" t="s">
        <v>3078</v>
      </c>
      <c r="B3012">
        <v>29</v>
      </c>
      <c r="C3012" t="s">
        <v>44</v>
      </c>
      <c r="D3012" t="s">
        <v>60</v>
      </c>
      <c r="E3012">
        <v>1318</v>
      </c>
      <c r="F3012">
        <v>109</v>
      </c>
      <c r="G3012">
        <v>8</v>
      </c>
      <c r="H3012">
        <v>1555.56</v>
      </c>
      <c r="I3012">
        <v>13574.12</v>
      </c>
      <c r="J3012">
        <v>41</v>
      </c>
      <c r="K3012">
        <v>0</v>
      </c>
      <c r="L3012">
        <v>32.5</v>
      </c>
      <c r="M3012">
        <v>13</v>
      </c>
      <c r="N3012" t="s">
        <v>52</v>
      </c>
      <c r="O3012" t="s">
        <v>53</v>
      </c>
      <c r="P3012" t="s">
        <v>58</v>
      </c>
      <c r="R3012">
        <f>SUMIF(A3012:A8011,"C03011",I3012:I8011)</f>
        <v>13574.12</v>
      </c>
      <c r="S3012" s="1">
        <v>3509.35</v>
      </c>
      <c r="T3012">
        <f t="shared" si="342"/>
        <v>331.076097560976</v>
      </c>
      <c r="U3012">
        <f t="shared" si="343"/>
        <v>533</v>
      </c>
      <c r="V3012">
        <f t="shared" si="341"/>
        <v>44.4166666666667</v>
      </c>
      <c r="W3012">
        <f t="shared" si="339"/>
        <v>5043.56</v>
      </c>
      <c r="X3012">
        <f t="shared" si="344"/>
        <v>0.847283293476304</v>
      </c>
      <c r="AH3012" t="str">
        <f t="shared" si="340"/>
        <v>3rd Quality</v>
      </c>
      <c r="AJ3012">
        <f>((T3012-X3012)*2)/32.5</f>
        <v>20.3217731856923</v>
      </c>
      <c r="AK3012">
        <f t="shared" si="345"/>
        <v>436358.296585366</v>
      </c>
    </row>
    <row r="3013" spans="1:37">
      <c r="A3013" t="s">
        <v>3079</v>
      </c>
      <c r="B3013">
        <v>38</v>
      </c>
      <c r="C3013" t="s">
        <v>44</v>
      </c>
      <c r="D3013" t="s">
        <v>45</v>
      </c>
      <c r="E3013">
        <v>1189</v>
      </c>
      <c r="F3013">
        <v>168</v>
      </c>
      <c r="G3013">
        <v>4</v>
      </c>
      <c r="H3013">
        <v>939.72</v>
      </c>
      <c r="I3013">
        <v>3506.75</v>
      </c>
      <c r="J3013">
        <v>37</v>
      </c>
      <c r="K3013">
        <v>2</v>
      </c>
      <c r="L3013">
        <v>9.7</v>
      </c>
      <c r="M3013">
        <v>18.5</v>
      </c>
      <c r="N3013" t="s">
        <v>81</v>
      </c>
      <c r="O3013" t="s">
        <v>47</v>
      </c>
      <c r="P3013" t="s">
        <v>48</v>
      </c>
      <c r="R3013">
        <f>SUMIF(A3013:A8012,"C03012",I3013:I8012)</f>
        <v>3506.75</v>
      </c>
      <c r="S3013" s="1">
        <v>8251.41</v>
      </c>
      <c r="T3013">
        <f t="shared" si="342"/>
        <v>94.777027027027</v>
      </c>
      <c r="U3013">
        <f t="shared" si="343"/>
        <v>684.5</v>
      </c>
      <c r="V3013">
        <f>U3013</f>
        <v>684.5</v>
      </c>
      <c r="W3013">
        <f t="shared" si="339"/>
        <v>1482.49</v>
      </c>
      <c r="X3013">
        <f t="shared" si="344"/>
        <v>1.2652705061082</v>
      </c>
      <c r="AH3013" t="str">
        <f t="shared" si="340"/>
        <v>3rd Quality</v>
      </c>
      <c r="AJ3013">
        <f>((T3013-X3013)*2)/9.7</f>
        <v>19.2807745403956</v>
      </c>
      <c r="AK3013">
        <f t="shared" si="345"/>
        <v>112689.885135135</v>
      </c>
    </row>
    <row r="3014" spans="1:37">
      <c r="A3014" t="s">
        <v>3080</v>
      </c>
      <c r="B3014">
        <v>42</v>
      </c>
      <c r="C3014" t="s">
        <v>44</v>
      </c>
      <c r="D3014" t="s">
        <v>60</v>
      </c>
      <c r="E3014">
        <v>1095</v>
      </c>
      <c r="F3014">
        <v>13</v>
      </c>
      <c r="G3014">
        <v>2</v>
      </c>
      <c r="H3014">
        <v>1205.69</v>
      </c>
      <c r="I3014">
        <v>2656.55</v>
      </c>
      <c r="J3014">
        <v>12</v>
      </c>
      <c r="K3014">
        <v>0</v>
      </c>
      <c r="L3014">
        <v>36</v>
      </c>
      <c r="M3014">
        <v>30.8</v>
      </c>
      <c r="N3014" t="s">
        <v>61</v>
      </c>
      <c r="O3014" t="s">
        <v>75</v>
      </c>
      <c r="P3014" t="s">
        <v>66</v>
      </c>
      <c r="R3014">
        <f>SUMIF(A3014:A8013,"C03013",I3014:I8013)</f>
        <v>2656.55</v>
      </c>
      <c r="S3014" s="1">
        <v>2241.93</v>
      </c>
      <c r="T3014">
        <f t="shared" si="342"/>
        <v>221.379166666667</v>
      </c>
      <c r="U3014">
        <f t="shared" si="343"/>
        <v>369.6</v>
      </c>
      <c r="V3014">
        <f t="shared" si="341"/>
        <v>30.8</v>
      </c>
      <c r="W3014">
        <f t="shared" si="339"/>
        <v>1287.74666666667</v>
      </c>
      <c r="X3014">
        <f t="shared" si="344"/>
        <v>0.908193648450265</v>
      </c>
      <c r="AH3014" t="str">
        <f t="shared" si="340"/>
        <v>3rd Quality</v>
      </c>
      <c r="AJ3014">
        <f>((T3014-X3014)*2)/36</f>
        <v>12.2483873899009</v>
      </c>
      <c r="AK3014">
        <f t="shared" si="345"/>
        <v>242410.1875</v>
      </c>
    </row>
    <row r="3015" spans="1:37">
      <c r="A3015" t="s">
        <v>3081</v>
      </c>
      <c r="B3015">
        <v>18</v>
      </c>
      <c r="C3015" t="s">
        <v>44</v>
      </c>
      <c r="D3015" t="s">
        <v>45</v>
      </c>
      <c r="E3015">
        <v>547</v>
      </c>
      <c r="F3015">
        <v>6</v>
      </c>
      <c r="G3015">
        <v>3</v>
      </c>
      <c r="H3015">
        <v>1267.08</v>
      </c>
      <c r="I3015">
        <v>3509.35</v>
      </c>
      <c r="J3015">
        <v>33</v>
      </c>
      <c r="K3015">
        <v>0</v>
      </c>
      <c r="L3015">
        <v>34.9</v>
      </c>
      <c r="M3015">
        <v>12.9</v>
      </c>
      <c r="N3015" t="s">
        <v>52</v>
      </c>
      <c r="O3015" t="s">
        <v>47</v>
      </c>
      <c r="P3015" t="s">
        <v>48</v>
      </c>
      <c r="R3015">
        <f>SUMIF(A3015:A8014,"C03014",I3015:I8014)</f>
        <v>3509.35</v>
      </c>
      <c r="S3015" s="1">
        <v>1662.88</v>
      </c>
      <c r="T3015">
        <f t="shared" si="342"/>
        <v>106.343939393939</v>
      </c>
      <c r="U3015">
        <f t="shared" si="343"/>
        <v>425.7</v>
      </c>
      <c r="V3015">
        <f t="shared" si="341"/>
        <v>35.475</v>
      </c>
      <c r="W3015">
        <f t="shared" si="339"/>
        <v>1592.47666666667</v>
      </c>
      <c r="X3015">
        <f t="shared" si="344"/>
        <v>0.431701234334059</v>
      </c>
      <c r="AH3015" t="str">
        <f t="shared" si="340"/>
        <v>3rd Quality</v>
      </c>
      <c r="AJ3015">
        <f>((T3015-X3015)*2)/34.9</f>
        <v>6.06946923550745</v>
      </c>
      <c r="AK3015">
        <f t="shared" si="345"/>
        <v>58170.1348484848</v>
      </c>
    </row>
    <row r="3016" spans="1:37">
      <c r="A3016" t="s">
        <v>3082</v>
      </c>
      <c r="B3016">
        <v>45</v>
      </c>
      <c r="C3016" t="s">
        <v>44</v>
      </c>
      <c r="D3016" t="s">
        <v>60</v>
      </c>
      <c r="E3016">
        <v>1425</v>
      </c>
      <c r="F3016">
        <v>38</v>
      </c>
      <c r="G3016">
        <v>6</v>
      </c>
      <c r="H3016">
        <v>1424.05</v>
      </c>
      <c r="I3016">
        <v>8251.41</v>
      </c>
      <c r="J3016">
        <v>40</v>
      </c>
      <c r="K3016">
        <v>1</v>
      </c>
      <c r="L3016">
        <v>19.9</v>
      </c>
      <c r="M3016">
        <v>4.2</v>
      </c>
      <c r="N3016" t="s">
        <v>57</v>
      </c>
      <c r="O3016" t="s">
        <v>47</v>
      </c>
      <c r="P3016" t="s">
        <v>58</v>
      </c>
      <c r="R3016">
        <f>SUMIF(A3016:A8015,"C03015",I3016:I8015)</f>
        <v>8251.41</v>
      </c>
      <c r="S3016" s="1">
        <v>70814.94</v>
      </c>
      <c r="T3016">
        <f t="shared" si="342"/>
        <v>206.28525</v>
      </c>
      <c r="U3016">
        <f t="shared" si="343"/>
        <v>168</v>
      </c>
      <c r="V3016">
        <f>U3016</f>
        <v>168</v>
      </c>
      <c r="W3016">
        <f t="shared" si="339"/>
        <v>3225.48666666667</v>
      </c>
      <c r="X3016">
        <f t="shared" si="344"/>
        <v>1.00066711140761</v>
      </c>
      <c r="AH3016" t="str">
        <f t="shared" si="340"/>
        <v>3rd Quality</v>
      </c>
      <c r="AJ3016">
        <f>((T3016-X3016)*2)/19.9</f>
        <v>20.6316163707128</v>
      </c>
      <c r="AK3016">
        <f t="shared" si="345"/>
        <v>293956.48125</v>
      </c>
    </row>
    <row r="3017" spans="1:37">
      <c r="A3017" t="s">
        <v>3083</v>
      </c>
      <c r="B3017">
        <v>35</v>
      </c>
      <c r="C3017" t="s">
        <v>44</v>
      </c>
      <c r="D3017" t="s">
        <v>60</v>
      </c>
      <c r="E3017">
        <v>559</v>
      </c>
      <c r="F3017">
        <v>21</v>
      </c>
      <c r="G3017">
        <v>2</v>
      </c>
      <c r="H3017">
        <v>1013.21</v>
      </c>
      <c r="I3017">
        <v>2241.93</v>
      </c>
      <c r="J3017">
        <v>20</v>
      </c>
      <c r="K3017">
        <v>0</v>
      </c>
      <c r="L3017">
        <v>32.2</v>
      </c>
      <c r="M3017">
        <v>36.6</v>
      </c>
      <c r="N3017" t="s">
        <v>61</v>
      </c>
      <c r="O3017" t="s">
        <v>75</v>
      </c>
      <c r="P3017" t="s">
        <v>66</v>
      </c>
      <c r="R3017">
        <f>SUMIF(A3017:A8016,"C03016",I3017:I8016)</f>
        <v>2241.93</v>
      </c>
      <c r="S3017" s="1">
        <v>4297.21</v>
      </c>
      <c r="T3017">
        <f t="shared" si="342"/>
        <v>112.0965</v>
      </c>
      <c r="U3017">
        <f t="shared" si="343"/>
        <v>732</v>
      </c>
      <c r="V3017">
        <f t="shared" si="341"/>
        <v>61</v>
      </c>
      <c r="W3017">
        <f t="shared" ref="W3017:W3080" si="346">(H3017+I3017+1)/3</f>
        <v>1085.38</v>
      </c>
      <c r="X3017">
        <f t="shared" si="344"/>
        <v>0.551711885986123</v>
      </c>
      <c r="AH3017" t="str">
        <f t="shared" si="340"/>
        <v>3rd Quality</v>
      </c>
      <c r="AJ3017">
        <f>((T3017-X3017)*2)/32.2</f>
        <v>6.92824770894496</v>
      </c>
      <c r="AK3017">
        <f t="shared" si="345"/>
        <v>62661.9435</v>
      </c>
    </row>
    <row r="3018" spans="1:37">
      <c r="A3018" t="s">
        <v>3084</v>
      </c>
      <c r="B3018">
        <v>33</v>
      </c>
      <c r="C3018" t="s">
        <v>101</v>
      </c>
      <c r="D3018" t="s">
        <v>60</v>
      </c>
      <c r="E3018">
        <v>1250</v>
      </c>
      <c r="F3018">
        <v>38</v>
      </c>
      <c r="G3018">
        <v>1</v>
      </c>
      <c r="H3018">
        <v>1501.88</v>
      </c>
      <c r="I3018">
        <v>1662.88</v>
      </c>
      <c r="J3018">
        <v>16</v>
      </c>
      <c r="K3018">
        <v>1</v>
      </c>
      <c r="L3018">
        <v>12.1</v>
      </c>
      <c r="M3018">
        <v>11</v>
      </c>
      <c r="N3018" t="s">
        <v>57</v>
      </c>
      <c r="O3018" t="s">
        <v>75</v>
      </c>
      <c r="P3018" t="s">
        <v>58</v>
      </c>
      <c r="R3018">
        <f>SUMIF(A3018:A8017,"C03017",I3018:I8017)</f>
        <v>1662.88</v>
      </c>
      <c r="S3018" s="1">
        <v>16745.74</v>
      </c>
      <c r="T3018">
        <f t="shared" si="342"/>
        <v>103.93</v>
      </c>
      <c r="U3018">
        <f t="shared" si="343"/>
        <v>176</v>
      </c>
      <c r="V3018">
        <f>U3018</f>
        <v>176</v>
      </c>
      <c r="W3018">
        <f t="shared" si="346"/>
        <v>1055.25333333333</v>
      </c>
      <c r="X3018">
        <f t="shared" si="344"/>
        <v>0.83229019628732</v>
      </c>
      <c r="AH3018" t="str">
        <f t="shared" si="340"/>
        <v>3rd Quality</v>
      </c>
      <c r="AJ3018">
        <f>((T3018-X3018)*2)/12.1</f>
        <v>17.0409437692087</v>
      </c>
      <c r="AK3018">
        <f t="shared" si="345"/>
        <v>129912.5</v>
      </c>
    </row>
    <row r="3019" spans="1:37">
      <c r="A3019" t="s">
        <v>3085</v>
      </c>
      <c r="B3019">
        <v>44</v>
      </c>
      <c r="C3019" t="s">
        <v>44</v>
      </c>
      <c r="D3019" t="s">
        <v>45</v>
      </c>
      <c r="E3019">
        <v>882</v>
      </c>
      <c r="F3019">
        <v>4</v>
      </c>
      <c r="G3019">
        <v>18</v>
      </c>
      <c r="H3019">
        <v>4442.43</v>
      </c>
      <c r="I3019">
        <v>70814.94</v>
      </c>
      <c r="J3019">
        <v>130</v>
      </c>
      <c r="K3019">
        <v>0</v>
      </c>
      <c r="L3019">
        <v>0</v>
      </c>
      <c r="M3019">
        <v>17.8</v>
      </c>
      <c r="N3019" t="s">
        <v>61</v>
      </c>
      <c r="O3019" t="s">
        <v>47</v>
      </c>
      <c r="P3019" t="s">
        <v>66</v>
      </c>
      <c r="R3019">
        <f>SUMIF(A3019:A8018,"C03018",I3019:I8018)</f>
        <v>70814.94</v>
      </c>
      <c r="S3019" s="1">
        <v>14857.52</v>
      </c>
      <c r="T3019">
        <f t="shared" si="342"/>
        <v>544.730307692308</v>
      </c>
      <c r="U3019">
        <f t="shared" si="343"/>
        <v>2314</v>
      </c>
      <c r="V3019">
        <f t="shared" si="341"/>
        <v>192.833333333333</v>
      </c>
      <c r="W3019">
        <f t="shared" si="346"/>
        <v>25086.1233333333</v>
      </c>
      <c r="X3019">
        <f t="shared" si="344"/>
        <v>0.198539988249674</v>
      </c>
      <c r="AH3019" t="str">
        <f t="shared" si="340"/>
        <v>3rd Quality</v>
      </c>
      <c r="AJ3019">
        <f>((T3019-X3019)*2)</f>
        <v>1089.06353540812</v>
      </c>
      <c r="AK3019">
        <f t="shared" si="345"/>
        <v>480452.131384615</v>
      </c>
    </row>
    <row r="3020" spans="1:37">
      <c r="A3020" t="s">
        <v>3086</v>
      </c>
      <c r="B3020">
        <v>45</v>
      </c>
      <c r="C3020" t="s">
        <v>50</v>
      </c>
      <c r="D3020" t="s">
        <v>60</v>
      </c>
      <c r="E3020">
        <v>1099</v>
      </c>
      <c r="F3020">
        <v>55</v>
      </c>
      <c r="G3020">
        <v>4</v>
      </c>
      <c r="H3020">
        <v>987.47</v>
      </c>
      <c r="I3020">
        <v>4297.21</v>
      </c>
      <c r="J3020">
        <v>32</v>
      </c>
      <c r="K3020">
        <v>0</v>
      </c>
      <c r="L3020">
        <v>30</v>
      </c>
      <c r="M3020">
        <v>23</v>
      </c>
      <c r="N3020" t="s">
        <v>78</v>
      </c>
      <c r="O3020" t="s">
        <v>47</v>
      </c>
      <c r="P3020" t="s">
        <v>58</v>
      </c>
      <c r="R3020">
        <f>SUMIF(A3020:A8019,"C03019",I3020:I8019)</f>
        <v>4297.21</v>
      </c>
      <c r="S3020" s="1">
        <v>1659.89</v>
      </c>
      <c r="T3020">
        <f t="shared" si="342"/>
        <v>134.2878125</v>
      </c>
      <c r="U3020">
        <f t="shared" si="343"/>
        <v>736</v>
      </c>
      <c r="V3020">
        <f t="shared" si="341"/>
        <v>61.3333333333333</v>
      </c>
      <c r="W3020">
        <f t="shared" si="346"/>
        <v>1761.89333333333</v>
      </c>
      <c r="X3020">
        <f t="shared" si="344"/>
        <v>1.11294520339858</v>
      </c>
      <c r="AH3020" t="str">
        <f t="shared" si="340"/>
        <v>3rd Quality</v>
      </c>
      <c r="AJ3020">
        <f>((T3020-X3020)*2)/30</f>
        <v>8.8783244864401</v>
      </c>
      <c r="AK3020">
        <f t="shared" si="345"/>
        <v>147582.3059375</v>
      </c>
    </row>
    <row r="3021" spans="1:37">
      <c r="A3021" t="s">
        <v>3087</v>
      </c>
      <c r="B3021">
        <v>28</v>
      </c>
      <c r="C3021" t="s">
        <v>50</v>
      </c>
      <c r="D3021" t="s">
        <v>60</v>
      </c>
      <c r="E3021">
        <v>393</v>
      </c>
      <c r="F3021">
        <v>52</v>
      </c>
      <c r="G3021">
        <v>12</v>
      </c>
      <c r="H3021">
        <v>1333.48</v>
      </c>
      <c r="I3021">
        <v>16745.74</v>
      </c>
      <c r="J3021">
        <v>32</v>
      </c>
      <c r="K3021">
        <v>0</v>
      </c>
      <c r="L3021">
        <v>17.2</v>
      </c>
      <c r="M3021">
        <v>55.9</v>
      </c>
      <c r="N3021" t="s">
        <v>78</v>
      </c>
      <c r="O3021" t="s">
        <v>47</v>
      </c>
      <c r="P3021" t="s">
        <v>58</v>
      </c>
      <c r="R3021">
        <f>SUMIF(A3021:A8020,"C03020",I3021:I8020)</f>
        <v>16745.74</v>
      </c>
      <c r="S3021" s="1">
        <v>20347.48</v>
      </c>
      <c r="T3021">
        <f t="shared" si="342"/>
        <v>523.304375</v>
      </c>
      <c r="U3021">
        <f t="shared" si="343"/>
        <v>1788.8</v>
      </c>
      <c r="V3021">
        <f t="shared" si="341"/>
        <v>149.066666666667</v>
      </c>
      <c r="W3021">
        <f t="shared" si="346"/>
        <v>6026.74</v>
      </c>
      <c r="X3021">
        <f t="shared" si="344"/>
        <v>0.294717581066083</v>
      </c>
      <c r="AH3021" t="str">
        <f t="shared" si="340"/>
        <v>3rd Quality</v>
      </c>
      <c r="AJ3021">
        <f>((T3021-X3021)*2)/17.2</f>
        <v>60.8150764440621</v>
      </c>
      <c r="AK3021">
        <f t="shared" si="345"/>
        <v>205658.619375</v>
      </c>
    </row>
    <row r="3022" spans="1:37">
      <c r="A3022" t="s">
        <v>3088</v>
      </c>
      <c r="B3022">
        <v>46</v>
      </c>
      <c r="C3022" t="s">
        <v>50</v>
      </c>
      <c r="D3022" t="s">
        <v>45</v>
      </c>
      <c r="E3022">
        <v>715</v>
      </c>
      <c r="F3022">
        <v>58</v>
      </c>
      <c r="G3022">
        <v>10</v>
      </c>
      <c r="H3022">
        <v>1364.06</v>
      </c>
      <c r="I3022">
        <v>14857.52</v>
      </c>
      <c r="J3022">
        <v>38</v>
      </c>
      <c r="K3022">
        <v>2</v>
      </c>
      <c r="L3022">
        <v>34.6</v>
      </c>
      <c r="M3022">
        <v>23.6</v>
      </c>
      <c r="N3022" t="s">
        <v>78</v>
      </c>
      <c r="O3022" t="s">
        <v>53</v>
      </c>
      <c r="P3022" t="s">
        <v>58</v>
      </c>
      <c r="R3022">
        <f>SUMIF(A3022:A8021,"C03021",I3022:I8021)</f>
        <v>14857.52</v>
      </c>
      <c r="S3022" s="1">
        <v>161836.76</v>
      </c>
      <c r="T3022">
        <f t="shared" si="342"/>
        <v>390.987368421053</v>
      </c>
      <c r="U3022">
        <f t="shared" si="343"/>
        <v>896.8</v>
      </c>
      <c r="V3022">
        <f>U3022</f>
        <v>896.8</v>
      </c>
      <c r="W3022">
        <f t="shared" si="346"/>
        <v>5407.52666666667</v>
      </c>
      <c r="X3022">
        <f t="shared" si="344"/>
        <v>0.524170491034119</v>
      </c>
      <c r="AH3022" t="str">
        <f t="shared" ref="AH3022:AH3085" si="347">IF(AND(W3022&gt;=12550,B3022&lt;=33,E3022&gt;=915),"1st Quality",IF(AND(W3022&gt;=6275,B3022&lt;=43,E3022&gt;=457),"2nd Quality","3rd Quality"))</f>
        <v>3rd Quality</v>
      </c>
      <c r="AJ3022">
        <f>((T3022-X3022)*2)/34.6</f>
        <v>22.570127047978</v>
      </c>
      <c r="AK3022">
        <f t="shared" si="345"/>
        <v>279555.968421053</v>
      </c>
    </row>
    <row r="3023" spans="1:37">
      <c r="A3023" t="s">
        <v>3089</v>
      </c>
      <c r="B3023">
        <v>35</v>
      </c>
      <c r="C3023" t="s">
        <v>50</v>
      </c>
      <c r="D3023" t="s">
        <v>45</v>
      </c>
      <c r="E3023">
        <v>392</v>
      </c>
      <c r="F3023">
        <v>61</v>
      </c>
      <c r="G3023">
        <v>2</v>
      </c>
      <c r="H3023">
        <v>837.6</v>
      </c>
      <c r="I3023">
        <v>1659.89</v>
      </c>
      <c r="J3023">
        <v>15</v>
      </c>
      <c r="K3023">
        <v>0</v>
      </c>
      <c r="L3023">
        <v>35.2</v>
      </c>
      <c r="M3023">
        <v>38.5</v>
      </c>
      <c r="N3023" t="s">
        <v>46</v>
      </c>
      <c r="O3023" t="s">
        <v>47</v>
      </c>
      <c r="P3023" t="s">
        <v>48</v>
      </c>
      <c r="R3023">
        <f>SUMIF(A3023:A8022,"C03022",I3023:I8022)</f>
        <v>1659.89</v>
      </c>
      <c r="S3023" s="1">
        <v>13754.07</v>
      </c>
      <c r="T3023">
        <f t="shared" si="342"/>
        <v>110.659333333333</v>
      </c>
      <c r="U3023">
        <f t="shared" si="343"/>
        <v>577.5</v>
      </c>
      <c r="V3023">
        <f t="shared" si="341"/>
        <v>48.125</v>
      </c>
      <c r="W3023">
        <f t="shared" si="346"/>
        <v>832.83</v>
      </c>
      <c r="X3023">
        <f t="shared" si="344"/>
        <v>0.468003820439351</v>
      </c>
      <c r="AH3023" t="str">
        <f t="shared" si="347"/>
        <v>3rd Quality</v>
      </c>
      <c r="AJ3023">
        <f>((T3023-X3023)*2)/35.2</f>
        <v>6.26087099505077</v>
      </c>
      <c r="AK3023">
        <f t="shared" si="345"/>
        <v>43378.4586666667</v>
      </c>
    </row>
    <row r="3024" spans="1:37">
      <c r="A3024" t="s">
        <v>3090</v>
      </c>
      <c r="B3024">
        <v>22</v>
      </c>
      <c r="C3024" t="s">
        <v>44</v>
      </c>
      <c r="D3024" t="s">
        <v>60</v>
      </c>
      <c r="E3024">
        <v>1164</v>
      </c>
      <c r="F3024">
        <v>24</v>
      </c>
      <c r="G3024">
        <v>9</v>
      </c>
      <c r="H3024">
        <v>2026.63</v>
      </c>
      <c r="I3024">
        <v>20347.48</v>
      </c>
      <c r="J3024">
        <v>53</v>
      </c>
      <c r="K3024">
        <v>0</v>
      </c>
      <c r="L3024">
        <v>16.1</v>
      </c>
      <c r="M3024">
        <v>17.3</v>
      </c>
      <c r="N3024" t="s">
        <v>78</v>
      </c>
      <c r="O3024" t="s">
        <v>47</v>
      </c>
      <c r="P3024" t="s">
        <v>58</v>
      </c>
      <c r="R3024">
        <f>SUMIF(A3024:A8023,"C03023",I3024:I8023)</f>
        <v>20347.48</v>
      </c>
      <c r="S3024" s="1">
        <v>112775.03</v>
      </c>
      <c r="T3024">
        <f t="shared" si="342"/>
        <v>383.914716981132</v>
      </c>
      <c r="U3024">
        <f t="shared" si="343"/>
        <v>916.9</v>
      </c>
      <c r="V3024">
        <f t="shared" si="341"/>
        <v>76.4083333333333</v>
      </c>
      <c r="W3024">
        <f t="shared" si="346"/>
        <v>7458.37</v>
      </c>
      <c r="X3024">
        <f t="shared" si="344"/>
        <v>0.574352496508983</v>
      </c>
      <c r="AH3024" t="str">
        <f t="shared" si="347"/>
        <v>2nd Quality</v>
      </c>
      <c r="AJ3024">
        <f>((T3024-X3024)*2)/16.1</f>
        <v>47.6199210539904</v>
      </c>
      <c r="AK3024">
        <f t="shared" si="345"/>
        <v>446876.730566038</v>
      </c>
    </row>
    <row r="3025" spans="1:37">
      <c r="A3025" t="s">
        <v>3091</v>
      </c>
      <c r="B3025">
        <v>26</v>
      </c>
      <c r="C3025" t="s">
        <v>44</v>
      </c>
      <c r="D3025" t="s">
        <v>51</v>
      </c>
      <c r="E3025">
        <v>644</v>
      </c>
      <c r="F3025">
        <v>60</v>
      </c>
      <c r="G3025">
        <v>7</v>
      </c>
      <c r="H3025">
        <v>21819.62</v>
      </c>
      <c r="I3025">
        <v>161836.76</v>
      </c>
      <c r="J3025">
        <v>22</v>
      </c>
      <c r="K3025">
        <v>1</v>
      </c>
      <c r="L3025">
        <v>10.1</v>
      </c>
      <c r="M3025">
        <v>14.5</v>
      </c>
      <c r="N3025" t="s">
        <v>52</v>
      </c>
      <c r="O3025" t="s">
        <v>75</v>
      </c>
      <c r="P3025" t="s">
        <v>58</v>
      </c>
      <c r="R3025">
        <f>SUMIF(A3025:A8024,"C03024",I3025:I8024)</f>
        <v>161836.76</v>
      </c>
      <c r="S3025" s="1">
        <v>7755.77</v>
      </c>
      <c r="T3025">
        <f t="shared" si="342"/>
        <v>7356.21636363636</v>
      </c>
      <c r="U3025">
        <f t="shared" si="343"/>
        <v>319</v>
      </c>
      <c r="V3025">
        <f>U3025</f>
        <v>319</v>
      </c>
      <c r="W3025">
        <f t="shared" si="346"/>
        <v>61219.1266666667</v>
      </c>
      <c r="X3025">
        <f t="shared" si="344"/>
        <v>0.0295147211546306</v>
      </c>
      <c r="AH3025" t="str">
        <f t="shared" si="347"/>
        <v>2nd Quality</v>
      </c>
      <c r="AJ3025">
        <f>((T3025-X3025)*2)/10.1</f>
        <v>1456.67066315153</v>
      </c>
      <c r="AK3025">
        <f t="shared" si="345"/>
        <v>4737403.33818182</v>
      </c>
    </row>
    <row r="3026" spans="1:37">
      <c r="A3026" t="s">
        <v>3092</v>
      </c>
      <c r="B3026">
        <v>42</v>
      </c>
      <c r="C3026" t="s">
        <v>44</v>
      </c>
      <c r="D3026" t="s">
        <v>60</v>
      </c>
      <c r="E3026">
        <v>713</v>
      </c>
      <c r="F3026">
        <v>27</v>
      </c>
      <c r="G3026">
        <v>10</v>
      </c>
      <c r="H3026">
        <v>1294.81</v>
      </c>
      <c r="I3026">
        <v>13754.07</v>
      </c>
      <c r="J3026">
        <v>87</v>
      </c>
      <c r="K3026">
        <v>1</v>
      </c>
      <c r="L3026">
        <v>25.7</v>
      </c>
      <c r="M3026">
        <v>53.6</v>
      </c>
      <c r="N3026" t="s">
        <v>61</v>
      </c>
      <c r="O3026" t="s">
        <v>47</v>
      </c>
      <c r="P3026" t="s">
        <v>66</v>
      </c>
      <c r="R3026">
        <f>SUMIF(A3026:A8025,"C03025",I3026:I8025)</f>
        <v>13754.07</v>
      </c>
      <c r="S3026" s="1">
        <v>1169.2</v>
      </c>
      <c r="T3026">
        <f t="shared" si="342"/>
        <v>158.09275862069</v>
      </c>
      <c r="U3026">
        <f t="shared" si="343"/>
        <v>4663.2</v>
      </c>
      <c r="V3026">
        <f>U3026</f>
        <v>4663.2</v>
      </c>
      <c r="W3026">
        <f t="shared" si="346"/>
        <v>5016.62666666667</v>
      </c>
      <c r="X3026">
        <f t="shared" si="344"/>
        <v>0.550659942385369</v>
      </c>
      <c r="AH3026" t="str">
        <f t="shared" si="347"/>
        <v>3rd Quality</v>
      </c>
      <c r="AJ3026">
        <f>((T3026-X3026)*2)/24.7</f>
        <v>12.7564452371097</v>
      </c>
      <c r="AK3026">
        <f t="shared" si="345"/>
        <v>112720.136896552</v>
      </c>
    </row>
    <row r="3027" spans="1:37">
      <c r="A3027" t="s">
        <v>3093</v>
      </c>
      <c r="B3027">
        <v>34</v>
      </c>
      <c r="C3027" t="s">
        <v>50</v>
      </c>
      <c r="D3027" t="s">
        <v>60</v>
      </c>
      <c r="E3027">
        <v>486</v>
      </c>
      <c r="F3027">
        <v>3</v>
      </c>
      <c r="G3027">
        <v>30</v>
      </c>
      <c r="H3027">
        <v>3826.26</v>
      </c>
      <c r="I3027">
        <v>112775.03</v>
      </c>
      <c r="J3027">
        <v>68</v>
      </c>
      <c r="K3027">
        <v>4</v>
      </c>
      <c r="L3027">
        <v>21.1</v>
      </c>
      <c r="M3027">
        <v>39.5</v>
      </c>
      <c r="N3027" t="s">
        <v>81</v>
      </c>
      <c r="O3027" t="s">
        <v>47</v>
      </c>
      <c r="P3027" t="s">
        <v>58</v>
      </c>
      <c r="R3027">
        <f>SUMIF(A3027:A8026,"C03026",I3027:I8026)</f>
        <v>112775.03</v>
      </c>
      <c r="S3027" s="1">
        <v>27906.75</v>
      </c>
      <c r="T3027">
        <f t="shared" si="342"/>
        <v>1658.45632352941</v>
      </c>
      <c r="U3027">
        <f t="shared" si="343"/>
        <v>2686</v>
      </c>
      <c r="V3027">
        <f>U3027</f>
        <v>2686</v>
      </c>
      <c r="W3027">
        <f t="shared" si="346"/>
        <v>38867.43</v>
      </c>
      <c r="X3027">
        <f t="shared" si="344"/>
        <v>0.127016982641012</v>
      </c>
      <c r="AH3027" t="str">
        <f t="shared" si="347"/>
        <v>2nd Quality</v>
      </c>
      <c r="AJ3027">
        <f>((T3027-X3027)*2)/21.1</f>
        <v>157.187611994954</v>
      </c>
      <c r="AK3027">
        <f t="shared" si="345"/>
        <v>806009.773235294</v>
      </c>
    </row>
    <row r="3028" spans="1:37">
      <c r="A3028" t="s">
        <v>3094</v>
      </c>
      <c r="B3028">
        <v>18</v>
      </c>
      <c r="C3028" t="s">
        <v>44</v>
      </c>
      <c r="D3028" t="s">
        <v>51</v>
      </c>
      <c r="E3028">
        <v>514</v>
      </c>
      <c r="F3028">
        <v>18</v>
      </c>
      <c r="G3028">
        <v>8</v>
      </c>
      <c r="H3028">
        <v>995.19</v>
      </c>
      <c r="I3028">
        <v>7755.77</v>
      </c>
      <c r="J3028">
        <v>57</v>
      </c>
      <c r="K3028">
        <v>0</v>
      </c>
      <c r="L3028">
        <v>18.6</v>
      </c>
      <c r="M3028">
        <v>18.7</v>
      </c>
      <c r="N3028" t="s">
        <v>63</v>
      </c>
      <c r="O3028" t="s">
        <v>47</v>
      </c>
      <c r="P3028" t="s">
        <v>68</v>
      </c>
      <c r="R3028">
        <f>SUMIF(A3028:A8027,"C03027",I3028:I8027)</f>
        <v>7755.77</v>
      </c>
      <c r="S3028" s="1">
        <v>44012.17</v>
      </c>
      <c r="T3028">
        <f t="shared" si="342"/>
        <v>136.066140350877</v>
      </c>
      <c r="U3028">
        <f t="shared" si="343"/>
        <v>1065.9</v>
      </c>
      <c r="V3028">
        <f>U3028/12</f>
        <v>88.825</v>
      </c>
      <c r="W3028">
        <f t="shared" si="346"/>
        <v>2917.32</v>
      </c>
      <c r="X3028">
        <f t="shared" si="344"/>
        <v>0.516484289432169</v>
      </c>
      <c r="AH3028" t="str">
        <f t="shared" si="347"/>
        <v>3rd Quality</v>
      </c>
      <c r="AJ3028">
        <f>((T3028-X3028)*2)/18.6</f>
        <v>14.575231834564</v>
      </c>
      <c r="AK3028">
        <f t="shared" si="345"/>
        <v>69937.9961403509</v>
      </c>
    </row>
    <row r="3029" spans="1:37">
      <c r="A3029" t="s">
        <v>3095</v>
      </c>
      <c r="B3029">
        <v>49</v>
      </c>
      <c r="C3029" t="s">
        <v>50</v>
      </c>
      <c r="D3029" t="s">
        <v>60</v>
      </c>
      <c r="E3029">
        <v>966</v>
      </c>
      <c r="F3029">
        <v>154</v>
      </c>
      <c r="G3029">
        <v>1</v>
      </c>
      <c r="H3029">
        <v>1258.11</v>
      </c>
      <c r="I3029">
        <v>1169.2</v>
      </c>
      <c r="J3029">
        <v>10</v>
      </c>
      <c r="K3029">
        <v>0</v>
      </c>
      <c r="L3029">
        <v>27.4</v>
      </c>
      <c r="M3029">
        <v>47.5</v>
      </c>
      <c r="N3029" t="s">
        <v>52</v>
      </c>
      <c r="O3029" t="s">
        <v>47</v>
      </c>
      <c r="P3029" t="s">
        <v>68</v>
      </c>
      <c r="R3029">
        <f>SUMIF(A3029:A8028,"C03028",I3029:I8028)</f>
        <v>1169.2</v>
      </c>
      <c r="S3029" s="1">
        <v>2301.53</v>
      </c>
      <c r="T3029">
        <f t="shared" si="342"/>
        <v>116.92</v>
      </c>
      <c r="U3029">
        <f t="shared" si="343"/>
        <v>475</v>
      </c>
      <c r="V3029">
        <f t="shared" ref="V3026:V3089" si="348">U3029/12</f>
        <v>39.5833333333333</v>
      </c>
      <c r="W3029">
        <f t="shared" si="346"/>
        <v>809.436666666667</v>
      </c>
      <c r="X3029">
        <f t="shared" si="344"/>
        <v>0.767818394258054</v>
      </c>
      <c r="AH3029" t="str">
        <f t="shared" si="347"/>
        <v>3rd Quality</v>
      </c>
      <c r="AJ3029">
        <f>((T3029-X3029)*2)/27.4</f>
        <v>8.47826143107605</v>
      </c>
      <c r="AK3029">
        <f t="shared" si="345"/>
        <v>112944.72</v>
      </c>
    </row>
    <row r="3030" spans="1:37">
      <c r="A3030" t="s">
        <v>3096</v>
      </c>
      <c r="B3030">
        <v>45</v>
      </c>
      <c r="C3030" t="s">
        <v>44</v>
      </c>
      <c r="D3030" t="s">
        <v>60</v>
      </c>
      <c r="E3030">
        <v>743</v>
      </c>
      <c r="F3030">
        <v>39</v>
      </c>
      <c r="G3030">
        <v>4</v>
      </c>
      <c r="H3030">
        <v>7804.09</v>
      </c>
      <c r="I3030">
        <v>27906.75</v>
      </c>
      <c r="J3030">
        <v>36</v>
      </c>
      <c r="K3030">
        <v>0</v>
      </c>
      <c r="L3030">
        <v>9</v>
      </c>
      <c r="M3030">
        <v>19.1</v>
      </c>
      <c r="N3030" t="s">
        <v>52</v>
      </c>
      <c r="O3030" t="s">
        <v>47</v>
      </c>
      <c r="P3030" t="s">
        <v>58</v>
      </c>
      <c r="R3030">
        <f>SUMIF(A3030:A8029,"C03029",I3030:I8029)</f>
        <v>27906.75</v>
      </c>
      <c r="S3030" s="1">
        <v>190781.43</v>
      </c>
      <c r="T3030">
        <f t="shared" ref="T3030:T3093" si="349">I3030/J3030</f>
        <v>775.1875</v>
      </c>
      <c r="U3030">
        <f t="shared" si="343"/>
        <v>687.6</v>
      </c>
      <c r="V3030">
        <f t="shared" si="348"/>
        <v>57.3</v>
      </c>
      <c r="W3030">
        <f t="shared" si="346"/>
        <v>11903.9466666667</v>
      </c>
      <c r="X3030">
        <f t="shared" si="344"/>
        <v>0.0952064878800731</v>
      </c>
      <c r="AH3030" t="str">
        <f t="shared" si="347"/>
        <v>3rd Quality</v>
      </c>
      <c r="AJ3030">
        <f>((T3030-X3030)*2)/9</f>
        <v>172.242731891582</v>
      </c>
      <c r="AK3030">
        <f t="shared" si="345"/>
        <v>575964.3125</v>
      </c>
    </row>
    <row r="3031" spans="1:37">
      <c r="A3031" t="s">
        <v>3097</v>
      </c>
      <c r="B3031">
        <v>41</v>
      </c>
      <c r="C3031" t="s">
        <v>44</v>
      </c>
      <c r="D3031" t="s">
        <v>45</v>
      </c>
      <c r="E3031">
        <v>417</v>
      </c>
      <c r="F3031">
        <v>30</v>
      </c>
      <c r="G3031">
        <v>9</v>
      </c>
      <c r="H3031">
        <v>4460.47</v>
      </c>
      <c r="I3031">
        <v>44012.17</v>
      </c>
      <c r="J3031">
        <v>26</v>
      </c>
      <c r="K3031">
        <v>0</v>
      </c>
      <c r="L3031">
        <v>22.1</v>
      </c>
      <c r="M3031">
        <v>43.6</v>
      </c>
      <c r="N3031" t="s">
        <v>78</v>
      </c>
      <c r="O3031" t="s">
        <v>47</v>
      </c>
      <c r="P3031" t="s">
        <v>58</v>
      </c>
      <c r="R3031">
        <f>SUMIF(A3031:A8030,"C03030",I3031:I8030)</f>
        <v>44012.17</v>
      </c>
      <c r="S3031" s="1">
        <v>18910.26</v>
      </c>
      <c r="T3031">
        <f t="shared" si="349"/>
        <v>1692.77576923077</v>
      </c>
      <c r="U3031">
        <f t="shared" si="343"/>
        <v>1133.6</v>
      </c>
      <c r="V3031">
        <f t="shared" si="348"/>
        <v>94.4666666666667</v>
      </c>
      <c r="W3031">
        <f t="shared" si="346"/>
        <v>16157.88</v>
      </c>
      <c r="X3031">
        <f t="shared" si="344"/>
        <v>0.0934879059830018</v>
      </c>
      <c r="AH3031" t="str">
        <f t="shared" si="347"/>
        <v>3rd Quality</v>
      </c>
      <c r="AJ3031">
        <f>((T3031-X3031)*2)/22.1</f>
        <v>153.183916861972</v>
      </c>
      <c r="AK3031">
        <f t="shared" si="345"/>
        <v>705887.495769231</v>
      </c>
    </row>
    <row r="3032" spans="1:37">
      <c r="A3032" t="s">
        <v>3098</v>
      </c>
      <c r="B3032">
        <v>31</v>
      </c>
      <c r="C3032" t="s">
        <v>44</v>
      </c>
      <c r="D3032" t="s">
        <v>60</v>
      </c>
      <c r="E3032">
        <v>1285</v>
      </c>
      <c r="F3032">
        <v>19</v>
      </c>
      <c r="G3032">
        <v>5</v>
      </c>
      <c r="H3032">
        <v>450.5</v>
      </c>
      <c r="I3032">
        <v>2301.53</v>
      </c>
      <c r="J3032">
        <v>39</v>
      </c>
      <c r="K3032">
        <v>0</v>
      </c>
      <c r="L3032">
        <v>19.3</v>
      </c>
      <c r="M3032">
        <v>25.2</v>
      </c>
      <c r="N3032" t="s">
        <v>81</v>
      </c>
      <c r="O3032" t="s">
        <v>53</v>
      </c>
      <c r="P3032" t="s">
        <v>48</v>
      </c>
      <c r="R3032">
        <f>SUMIF(A3032:A8031,"C03031",I3032:I8031)</f>
        <v>2301.53</v>
      </c>
      <c r="S3032" s="1">
        <v>16776.18</v>
      </c>
      <c r="T3032">
        <f t="shared" si="349"/>
        <v>59.0135897435897</v>
      </c>
      <c r="U3032">
        <f t="shared" si="343"/>
        <v>982.8</v>
      </c>
      <c r="V3032">
        <f t="shared" si="348"/>
        <v>81.9</v>
      </c>
      <c r="W3032">
        <f t="shared" si="346"/>
        <v>917.676666666667</v>
      </c>
      <c r="X3032">
        <f t="shared" si="344"/>
        <v>2.85238623751387</v>
      </c>
      <c r="AH3032" t="str">
        <f t="shared" si="347"/>
        <v>3rd Quality</v>
      </c>
      <c r="AJ3032">
        <f>((T3032-X3032)*2)/19.3</f>
        <v>5.81981383482651</v>
      </c>
      <c r="AK3032">
        <f t="shared" si="345"/>
        <v>75832.4628205128</v>
      </c>
    </row>
    <row r="3033" spans="1:37">
      <c r="A3033" t="s">
        <v>3099</v>
      </c>
      <c r="B3033">
        <v>43</v>
      </c>
      <c r="C3033" t="s">
        <v>44</v>
      </c>
      <c r="D3033" t="s">
        <v>60</v>
      </c>
      <c r="E3033">
        <v>635</v>
      </c>
      <c r="F3033">
        <v>13</v>
      </c>
      <c r="G3033">
        <v>26</v>
      </c>
      <c r="H3033">
        <v>7236.81</v>
      </c>
      <c r="I3033">
        <v>190781.43</v>
      </c>
      <c r="J3033">
        <v>165</v>
      </c>
      <c r="K3033">
        <v>1</v>
      </c>
      <c r="L3033">
        <v>16.1</v>
      </c>
      <c r="M3033">
        <v>58.8</v>
      </c>
      <c r="N3033" t="s">
        <v>57</v>
      </c>
      <c r="O3033" t="s">
        <v>47</v>
      </c>
      <c r="P3033" t="s">
        <v>58</v>
      </c>
      <c r="R3033">
        <f>SUMIF(A3033:A8032,"C03032",I3033:I8032)</f>
        <v>190781.43</v>
      </c>
      <c r="S3033" s="1">
        <v>4012.51</v>
      </c>
      <c r="T3033">
        <f t="shared" si="349"/>
        <v>1156.25109090909</v>
      </c>
      <c r="U3033">
        <f t="shared" si="343"/>
        <v>9702</v>
      </c>
      <c r="V3033">
        <f>U3033</f>
        <v>9702</v>
      </c>
      <c r="W3033">
        <f t="shared" si="346"/>
        <v>66006.4133333333</v>
      </c>
      <c r="X3033">
        <f t="shared" si="344"/>
        <v>0.0877458438179253</v>
      </c>
      <c r="AH3033" t="str">
        <f t="shared" si="347"/>
        <v>2nd Quality</v>
      </c>
      <c r="AJ3033">
        <f>((T3033-X3033)*2)/16.1</f>
        <v>143.622775784506</v>
      </c>
      <c r="AK3033">
        <f t="shared" si="345"/>
        <v>734219.442727273</v>
      </c>
    </row>
    <row r="3034" spans="1:37">
      <c r="A3034" t="s">
        <v>3100</v>
      </c>
      <c r="B3034">
        <v>18</v>
      </c>
      <c r="C3034" t="s">
        <v>44</v>
      </c>
      <c r="D3034" t="s">
        <v>45</v>
      </c>
      <c r="E3034">
        <v>416</v>
      </c>
      <c r="F3034">
        <v>26</v>
      </c>
      <c r="G3034">
        <v>10</v>
      </c>
      <c r="H3034">
        <v>1967.51</v>
      </c>
      <c r="I3034">
        <v>18910.26</v>
      </c>
      <c r="J3034">
        <v>56</v>
      </c>
      <c r="K3034">
        <v>0</v>
      </c>
      <c r="L3034">
        <v>33.2</v>
      </c>
      <c r="M3034">
        <v>45.5</v>
      </c>
      <c r="N3034" t="s">
        <v>57</v>
      </c>
      <c r="O3034" t="s">
        <v>53</v>
      </c>
      <c r="P3034" t="s">
        <v>66</v>
      </c>
      <c r="R3034">
        <f>SUMIF(A3034:A8033,"C03033",I3034:I8033)</f>
        <v>18910.26</v>
      </c>
      <c r="S3034" s="1">
        <v>1283.31</v>
      </c>
      <c r="T3034">
        <f t="shared" si="349"/>
        <v>337.683214285714</v>
      </c>
      <c r="U3034">
        <f t="shared" si="343"/>
        <v>2548</v>
      </c>
      <c r="V3034">
        <f t="shared" si="348"/>
        <v>212.333333333333</v>
      </c>
      <c r="W3034">
        <f t="shared" si="346"/>
        <v>6959.59</v>
      </c>
      <c r="X3034">
        <f t="shared" si="344"/>
        <v>0.211434757637826</v>
      </c>
      <c r="AH3034" t="str">
        <f t="shared" si="347"/>
        <v>3rd Quality</v>
      </c>
      <c r="AJ3034">
        <f>((T3034-X3034)*2)/33.2</f>
        <v>20.3296252727757</v>
      </c>
      <c r="AK3034">
        <f t="shared" si="345"/>
        <v>140476.217142857</v>
      </c>
    </row>
    <row r="3035" spans="1:37">
      <c r="A3035" t="s">
        <v>3101</v>
      </c>
      <c r="B3035">
        <v>19</v>
      </c>
      <c r="C3035" t="s">
        <v>44</v>
      </c>
      <c r="D3035" t="s">
        <v>45</v>
      </c>
      <c r="E3035">
        <v>433</v>
      </c>
      <c r="F3035">
        <v>10</v>
      </c>
      <c r="G3035">
        <v>18</v>
      </c>
      <c r="H3035">
        <v>881.31</v>
      </c>
      <c r="I3035">
        <v>16776.18</v>
      </c>
      <c r="J3035">
        <v>100</v>
      </c>
      <c r="K3035">
        <v>2</v>
      </c>
      <c r="L3035">
        <v>23.1</v>
      </c>
      <c r="M3035">
        <v>41.6</v>
      </c>
      <c r="N3035" t="s">
        <v>81</v>
      </c>
      <c r="O3035" t="s">
        <v>53</v>
      </c>
      <c r="P3035" t="s">
        <v>58</v>
      </c>
      <c r="R3035">
        <f>SUMIF(A3035:A8034,"C03034",I3035:I8034)</f>
        <v>16776.18</v>
      </c>
      <c r="S3035" s="1">
        <v>15160.55</v>
      </c>
      <c r="T3035">
        <f t="shared" si="349"/>
        <v>167.7618</v>
      </c>
      <c r="U3035">
        <f t="shared" si="343"/>
        <v>4160</v>
      </c>
      <c r="V3035">
        <f>U3035</f>
        <v>4160</v>
      </c>
      <c r="W3035">
        <f t="shared" si="346"/>
        <v>5886.16333333333</v>
      </c>
      <c r="X3035">
        <f t="shared" si="344"/>
        <v>0.491314066560007</v>
      </c>
      <c r="AH3035" t="str">
        <f t="shared" si="347"/>
        <v>3rd Quality</v>
      </c>
      <c r="AJ3035">
        <f>((T3035-X3035)*2)/23.1</f>
        <v>14.4822931544104</v>
      </c>
      <c r="AK3035">
        <f t="shared" si="345"/>
        <v>72640.8594</v>
      </c>
    </row>
    <row r="3036" spans="1:37">
      <c r="A3036" t="s">
        <v>3102</v>
      </c>
      <c r="B3036">
        <v>32</v>
      </c>
      <c r="C3036" t="s">
        <v>50</v>
      </c>
      <c r="D3036" t="s">
        <v>45</v>
      </c>
      <c r="E3036">
        <v>813</v>
      </c>
      <c r="F3036">
        <v>337</v>
      </c>
      <c r="G3036">
        <v>1</v>
      </c>
      <c r="H3036">
        <v>4104.23</v>
      </c>
      <c r="I3036">
        <v>4012.51</v>
      </c>
      <c r="J3036">
        <v>17</v>
      </c>
      <c r="K3036">
        <v>0</v>
      </c>
      <c r="L3036">
        <v>8.1</v>
      </c>
      <c r="M3036">
        <v>14.6</v>
      </c>
      <c r="N3036" t="s">
        <v>57</v>
      </c>
      <c r="O3036" t="s">
        <v>47</v>
      </c>
      <c r="P3036" t="s">
        <v>68</v>
      </c>
      <c r="R3036">
        <f>SUMIF(A3036:A8035,"C03035",I3036:I8035)</f>
        <v>4012.51</v>
      </c>
      <c r="S3036" s="1">
        <v>38568.56</v>
      </c>
      <c r="T3036">
        <f t="shared" si="349"/>
        <v>236.03</v>
      </c>
      <c r="U3036">
        <f t="shared" si="343"/>
        <v>248.2</v>
      </c>
      <c r="V3036">
        <f t="shared" si="348"/>
        <v>20.6833333333333</v>
      </c>
      <c r="W3036">
        <f t="shared" si="346"/>
        <v>2705.91333333333</v>
      </c>
      <c r="X3036">
        <f t="shared" si="344"/>
        <v>0.198088313764092</v>
      </c>
      <c r="AH3036" t="str">
        <f t="shared" si="347"/>
        <v>3rd Quality</v>
      </c>
      <c r="AJ3036">
        <f>((T3036-X3036)*2)/8.1</f>
        <v>58.2301016509224</v>
      </c>
      <c r="AK3036">
        <f t="shared" si="345"/>
        <v>191892.39</v>
      </c>
    </row>
    <row r="3037" spans="1:37">
      <c r="A3037" t="s">
        <v>3103</v>
      </c>
      <c r="B3037">
        <v>32</v>
      </c>
      <c r="C3037" t="s">
        <v>50</v>
      </c>
      <c r="D3037" t="s">
        <v>45</v>
      </c>
      <c r="E3037">
        <v>948</v>
      </c>
      <c r="F3037">
        <v>72</v>
      </c>
      <c r="G3037">
        <v>2</v>
      </c>
      <c r="H3037">
        <v>597.31</v>
      </c>
      <c r="I3037">
        <v>1283.31</v>
      </c>
      <c r="J3037">
        <v>19</v>
      </c>
      <c r="K3037">
        <v>0</v>
      </c>
      <c r="L3037">
        <v>28.2</v>
      </c>
      <c r="M3037">
        <v>15.3</v>
      </c>
      <c r="N3037" t="s">
        <v>78</v>
      </c>
      <c r="O3037" t="s">
        <v>53</v>
      </c>
      <c r="P3037" t="s">
        <v>48</v>
      </c>
      <c r="R3037">
        <f>SUMIF(A3037:A8036,"C03036",I3037:I8036)</f>
        <v>1283.31</v>
      </c>
      <c r="S3037" s="1">
        <v>57388.86</v>
      </c>
      <c r="T3037">
        <f t="shared" si="349"/>
        <v>67.5426315789474</v>
      </c>
      <c r="U3037">
        <f t="shared" si="343"/>
        <v>290.7</v>
      </c>
      <c r="V3037">
        <f t="shared" si="348"/>
        <v>24.225</v>
      </c>
      <c r="W3037">
        <f t="shared" si="346"/>
        <v>627.206666666667</v>
      </c>
      <c r="X3037">
        <f t="shared" si="344"/>
        <v>1.58711556813045</v>
      </c>
      <c r="AH3037" t="str">
        <f t="shared" si="347"/>
        <v>3rd Quality</v>
      </c>
      <c r="AJ3037">
        <f>((T3037-X3037)*2)/28.2</f>
        <v>4.67769617097993</v>
      </c>
      <c r="AK3037">
        <f t="shared" si="345"/>
        <v>64030.4147368421</v>
      </c>
    </row>
    <row r="3038" spans="1:37">
      <c r="A3038" t="s">
        <v>3104</v>
      </c>
      <c r="B3038">
        <v>34</v>
      </c>
      <c r="C3038" t="s">
        <v>50</v>
      </c>
      <c r="D3038" t="s">
        <v>51</v>
      </c>
      <c r="E3038">
        <v>509</v>
      </c>
      <c r="F3038">
        <v>30</v>
      </c>
      <c r="G3038">
        <v>2</v>
      </c>
      <c r="H3038">
        <v>8430.42</v>
      </c>
      <c r="I3038">
        <v>15160.55</v>
      </c>
      <c r="J3038">
        <v>14</v>
      </c>
      <c r="K3038">
        <v>0</v>
      </c>
      <c r="L3038">
        <v>0</v>
      </c>
      <c r="M3038">
        <v>19.3</v>
      </c>
      <c r="N3038" t="s">
        <v>81</v>
      </c>
      <c r="O3038" t="s">
        <v>47</v>
      </c>
      <c r="P3038" t="s">
        <v>58</v>
      </c>
      <c r="R3038">
        <f>SUMIF(A3038:A8037,"C03037",I3038:I8037)</f>
        <v>15160.55</v>
      </c>
      <c r="S3038" s="1">
        <v>57724.73</v>
      </c>
      <c r="T3038">
        <f t="shared" si="349"/>
        <v>1082.89642857143</v>
      </c>
      <c r="U3038">
        <f t="shared" si="343"/>
        <v>270.2</v>
      </c>
      <c r="V3038">
        <f t="shared" si="348"/>
        <v>22.5166666666667</v>
      </c>
      <c r="W3038">
        <f t="shared" si="346"/>
        <v>7863.99</v>
      </c>
      <c r="X3038">
        <f t="shared" si="344"/>
        <v>0.0603765885922647</v>
      </c>
      <c r="AH3038" t="str">
        <f t="shared" si="347"/>
        <v>2nd Quality</v>
      </c>
      <c r="AJ3038">
        <f>((T3038-X3038)*2)</f>
        <v>2165.67210396568</v>
      </c>
      <c r="AK3038">
        <f t="shared" si="345"/>
        <v>551194.282142857</v>
      </c>
    </row>
    <row r="3039" spans="1:37">
      <c r="A3039" t="s">
        <v>3105</v>
      </c>
      <c r="B3039">
        <v>18</v>
      </c>
      <c r="C3039" t="s">
        <v>50</v>
      </c>
      <c r="D3039" t="s">
        <v>45</v>
      </c>
      <c r="E3039">
        <v>754</v>
      </c>
      <c r="F3039">
        <v>22</v>
      </c>
      <c r="G3039">
        <v>21</v>
      </c>
      <c r="H3039">
        <v>1955.11</v>
      </c>
      <c r="I3039">
        <v>38568.56</v>
      </c>
      <c r="J3039">
        <v>91</v>
      </c>
      <c r="K3039">
        <v>5</v>
      </c>
      <c r="L3039">
        <v>7.2</v>
      </c>
      <c r="M3039">
        <v>75.2</v>
      </c>
      <c r="N3039" t="s">
        <v>63</v>
      </c>
      <c r="O3039" t="s">
        <v>47</v>
      </c>
      <c r="P3039" t="s">
        <v>54</v>
      </c>
      <c r="R3039">
        <f>SUMIF(A3039:A8038,"C03038",I3039:I8038)</f>
        <v>38568.56</v>
      </c>
      <c r="S3039" s="1">
        <v>21155.22</v>
      </c>
      <c r="T3039">
        <f t="shared" si="349"/>
        <v>423.83032967033</v>
      </c>
      <c r="U3039">
        <f t="shared" si="343"/>
        <v>6843.2</v>
      </c>
      <c r="V3039">
        <f>U3039</f>
        <v>6843.2</v>
      </c>
      <c r="W3039">
        <f t="shared" si="346"/>
        <v>13508.2233333333</v>
      </c>
      <c r="X3039">
        <f t="shared" si="344"/>
        <v>0.38565605004322</v>
      </c>
      <c r="AH3039" t="str">
        <f t="shared" si="347"/>
        <v>2nd Quality</v>
      </c>
      <c r="AJ3039">
        <f>((T3039-X3039)*2)/7.2</f>
        <v>117.62352045008</v>
      </c>
      <c r="AK3039">
        <f t="shared" si="345"/>
        <v>319568.068571429</v>
      </c>
    </row>
    <row r="3040" spans="1:37">
      <c r="A3040" t="s">
        <v>3106</v>
      </c>
      <c r="B3040">
        <v>35</v>
      </c>
      <c r="C3040" t="s">
        <v>44</v>
      </c>
      <c r="D3040" t="s">
        <v>60</v>
      </c>
      <c r="E3040">
        <v>749</v>
      </c>
      <c r="F3040">
        <v>12</v>
      </c>
      <c r="G3040">
        <v>20</v>
      </c>
      <c r="H3040">
        <v>3026.78</v>
      </c>
      <c r="I3040">
        <v>57388.86</v>
      </c>
      <c r="J3040">
        <v>129</v>
      </c>
      <c r="K3040">
        <v>1</v>
      </c>
      <c r="L3040">
        <v>10.3</v>
      </c>
      <c r="M3040">
        <v>28.7</v>
      </c>
      <c r="N3040" t="s">
        <v>57</v>
      </c>
      <c r="O3040" t="s">
        <v>47</v>
      </c>
      <c r="P3040" t="s">
        <v>58</v>
      </c>
      <c r="R3040">
        <f>SUMIF(A3040:A8039,"C03039",I3040:I8039)</f>
        <v>57388.86</v>
      </c>
      <c r="S3040" s="1">
        <v>4501.64</v>
      </c>
      <c r="T3040">
        <f t="shared" si="349"/>
        <v>444.87488372093</v>
      </c>
      <c r="U3040">
        <f t="shared" si="343"/>
        <v>3702.3</v>
      </c>
      <c r="V3040">
        <f>U3040</f>
        <v>3702.3</v>
      </c>
      <c r="W3040">
        <f t="shared" si="346"/>
        <v>20138.88</v>
      </c>
      <c r="X3040">
        <f t="shared" si="344"/>
        <v>0.247457694315411</v>
      </c>
      <c r="AH3040" t="str">
        <f t="shared" si="347"/>
        <v>2nd Quality</v>
      </c>
      <c r="AJ3040">
        <f>((T3040-X3040)*2)/10.3</f>
        <v>86.3354225294397</v>
      </c>
      <c r="AK3040">
        <f t="shared" si="345"/>
        <v>333211.287906977</v>
      </c>
    </row>
    <row r="3041" spans="1:37">
      <c r="A3041" t="s">
        <v>3107</v>
      </c>
      <c r="B3041">
        <v>18</v>
      </c>
      <c r="C3041" t="s">
        <v>44</v>
      </c>
      <c r="D3041" t="s">
        <v>60</v>
      </c>
      <c r="E3041">
        <v>460</v>
      </c>
      <c r="F3041">
        <v>45</v>
      </c>
      <c r="G3041">
        <v>7</v>
      </c>
      <c r="H3041">
        <v>9311.65</v>
      </c>
      <c r="I3041">
        <v>57724.73</v>
      </c>
      <c r="J3041">
        <v>37</v>
      </c>
      <c r="K3041">
        <v>1</v>
      </c>
      <c r="L3041">
        <v>10.6</v>
      </c>
      <c r="M3041">
        <v>56.6</v>
      </c>
      <c r="N3041" t="s">
        <v>57</v>
      </c>
      <c r="O3041" t="s">
        <v>47</v>
      </c>
      <c r="P3041" t="s">
        <v>58</v>
      </c>
      <c r="R3041">
        <f>SUMIF(A3041:A8040,"C03040",I3041:I8040)</f>
        <v>57724.73</v>
      </c>
      <c r="S3041" s="1">
        <v>1369.84</v>
      </c>
      <c r="T3041">
        <f t="shared" si="349"/>
        <v>1560.12783783784</v>
      </c>
      <c r="U3041">
        <f t="shared" si="343"/>
        <v>2094.2</v>
      </c>
      <c r="V3041">
        <f>U3041</f>
        <v>2094.2</v>
      </c>
      <c r="W3041">
        <f t="shared" si="346"/>
        <v>22345.7933333333</v>
      </c>
      <c r="X3041">
        <f t="shared" si="344"/>
        <v>0.0494004821916631</v>
      </c>
      <c r="AH3041" t="str">
        <f t="shared" si="347"/>
        <v>2nd Quality</v>
      </c>
      <c r="AJ3041">
        <f>((T3041-X3041)*2)/10.6</f>
        <v>294.354422142575</v>
      </c>
      <c r="AK3041">
        <f t="shared" si="345"/>
        <v>717658.805405405</v>
      </c>
    </row>
    <row r="3042" spans="1:37">
      <c r="A3042" t="s">
        <v>3108</v>
      </c>
      <c r="B3042">
        <v>38</v>
      </c>
      <c r="C3042" t="s">
        <v>44</v>
      </c>
      <c r="D3042" t="s">
        <v>45</v>
      </c>
      <c r="E3042">
        <v>1079</v>
      </c>
      <c r="F3042">
        <v>35</v>
      </c>
      <c r="G3042">
        <v>11</v>
      </c>
      <c r="H3042">
        <v>1850.61</v>
      </c>
      <c r="I3042">
        <v>21155.22</v>
      </c>
      <c r="J3042">
        <v>52</v>
      </c>
      <c r="K3042">
        <v>1</v>
      </c>
      <c r="L3042">
        <v>31.8</v>
      </c>
      <c r="M3042">
        <v>17.1</v>
      </c>
      <c r="N3042" t="s">
        <v>63</v>
      </c>
      <c r="O3042" t="s">
        <v>75</v>
      </c>
      <c r="P3042" t="s">
        <v>48</v>
      </c>
      <c r="R3042">
        <f>SUMIF(A3042:A8041,"C03041",I3042:I8041)</f>
        <v>21155.22</v>
      </c>
      <c r="S3042" s="1">
        <v>5587.37</v>
      </c>
      <c r="T3042">
        <f t="shared" si="349"/>
        <v>406.831153846154</v>
      </c>
      <c r="U3042">
        <f t="shared" ref="U3042:U3105" si="350">J3042*M3042</f>
        <v>889.2</v>
      </c>
      <c r="V3042">
        <f>U3042</f>
        <v>889.2</v>
      </c>
      <c r="W3042">
        <f t="shared" si="346"/>
        <v>7668.94333333333</v>
      </c>
      <c r="X3042">
        <f t="shared" si="344"/>
        <v>0.583050993996574</v>
      </c>
      <c r="AH3042" t="str">
        <f t="shared" si="347"/>
        <v>2nd Quality</v>
      </c>
      <c r="AJ3042">
        <f>((T3042-X3042)*2)/31.8</f>
        <v>25.5501951479344</v>
      </c>
      <c r="AK3042">
        <f t="shared" si="345"/>
        <v>438970.815</v>
      </c>
    </row>
    <row r="3043" spans="1:37">
      <c r="A3043" t="s">
        <v>3109</v>
      </c>
      <c r="B3043">
        <v>18</v>
      </c>
      <c r="C3043" t="s">
        <v>44</v>
      </c>
      <c r="D3043" t="s">
        <v>60</v>
      </c>
      <c r="E3043">
        <v>756</v>
      </c>
      <c r="F3043">
        <v>365</v>
      </c>
      <c r="G3043">
        <v>1</v>
      </c>
      <c r="H3043">
        <v>4293.87</v>
      </c>
      <c r="I3043">
        <v>4501.64</v>
      </c>
      <c r="J3043">
        <v>10</v>
      </c>
      <c r="K3043">
        <v>0</v>
      </c>
      <c r="L3043">
        <v>21.4</v>
      </c>
      <c r="M3043">
        <v>36.3</v>
      </c>
      <c r="N3043" t="s">
        <v>52</v>
      </c>
      <c r="O3043" t="s">
        <v>47</v>
      </c>
      <c r="P3043" t="s">
        <v>68</v>
      </c>
      <c r="R3043">
        <f>SUMIF(A3043:A8042,"C03042",I3043:I8042)</f>
        <v>4501.64</v>
      </c>
      <c r="S3043" s="1">
        <v>2411.91</v>
      </c>
      <c r="T3043">
        <f t="shared" si="349"/>
        <v>450.164</v>
      </c>
      <c r="U3043">
        <f t="shared" si="350"/>
        <v>363</v>
      </c>
      <c r="V3043">
        <f t="shared" si="348"/>
        <v>30.25</v>
      </c>
      <c r="W3043">
        <f t="shared" si="346"/>
        <v>2932.17</v>
      </c>
      <c r="X3043">
        <f t="shared" si="344"/>
        <v>0.176064948403189</v>
      </c>
      <c r="AH3043" t="str">
        <f t="shared" si="347"/>
        <v>3rd Quality</v>
      </c>
      <c r="AJ3043">
        <f>((T3043-X3043)*2)/21.4</f>
        <v>42.0549472010838</v>
      </c>
      <c r="AK3043">
        <f t="shared" si="345"/>
        <v>340323.984</v>
      </c>
    </row>
    <row r="3044" spans="1:37">
      <c r="A3044" t="s">
        <v>3110</v>
      </c>
      <c r="B3044">
        <v>46</v>
      </c>
      <c r="C3044" t="s">
        <v>50</v>
      </c>
      <c r="D3044" t="s">
        <v>45</v>
      </c>
      <c r="E3044">
        <v>1134</v>
      </c>
      <c r="F3044">
        <v>33</v>
      </c>
      <c r="G3044">
        <v>2</v>
      </c>
      <c r="H3044">
        <v>699.46</v>
      </c>
      <c r="I3044">
        <v>1369.84</v>
      </c>
      <c r="J3044">
        <v>14</v>
      </c>
      <c r="K3044">
        <v>0</v>
      </c>
      <c r="L3044">
        <v>21.6</v>
      </c>
      <c r="M3044">
        <v>23.9</v>
      </c>
      <c r="N3044" t="s">
        <v>81</v>
      </c>
      <c r="O3044" t="s">
        <v>47</v>
      </c>
      <c r="P3044" t="s">
        <v>58</v>
      </c>
      <c r="R3044">
        <f>SUMIF(A3044:A8043,"C03043",I3044:I8043)</f>
        <v>1369.84</v>
      </c>
      <c r="S3044" s="1">
        <v>1457.56</v>
      </c>
      <c r="T3044">
        <f t="shared" si="349"/>
        <v>97.8457142857143</v>
      </c>
      <c r="U3044">
        <f t="shared" si="350"/>
        <v>334.6</v>
      </c>
      <c r="V3044">
        <f t="shared" si="348"/>
        <v>27.8833333333333</v>
      </c>
      <c r="W3044">
        <f t="shared" si="346"/>
        <v>690.1</v>
      </c>
      <c r="X3044">
        <f t="shared" si="344"/>
        <v>1.6212506790953</v>
      </c>
      <c r="AH3044" t="str">
        <f t="shared" si="347"/>
        <v>3rd Quality</v>
      </c>
      <c r="AJ3044">
        <f>((T3044-X3044)*2)/21.6</f>
        <v>8.90967255616843</v>
      </c>
      <c r="AK3044">
        <f t="shared" si="345"/>
        <v>110957.04</v>
      </c>
    </row>
    <row r="3045" spans="1:37">
      <c r="A3045" t="s">
        <v>3111</v>
      </c>
      <c r="B3045">
        <v>38</v>
      </c>
      <c r="C3045" t="s">
        <v>56</v>
      </c>
      <c r="D3045" t="s">
        <v>60</v>
      </c>
      <c r="E3045">
        <v>370</v>
      </c>
      <c r="F3045">
        <v>7</v>
      </c>
      <c r="G3045">
        <v>11</v>
      </c>
      <c r="H3045">
        <v>474.31</v>
      </c>
      <c r="I3045">
        <v>5587.37</v>
      </c>
      <c r="J3045">
        <v>74</v>
      </c>
      <c r="K3045">
        <v>0</v>
      </c>
      <c r="L3045">
        <v>26.8</v>
      </c>
      <c r="M3045">
        <v>22.8</v>
      </c>
      <c r="N3045" t="s">
        <v>81</v>
      </c>
      <c r="O3045" t="s">
        <v>47</v>
      </c>
      <c r="P3045" t="s">
        <v>58</v>
      </c>
      <c r="R3045">
        <f>SUMIF(A3045:A8044,"C03044",I3045:I8044)</f>
        <v>5587.37</v>
      </c>
      <c r="S3045" s="1">
        <v>19643.97</v>
      </c>
      <c r="T3045">
        <f t="shared" si="349"/>
        <v>75.505</v>
      </c>
      <c r="U3045">
        <f t="shared" si="350"/>
        <v>1687.2</v>
      </c>
      <c r="V3045">
        <f t="shared" si="348"/>
        <v>140.6</v>
      </c>
      <c r="W3045">
        <f t="shared" si="346"/>
        <v>2020.89333333333</v>
      </c>
      <c r="X3045">
        <f t="shared" si="344"/>
        <v>0.780080538044739</v>
      </c>
      <c r="AH3045" t="str">
        <f t="shared" si="347"/>
        <v>3rd Quality</v>
      </c>
      <c r="AJ3045">
        <f>((T3045-X3045)*2)/26.8</f>
        <v>5.57648652701159</v>
      </c>
      <c r="AK3045">
        <f t="shared" si="345"/>
        <v>27936.85</v>
      </c>
    </row>
    <row r="3046" spans="1:37">
      <c r="A3046" t="s">
        <v>3112</v>
      </c>
      <c r="B3046">
        <v>39</v>
      </c>
      <c r="C3046" t="s">
        <v>44</v>
      </c>
      <c r="D3046" t="s">
        <v>51</v>
      </c>
      <c r="E3046">
        <v>406</v>
      </c>
      <c r="F3046">
        <v>30</v>
      </c>
      <c r="G3046">
        <v>2</v>
      </c>
      <c r="H3046">
        <v>1087.53</v>
      </c>
      <c r="I3046">
        <v>2411.91</v>
      </c>
      <c r="J3046">
        <v>20</v>
      </c>
      <c r="K3046">
        <v>0</v>
      </c>
      <c r="L3046">
        <v>27</v>
      </c>
      <c r="M3046">
        <v>14.7</v>
      </c>
      <c r="N3046" t="s">
        <v>81</v>
      </c>
      <c r="O3046" t="s">
        <v>47</v>
      </c>
      <c r="P3046" t="s">
        <v>66</v>
      </c>
      <c r="R3046">
        <f>SUMIF(A3046:A8045,"C03045",I3046:I8045)</f>
        <v>2411.91</v>
      </c>
      <c r="S3046" s="1">
        <v>92626.06</v>
      </c>
      <c r="T3046">
        <f t="shared" si="349"/>
        <v>120.5955</v>
      </c>
      <c r="U3046">
        <f t="shared" si="350"/>
        <v>294</v>
      </c>
      <c r="V3046">
        <f t="shared" si="348"/>
        <v>24.5</v>
      </c>
      <c r="W3046">
        <f t="shared" si="346"/>
        <v>1166.81333333333</v>
      </c>
      <c r="X3046">
        <f t="shared" si="344"/>
        <v>0.373323034766857</v>
      </c>
      <c r="AH3046" t="str">
        <f t="shared" si="347"/>
        <v>3rd Quality</v>
      </c>
      <c r="AJ3046">
        <f>((T3046-X3046)*2)/27</f>
        <v>8.90534644186912</v>
      </c>
      <c r="AK3046">
        <f t="shared" si="345"/>
        <v>48961.773</v>
      </c>
    </row>
    <row r="3047" spans="1:37">
      <c r="A3047" t="s">
        <v>3113</v>
      </c>
      <c r="B3047">
        <v>34</v>
      </c>
      <c r="C3047" t="s">
        <v>50</v>
      </c>
      <c r="D3047" t="s">
        <v>60</v>
      </c>
      <c r="E3047">
        <v>1270</v>
      </c>
      <c r="F3047">
        <v>145</v>
      </c>
      <c r="G3047">
        <v>1</v>
      </c>
      <c r="H3047">
        <v>1379.21</v>
      </c>
      <c r="I3047">
        <v>1457.56</v>
      </c>
      <c r="J3047">
        <v>9</v>
      </c>
      <c r="K3047">
        <v>0</v>
      </c>
      <c r="L3047">
        <v>15.8</v>
      </c>
      <c r="M3047">
        <v>37.9</v>
      </c>
      <c r="N3047" t="s">
        <v>52</v>
      </c>
      <c r="O3047" t="s">
        <v>47</v>
      </c>
      <c r="P3047" t="s">
        <v>66</v>
      </c>
      <c r="R3047">
        <f>SUMIF(A3047:A8046,"C03046",I3047:I8046)</f>
        <v>1457.56</v>
      </c>
      <c r="S3047" s="1">
        <v>1290.37</v>
      </c>
      <c r="T3047">
        <f t="shared" si="349"/>
        <v>161.951111111111</v>
      </c>
      <c r="U3047">
        <f t="shared" si="350"/>
        <v>341.1</v>
      </c>
      <c r="V3047">
        <f t="shared" si="348"/>
        <v>28.425</v>
      </c>
      <c r="W3047">
        <f t="shared" si="346"/>
        <v>945.923333333333</v>
      </c>
      <c r="X3047">
        <f t="shared" si="344"/>
        <v>0.920816989435981</v>
      </c>
      <c r="AH3047" t="str">
        <f t="shared" si="347"/>
        <v>3rd Quality</v>
      </c>
      <c r="AJ3047">
        <f>((T3047-X3047)*2)/15.8</f>
        <v>20.3835815343892</v>
      </c>
      <c r="AK3047">
        <f t="shared" si="345"/>
        <v>205677.911111111</v>
      </c>
    </row>
    <row r="3048" spans="1:37">
      <c r="A3048" t="s">
        <v>3114</v>
      </c>
      <c r="B3048">
        <v>42</v>
      </c>
      <c r="C3048" t="s">
        <v>50</v>
      </c>
      <c r="D3048" t="s">
        <v>51</v>
      </c>
      <c r="E3048">
        <v>725</v>
      </c>
      <c r="F3048">
        <v>54</v>
      </c>
      <c r="G3048">
        <v>7</v>
      </c>
      <c r="H3048">
        <v>2694.24</v>
      </c>
      <c r="I3048">
        <v>19643.97</v>
      </c>
      <c r="J3048">
        <v>27</v>
      </c>
      <c r="K3048">
        <v>1</v>
      </c>
      <c r="L3048">
        <v>21.9</v>
      </c>
      <c r="M3048">
        <v>5.5</v>
      </c>
      <c r="N3048" t="s">
        <v>61</v>
      </c>
      <c r="O3048" t="s">
        <v>53</v>
      </c>
      <c r="P3048" t="s">
        <v>66</v>
      </c>
      <c r="R3048">
        <f>SUMIF(A3048:A8047,"C03047",I3048:I8047)</f>
        <v>19643.97</v>
      </c>
      <c r="S3048" s="1">
        <v>9591.48</v>
      </c>
      <c r="T3048">
        <f t="shared" si="349"/>
        <v>727.554444444444</v>
      </c>
      <c r="U3048">
        <f t="shared" si="350"/>
        <v>148.5</v>
      </c>
      <c r="V3048">
        <f>U3048</f>
        <v>148.5</v>
      </c>
      <c r="W3048">
        <f t="shared" si="346"/>
        <v>7446.40333333333</v>
      </c>
      <c r="X3048">
        <f t="shared" si="344"/>
        <v>0.269092582694934</v>
      </c>
      <c r="AH3048" t="str">
        <f t="shared" si="347"/>
        <v>2nd Quality</v>
      </c>
      <c r="AJ3048">
        <f>((T3048-X3048)*2)/21.9</f>
        <v>66.4187535946803</v>
      </c>
      <c r="AK3048">
        <f t="shared" si="345"/>
        <v>527476.972222222</v>
      </c>
    </row>
    <row r="3049" spans="1:37">
      <c r="A3049" t="s">
        <v>3115</v>
      </c>
      <c r="B3049">
        <v>46</v>
      </c>
      <c r="C3049" t="s">
        <v>44</v>
      </c>
      <c r="D3049" t="s">
        <v>60</v>
      </c>
      <c r="E3049">
        <v>766</v>
      </c>
      <c r="F3049">
        <v>18</v>
      </c>
      <c r="G3049">
        <v>10</v>
      </c>
      <c r="H3049">
        <v>9375.97</v>
      </c>
      <c r="I3049">
        <v>92626.06</v>
      </c>
      <c r="J3049">
        <v>91</v>
      </c>
      <c r="K3049">
        <v>1</v>
      </c>
      <c r="L3049">
        <v>6.9</v>
      </c>
      <c r="M3049">
        <v>32.9</v>
      </c>
      <c r="N3049" t="s">
        <v>61</v>
      </c>
      <c r="O3049" t="s">
        <v>47</v>
      </c>
      <c r="P3049" t="s">
        <v>48</v>
      </c>
      <c r="R3049">
        <f>SUMIF(A3049:A8048,"C03048",I3049:I8048)</f>
        <v>92626.06</v>
      </c>
      <c r="S3049" s="1">
        <v>2021.72</v>
      </c>
      <c r="T3049">
        <f t="shared" si="349"/>
        <v>1017.86879120879</v>
      </c>
      <c r="U3049">
        <f t="shared" si="350"/>
        <v>2993.9</v>
      </c>
      <c r="V3049">
        <f>U3049</f>
        <v>2993.9</v>
      </c>
      <c r="W3049">
        <f t="shared" si="346"/>
        <v>34001.01</v>
      </c>
      <c r="X3049">
        <f t="shared" si="344"/>
        <v>0.0816982136248303</v>
      </c>
      <c r="AH3049" t="str">
        <f t="shared" si="347"/>
        <v>3rd Quality</v>
      </c>
      <c r="AJ3049">
        <f>((T3049-X3049)*2)/6.9</f>
        <v>295.010751592801</v>
      </c>
      <c r="AK3049">
        <f t="shared" si="345"/>
        <v>779687.494065934</v>
      </c>
    </row>
    <row r="3050" spans="1:37">
      <c r="A3050" t="s">
        <v>3116</v>
      </c>
      <c r="B3050">
        <v>18</v>
      </c>
      <c r="C3050" t="s">
        <v>44</v>
      </c>
      <c r="D3050" t="s">
        <v>60</v>
      </c>
      <c r="E3050">
        <v>826</v>
      </c>
      <c r="F3050">
        <v>313</v>
      </c>
      <c r="G3050">
        <v>1</v>
      </c>
      <c r="H3050">
        <v>1274.02</v>
      </c>
      <c r="I3050">
        <v>1290.37</v>
      </c>
      <c r="J3050">
        <v>17</v>
      </c>
      <c r="K3050">
        <v>1</v>
      </c>
      <c r="L3050">
        <v>24.1</v>
      </c>
      <c r="M3050">
        <v>41.7</v>
      </c>
      <c r="N3050" t="s">
        <v>46</v>
      </c>
      <c r="O3050" t="s">
        <v>47</v>
      </c>
      <c r="P3050" t="s">
        <v>58</v>
      </c>
      <c r="R3050">
        <f>SUMIF(A3050:A8049,"C03049",I3050:I8049)</f>
        <v>1290.37</v>
      </c>
      <c r="S3050" s="1">
        <v>86852.47</v>
      </c>
      <c r="T3050">
        <f t="shared" si="349"/>
        <v>75.9041176470588</v>
      </c>
      <c r="U3050">
        <f t="shared" si="350"/>
        <v>708.9</v>
      </c>
      <c r="V3050">
        <f>U3050</f>
        <v>708.9</v>
      </c>
      <c r="W3050">
        <f t="shared" si="346"/>
        <v>855.13</v>
      </c>
      <c r="X3050">
        <f t="shared" si="344"/>
        <v>0.648341470306589</v>
      </c>
      <c r="AH3050" t="str">
        <f t="shared" si="347"/>
        <v>3rd Quality</v>
      </c>
      <c r="AJ3050">
        <f>((T3050-X3050)*2)/24.1</f>
        <v>6.24529262877612</v>
      </c>
      <c r="AK3050">
        <f t="shared" si="345"/>
        <v>62696.8011764706</v>
      </c>
    </row>
    <row r="3051" spans="1:37">
      <c r="A3051" t="s">
        <v>3117</v>
      </c>
      <c r="B3051">
        <v>18</v>
      </c>
      <c r="C3051" t="s">
        <v>44</v>
      </c>
      <c r="D3051" t="s">
        <v>51</v>
      </c>
      <c r="E3051">
        <v>1096</v>
      </c>
      <c r="F3051">
        <v>38</v>
      </c>
      <c r="G3051">
        <v>11</v>
      </c>
      <c r="H3051">
        <v>918.67</v>
      </c>
      <c r="I3051">
        <v>9591.48</v>
      </c>
      <c r="J3051">
        <v>42</v>
      </c>
      <c r="K3051">
        <v>0</v>
      </c>
      <c r="L3051">
        <v>25.5</v>
      </c>
      <c r="M3051">
        <v>14.9</v>
      </c>
      <c r="N3051" t="s">
        <v>46</v>
      </c>
      <c r="O3051" t="s">
        <v>47</v>
      </c>
      <c r="P3051" t="s">
        <v>68</v>
      </c>
      <c r="R3051">
        <f>SUMIF(A3051:A8050,"C03050",I3051:I8050)</f>
        <v>9591.48</v>
      </c>
      <c r="S3051" s="1">
        <v>66069.85</v>
      </c>
      <c r="T3051">
        <f t="shared" si="349"/>
        <v>228.368571428571</v>
      </c>
      <c r="U3051">
        <f t="shared" si="350"/>
        <v>625.8</v>
      </c>
      <c r="V3051">
        <f t="shared" si="348"/>
        <v>52.15</v>
      </c>
      <c r="W3051">
        <f t="shared" si="346"/>
        <v>3503.71666666667</v>
      </c>
      <c r="X3051">
        <f t="shared" si="344"/>
        <v>1.19302905286991</v>
      </c>
      <c r="AH3051" t="str">
        <f t="shared" si="347"/>
        <v>3rd Quality</v>
      </c>
      <c r="AJ3051">
        <f>((T3051-X3051)*2)/25.5</f>
        <v>17.8176895980942</v>
      </c>
      <c r="AK3051">
        <f t="shared" si="345"/>
        <v>250291.954285714</v>
      </c>
    </row>
    <row r="3052" spans="1:37">
      <c r="A3052" t="s">
        <v>3118</v>
      </c>
      <c r="B3052">
        <v>44</v>
      </c>
      <c r="C3052" t="s">
        <v>44</v>
      </c>
      <c r="D3052" t="s">
        <v>45</v>
      </c>
      <c r="E3052">
        <v>1146</v>
      </c>
      <c r="F3052">
        <v>365</v>
      </c>
      <c r="G3052">
        <v>1</v>
      </c>
      <c r="H3052">
        <v>2154</v>
      </c>
      <c r="I3052">
        <v>2021.72</v>
      </c>
      <c r="J3052">
        <v>13</v>
      </c>
      <c r="K3052">
        <v>0</v>
      </c>
      <c r="L3052">
        <v>8.7</v>
      </c>
      <c r="M3052">
        <v>22.5</v>
      </c>
      <c r="N3052" t="s">
        <v>81</v>
      </c>
      <c r="O3052" t="s">
        <v>47</v>
      </c>
      <c r="P3052" t="s">
        <v>54</v>
      </c>
      <c r="R3052">
        <f>SUMIF(A3052:A8051,"C03051",I3052:I8051)</f>
        <v>2021.72</v>
      </c>
      <c r="S3052" s="1">
        <v>2198.58</v>
      </c>
      <c r="T3052">
        <f t="shared" si="349"/>
        <v>155.516923076923</v>
      </c>
      <c r="U3052">
        <f t="shared" si="350"/>
        <v>292.5</v>
      </c>
      <c r="V3052">
        <f t="shared" si="348"/>
        <v>24.375</v>
      </c>
      <c r="W3052">
        <f t="shared" si="346"/>
        <v>1392.24</v>
      </c>
      <c r="X3052">
        <f t="shared" si="344"/>
        <v>0.532033426183844</v>
      </c>
      <c r="AH3052" t="str">
        <f t="shared" si="347"/>
        <v>3rd Quality</v>
      </c>
      <c r="AJ3052">
        <f>((T3052-X3052)*2)/8.7</f>
        <v>35.6287102645377</v>
      </c>
      <c r="AK3052">
        <f t="shared" si="345"/>
        <v>178222.393846154</v>
      </c>
    </row>
    <row r="3053" spans="1:37">
      <c r="A3053" t="s">
        <v>3119</v>
      </c>
      <c r="B3053">
        <v>27</v>
      </c>
      <c r="C3053" t="s">
        <v>50</v>
      </c>
      <c r="D3053" t="s">
        <v>60</v>
      </c>
      <c r="E3053">
        <v>1143</v>
      </c>
      <c r="F3053">
        <v>11</v>
      </c>
      <c r="G3053">
        <v>34</v>
      </c>
      <c r="H3053">
        <v>2882.22</v>
      </c>
      <c r="I3053">
        <v>86852.47</v>
      </c>
      <c r="J3053">
        <v>111</v>
      </c>
      <c r="K3053">
        <v>0</v>
      </c>
      <c r="L3053">
        <v>0</v>
      </c>
      <c r="M3053">
        <v>45.5</v>
      </c>
      <c r="N3053" t="s">
        <v>81</v>
      </c>
      <c r="O3053" t="s">
        <v>53</v>
      </c>
      <c r="P3053" t="s">
        <v>58</v>
      </c>
      <c r="R3053">
        <f>SUMIF(A3053:A8052,"C03052",I3053:I8052)</f>
        <v>86852.47</v>
      </c>
      <c r="S3053" s="1">
        <v>129079.13</v>
      </c>
      <c r="T3053">
        <f t="shared" si="349"/>
        <v>782.454684684685</v>
      </c>
      <c r="U3053">
        <f t="shared" si="350"/>
        <v>5050.5</v>
      </c>
      <c r="V3053">
        <f t="shared" si="348"/>
        <v>420.875</v>
      </c>
      <c r="W3053">
        <f t="shared" si="346"/>
        <v>29911.8966666667</v>
      </c>
      <c r="X3053">
        <f t="shared" si="344"/>
        <v>0.396569311155984</v>
      </c>
      <c r="AH3053" t="str">
        <f t="shared" si="347"/>
        <v>1st Quality</v>
      </c>
      <c r="AJ3053">
        <f>((T3053-X3053)*2)</f>
        <v>1564.11623074706</v>
      </c>
      <c r="AK3053">
        <f t="shared" si="345"/>
        <v>894345.704594595</v>
      </c>
    </row>
    <row r="3054" spans="1:37">
      <c r="A3054" t="s">
        <v>3120</v>
      </c>
      <c r="B3054">
        <v>31</v>
      </c>
      <c r="C3054" t="s">
        <v>44</v>
      </c>
      <c r="D3054" t="s">
        <v>45</v>
      </c>
      <c r="E3054">
        <v>1322</v>
      </c>
      <c r="F3054">
        <v>17</v>
      </c>
      <c r="G3054">
        <v>4</v>
      </c>
      <c r="H3054">
        <v>16593.66</v>
      </c>
      <c r="I3054">
        <v>66069.85</v>
      </c>
      <c r="J3054">
        <v>42</v>
      </c>
      <c r="K3054">
        <v>0</v>
      </c>
      <c r="L3054">
        <v>10.6</v>
      </c>
      <c r="M3054">
        <v>14.5</v>
      </c>
      <c r="N3054" t="s">
        <v>61</v>
      </c>
      <c r="O3054" t="s">
        <v>47</v>
      </c>
      <c r="P3054" t="s">
        <v>54</v>
      </c>
      <c r="R3054">
        <f>SUMIF(A3054:A8053,"C03053",I3054:I8053)</f>
        <v>66069.85</v>
      </c>
      <c r="S3054" s="1">
        <v>36266.29</v>
      </c>
      <c r="T3054">
        <f t="shared" si="349"/>
        <v>1573.09166666667</v>
      </c>
      <c r="U3054">
        <f t="shared" si="350"/>
        <v>609</v>
      </c>
      <c r="V3054">
        <f t="shared" si="348"/>
        <v>50.75</v>
      </c>
      <c r="W3054">
        <f t="shared" si="346"/>
        <v>27554.8366666667</v>
      </c>
      <c r="X3054">
        <f t="shared" si="344"/>
        <v>0.0796689820087913</v>
      </c>
      <c r="AH3054" t="str">
        <f t="shared" si="347"/>
        <v>1st Quality</v>
      </c>
      <c r="AJ3054">
        <f>((T3054-X3054)*2)/10.6</f>
        <v>296.794716544276</v>
      </c>
      <c r="AK3054">
        <f t="shared" si="345"/>
        <v>2079627.18333333</v>
      </c>
    </row>
    <row r="3055" spans="1:37">
      <c r="A3055" t="s">
        <v>3121</v>
      </c>
      <c r="B3055">
        <v>40</v>
      </c>
      <c r="C3055" t="s">
        <v>44</v>
      </c>
      <c r="D3055" t="s">
        <v>60</v>
      </c>
      <c r="E3055">
        <v>975</v>
      </c>
      <c r="F3055">
        <v>130</v>
      </c>
      <c r="G3055">
        <v>3</v>
      </c>
      <c r="H3055">
        <v>784.63</v>
      </c>
      <c r="I3055">
        <v>2198.58</v>
      </c>
      <c r="J3055">
        <v>16</v>
      </c>
      <c r="K3055">
        <v>0</v>
      </c>
      <c r="L3055">
        <v>32.8</v>
      </c>
      <c r="M3055">
        <v>20.6</v>
      </c>
      <c r="N3055" t="s">
        <v>63</v>
      </c>
      <c r="O3055" t="s">
        <v>53</v>
      </c>
      <c r="P3055" t="s">
        <v>58</v>
      </c>
      <c r="R3055">
        <f>SUMIF(A3055:A8054,"C03054",I3055:I8054)</f>
        <v>2198.58</v>
      </c>
      <c r="S3055" s="1">
        <v>14250.91</v>
      </c>
      <c r="T3055">
        <f t="shared" si="349"/>
        <v>137.41125</v>
      </c>
      <c r="U3055">
        <f t="shared" si="350"/>
        <v>329.6</v>
      </c>
      <c r="V3055">
        <f t="shared" si="348"/>
        <v>27.4666666666667</v>
      </c>
      <c r="W3055">
        <f t="shared" si="346"/>
        <v>994.736666666667</v>
      </c>
      <c r="X3055">
        <f t="shared" si="344"/>
        <v>1.24262391190752</v>
      </c>
      <c r="AH3055" t="str">
        <f t="shared" si="347"/>
        <v>3rd Quality</v>
      </c>
      <c r="AJ3055">
        <f>((T3055-X3055)*2)/32.8</f>
        <v>8.30296500537149</v>
      </c>
      <c r="AK3055">
        <f t="shared" si="345"/>
        <v>133975.96875</v>
      </c>
    </row>
    <row r="3056" spans="1:37">
      <c r="A3056" t="s">
        <v>3122</v>
      </c>
      <c r="B3056">
        <v>49</v>
      </c>
      <c r="C3056" t="s">
        <v>44</v>
      </c>
      <c r="D3056" t="s">
        <v>60</v>
      </c>
      <c r="E3056">
        <v>644</v>
      </c>
      <c r="F3056">
        <v>30</v>
      </c>
      <c r="G3056">
        <v>8</v>
      </c>
      <c r="H3056">
        <v>16262.27</v>
      </c>
      <c r="I3056">
        <v>129079.13</v>
      </c>
      <c r="J3056">
        <v>58</v>
      </c>
      <c r="K3056">
        <v>0</v>
      </c>
      <c r="L3056">
        <v>14.8</v>
      </c>
      <c r="M3056">
        <v>23.5</v>
      </c>
      <c r="N3056" t="s">
        <v>61</v>
      </c>
      <c r="O3056" t="s">
        <v>53</v>
      </c>
      <c r="P3056" t="s">
        <v>58</v>
      </c>
      <c r="R3056">
        <f>SUMIF(A3056:A8055,"C03055",I3056:I8055)</f>
        <v>129079.13</v>
      </c>
      <c r="S3056" s="1">
        <v>104944.61</v>
      </c>
      <c r="T3056">
        <f t="shared" si="349"/>
        <v>2225.50224137931</v>
      </c>
      <c r="U3056">
        <f t="shared" si="350"/>
        <v>1363</v>
      </c>
      <c r="V3056">
        <f t="shared" si="348"/>
        <v>113.583333333333</v>
      </c>
      <c r="W3056">
        <f t="shared" si="346"/>
        <v>48447.4666666667</v>
      </c>
      <c r="X3056">
        <f t="shared" si="344"/>
        <v>0.0396008675295638</v>
      </c>
      <c r="AH3056" t="str">
        <f t="shared" si="347"/>
        <v>3rd Quality</v>
      </c>
      <c r="AJ3056">
        <f>((T3056-X3056)*2)/14.8</f>
        <v>300.738194663754</v>
      </c>
      <c r="AK3056">
        <f t="shared" si="345"/>
        <v>1433223.44344828</v>
      </c>
    </row>
    <row r="3057" spans="1:37">
      <c r="A3057" t="s">
        <v>3123</v>
      </c>
      <c r="B3057">
        <v>40</v>
      </c>
      <c r="C3057" t="s">
        <v>50</v>
      </c>
      <c r="D3057" t="s">
        <v>60</v>
      </c>
      <c r="E3057">
        <v>1012</v>
      </c>
      <c r="F3057">
        <v>10</v>
      </c>
      <c r="G3057">
        <v>6</v>
      </c>
      <c r="H3057">
        <v>5622.86</v>
      </c>
      <c r="I3057">
        <v>36266.29</v>
      </c>
      <c r="J3057">
        <v>20</v>
      </c>
      <c r="K3057">
        <v>1</v>
      </c>
      <c r="L3057">
        <v>5.3</v>
      </c>
      <c r="M3057">
        <v>25.3</v>
      </c>
      <c r="N3057" t="s">
        <v>78</v>
      </c>
      <c r="O3057" t="s">
        <v>47</v>
      </c>
      <c r="P3057" t="s">
        <v>48</v>
      </c>
      <c r="R3057">
        <f>SUMIF(A3057:A8056,"C03056",I3057:I8056)</f>
        <v>36266.29</v>
      </c>
      <c r="S3057" s="1">
        <v>74145.79</v>
      </c>
      <c r="T3057">
        <f t="shared" si="349"/>
        <v>1813.3145</v>
      </c>
      <c r="U3057">
        <f t="shared" si="350"/>
        <v>506</v>
      </c>
      <c r="V3057">
        <f>U3057</f>
        <v>506</v>
      </c>
      <c r="W3057">
        <f t="shared" si="346"/>
        <v>13963.3833333333</v>
      </c>
      <c r="X3057">
        <f t="shared" si="344"/>
        <v>0.179979583343708</v>
      </c>
      <c r="AH3057" t="str">
        <f t="shared" si="347"/>
        <v>2nd Quality</v>
      </c>
      <c r="AJ3057">
        <f>((T3057-X3057)*2)/5.3</f>
        <v>684.201705817606</v>
      </c>
      <c r="AK3057">
        <f t="shared" si="345"/>
        <v>1835074.274</v>
      </c>
    </row>
    <row r="3058" spans="1:37">
      <c r="A3058" t="s">
        <v>3124</v>
      </c>
      <c r="B3058">
        <v>46</v>
      </c>
      <c r="C3058" t="s">
        <v>50</v>
      </c>
      <c r="D3058" t="s">
        <v>60</v>
      </c>
      <c r="E3058">
        <v>688</v>
      </c>
      <c r="F3058">
        <v>25</v>
      </c>
      <c r="G3058">
        <v>3</v>
      </c>
      <c r="H3058">
        <v>4906.77</v>
      </c>
      <c r="I3058">
        <v>14250.91</v>
      </c>
      <c r="J3058">
        <v>37</v>
      </c>
      <c r="K3058">
        <v>0</v>
      </c>
      <c r="L3058">
        <v>8</v>
      </c>
      <c r="M3058">
        <v>47.2</v>
      </c>
      <c r="N3058" t="s">
        <v>46</v>
      </c>
      <c r="O3058" t="s">
        <v>47</v>
      </c>
      <c r="P3058" t="s">
        <v>58</v>
      </c>
      <c r="R3058">
        <f>SUMIF(A3058:A8057,"C03057",I3058:I8057)</f>
        <v>14250.91</v>
      </c>
      <c r="S3058" s="1">
        <v>13420.32</v>
      </c>
      <c r="T3058">
        <f t="shared" si="349"/>
        <v>385.15972972973</v>
      </c>
      <c r="U3058">
        <f t="shared" si="350"/>
        <v>1746.4</v>
      </c>
      <c r="V3058">
        <f t="shared" si="348"/>
        <v>145.533333333333</v>
      </c>
      <c r="W3058">
        <f t="shared" si="346"/>
        <v>6386.22666666667</v>
      </c>
      <c r="X3058">
        <f t="shared" si="344"/>
        <v>0.140214438418756</v>
      </c>
      <c r="AH3058" t="str">
        <f t="shared" si="347"/>
        <v>3rd Quality</v>
      </c>
      <c r="AJ3058">
        <f>((T3058-X3058)*2)/8</f>
        <v>96.2548788228278</v>
      </c>
      <c r="AK3058">
        <f t="shared" si="345"/>
        <v>264989.894054054</v>
      </c>
    </row>
    <row r="3059" spans="1:37">
      <c r="A3059" t="s">
        <v>3125</v>
      </c>
      <c r="B3059">
        <v>38</v>
      </c>
      <c r="C3059" t="s">
        <v>44</v>
      </c>
      <c r="D3059" t="s">
        <v>51</v>
      </c>
      <c r="E3059">
        <v>837</v>
      </c>
      <c r="F3059">
        <v>8</v>
      </c>
      <c r="G3059">
        <v>25</v>
      </c>
      <c r="H3059">
        <v>4385.23</v>
      </c>
      <c r="I3059">
        <v>104944.61</v>
      </c>
      <c r="J3059">
        <v>82</v>
      </c>
      <c r="K3059">
        <v>2</v>
      </c>
      <c r="L3059">
        <v>12.3</v>
      </c>
      <c r="M3059">
        <v>72.5</v>
      </c>
      <c r="N3059" t="s">
        <v>81</v>
      </c>
      <c r="O3059" t="s">
        <v>47</v>
      </c>
      <c r="P3059" t="s">
        <v>58</v>
      </c>
      <c r="R3059">
        <f>SUMIF(A3059:A8058,"C03058",I3059:I8058)</f>
        <v>104944.61</v>
      </c>
      <c r="S3059" s="1">
        <v>36683</v>
      </c>
      <c r="T3059">
        <f t="shared" si="349"/>
        <v>1279.81231707317</v>
      </c>
      <c r="U3059">
        <f t="shared" si="350"/>
        <v>5945</v>
      </c>
      <c r="V3059">
        <f>U3059</f>
        <v>5945</v>
      </c>
      <c r="W3059">
        <f t="shared" si="346"/>
        <v>36443.6133333333</v>
      </c>
      <c r="X3059">
        <f t="shared" si="344"/>
        <v>0.190867981839037</v>
      </c>
      <c r="AH3059" t="str">
        <f t="shared" si="347"/>
        <v>2nd Quality</v>
      </c>
      <c r="AJ3059">
        <f>((T3059-X3059)*2)/12.3</f>
        <v>208.068528307533</v>
      </c>
      <c r="AK3059">
        <f t="shared" si="345"/>
        <v>1071202.90939024</v>
      </c>
    </row>
    <row r="3060" spans="1:37">
      <c r="A3060" t="s">
        <v>3126</v>
      </c>
      <c r="B3060">
        <v>25</v>
      </c>
      <c r="C3060" t="s">
        <v>44</v>
      </c>
      <c r="D3060" t="s">
        <v>60</v>
      </c>
      <c r="E3060">
        <v>400</v>
      </c>
      <c r="F3060">
        <v>8</v>
      </c>
      <c r="G3060">
        <v>28</v>
      </c>
      <c r="H3060">
        <v>2682.29</v>
      </c>
      <c r="I3060">
        <v>74145.79</v>
      </c>
      <c r="J3060">
        <v>203</v>
      </c>
      <c r="K3060">
        <v>1</v>
      </c>
      <c r="L3060">
        <v>0</v>
      </c>
      <c r="M3060">
        <v>18.8</v>
      </c>
      <c r="N3060" t="s">
        <v>57</v>
      </c>
      <c r="O3060" t="s">
        <v>47</v>
      </c>
      <c r="P3060" t="s">
        <v>48</v>
      </c>
      <c r="R3060">
        <f>SUMIF(A3060:A8059,"C03059",I3060:I8059)</f>
        <v>74145.79</v>
      </c>
      <c r="S3060" s="1">
        <v>2745.4</v>
      </c>
      <c r="T3060">
        <f t="shared" si="349"/>
        <v>365.250197044335</v>
      </c>
      <c r="U3060">
        <f t="shared" si="350"/>
        <v>3816.4</v>
      </c>
      <c r="V3060">
        <f>U3060</f>
        <v>3816.4</v>
      </c>
      <c r="W3060">
        <f t="shared" si="346"/>
        <v>25609.6933333333</v>
      </c>
      <c r="X3060">
        <f t="shared" si="344"/>
        <v>0.149126306253239</v>
      </c>
      <c r="AH3060" t="str">
        <f t="shared" si="347"/>
        <v>3rd Quality</v>
      </c>
      <c r="AJ3060">
        <f>((T3060-X3060)*2)</f>
        <v>730.202141476163</v>
      </c>
      <c r="AK3060">
        <f t="shared" si="345"/>
        <v>146100.078817734</v>
      </c>
    </row>
    <row r="3061" spans="1:37">
      <c r="A3061" t="s">
        <v>3127</v>
      </c>
      <c r="B3061">
        <v>43</v>
      </c>
      <c r="C3061" t="s">
        <v>44</v>
      </c>
      <c r="D3061" t="s">
        <v>60</v>
      </c>
      <c r="E3061">
        <v>814</v>
      </c>
      <c r="F3061">
        <v>13</v>
      </c>
      <c r="G3061">
        <v>11</v>
      </c>
      <c r="H3061">
        <v>1221.35</v>
      </c>
      <c r="I3061">
        <v>13420.32</v>
      </c>
      <c r="J3061">
        <v>95</v>
      </c>
      <c r="K3061">
        <v>1</v>
      </c>
      <c r="L3061">
        <v>10.7</v>
      </c>
      <c r="M3061">
        <v>22.6</v>
      </c>
      <c r="N3061" t="s">
        <v>61</v>
      </c>
      <c r="O3061" t="s">
        <v>53</v>
      </c>
      <c r="P3061" t="s">
        <v>68</v>
      </c>
      <c r="R3061">
        <f>SUMIF(A3061:A8060,"C03060",I3061:I8060)</f>
        <v>13420.32</v>
      </c>
      <c r="S3061" s="1">
        <v>7622.75</v>
      </c>
      <c r="T3061">
        <f t="shared" si="349"/>
        <v>141.266526315789</v>
      </c>
      <c r="U3061">
        <f t="shared" si="350"/>
        <v>2147</v>
      </c>
      <c r="V3061">
        <f>U3061</f>
        <v>2147</v>
      </c>
      <c r="W3061">
        <f t="shared" si="346"/>
        <v>4880.89</v>
      </c>
      <c r="X3061">
        <f t="shared" si="344"/>
        <v>0.666475621238793</v>
      </c>
      <c r="AH3061" t="str">
        <f t="shared" si="347"/>
        <v>3rd Quality</v>
      </c>
      <c r="AJ3061">
        <f>((T3061-X3061)*2)/10.7</f>
        <v>26.2803833073926</v>
      </c>
      <c r="AK3061">
        <f t="shared" si="345"/>
        <v>114990.952421053</v>
      </c>
    </row>
    <row r="3062" spans="1:37">
      <c r="A3062" t="s">
        <v>3128</v>
      </c>
      <c r="B3062">
        <v>18</v>
      </c>
      <c r="C3062" t="s">
        <v>50</v>
      </c>
      <c r="D3062" t="s">
        <v>60</v>
      </c>
      <c r="E3062">
        <v>1024</v>
      </c>
      <c r="F3062">
        <v>92</v>
      </c>
      <c r="G3062">
        <v>6</v>
      </c>
      <c r="H3062">
        <v>6466.65</v>
      </c>
      <c r="I3062">
        <v>36683</v>
      </c>
      <c r="J3062">
        <v>37</v>
      </c>
      <c r="K3062">
        <v>0</v>
      </c>
      <c r="L3062">
        <v>11.2</v>
      </c>
      <c r="M3062">
        <v>39.5</v>
      </c>
      <c r="N3062" t="s">
        <v>52</v>
      </c>
      <c r="O3062" t="s">
        <v>47</v>
      </c>
      <c r="P3062" t="s">
        <v>68</v>
      </c>
      <c r="R3062">
        <f>SUMIF(A3062:A8061,"C03061",I3062:I8061)</f>
        <v>36683</v>
      </c>
      <c r="S3062" s="1">
        <v>1682.25</v>
      </c>
      <c r="T3062">
        <f t="shared" si="349"/>
        <v>991.432432432432</v>
      </c>
      <c r="U3062">
        <f t="shared" si="350"/>
        <v>1461.5</v>
      </c>
      <c r="V3062">
        <f t="shared" si="348"/>
        <v>121.791666666667</v>
      </c>
      <c r="W3062">
        <f t="shared" si="346"/>
        <v>14383.55</v>
      </c>
      <c r="X3062">
        <f t="shared" si="344"/>
        <v>0.158350923584855</v>
      </c>
      <c r="AH3062" t="str">
        <f t="shared" si="347"/>
        <v>1st Quality</v>
      </c>
      <c r="AJ3062">
        <f>((T3062-X3062)*2)/11.2</f>
        <v>177.013228840866</v>
      </c>
      <c r="AK3062">
        <f t="shared" si="345"/>
        <v>1015226.81081081</v>
      </c>
    </row>
    <row r="3063" spans="1:37">
      <c r="A3063" t="s">
        <v>3129</v>
      </c>
      <c r="B3063">
        <v>47</v>
      </c>
      <c r="C3063" t="s">
        <v>44</v>
      </c>
      <c r="D3063" t="s">
        <v>51</v>
      </c>
      <c r="E3063">
        <v>703</v>
      </c>
      <c r="F3063">
        <v>8</v>
      </c>
      <c r="G3063">
        <v>3</v>
      </c>
      <c r="H3063">
        <v>893.7</v>
      </c>
      <c r="I3063">
        <v>2745.4</v>
      </c>
      <c r="J3063">
        <v>13</v>
      </c>
      <c r="K3063">
        <v>0</v>
      </c>
      <c r="L3063">
        <v>24.6</v>
      </c>
      <c r="M3063">
        <v>14</v>
      </c>
      <c r="N3063" t="s">
        <v>61</v>
      </c>
      <c r="O3063" t="s">
        <v>47</v>
      </c>
      <c r="P3063" t="s">
        <v>58</v>
      </c>
      <c r="R3063">
        <f>SUMIF(A3063:A8062,"C03062",I3063:I8062)</f>
        <v>2745.4</v>
      </c>
      <c r="S3063" s="1">
        <v>5607.61</v>
      </c>
      <c r="T3063">
        <f t="shared" si="349"/>
        <v>211.184615384615</v>
      </c>
      <c r="U3063">
        <f t="shared" si="350"/>
        <v>182</v>
      </c>
      <c r="V3063">
        <f t="shared" si="348"/>
        <v>15.1666666666667</v>
      </c>
      <c r="W3063">
        <f t="shared" si="346"/>
        <v>1213.36666666667</v>
      </c>
      <c r="X3063">
        <f t="shared" si="344"/>
        <v>0.786617433143113</v>
      </c>
      <c r="AH3063" t="str">
        <f t="shared" si="347"/>
        <v>3rd Quality</v>
      </c>
      <c r="AJ3063">
        <f>((T3063-X3063)*2)/24.6</f>
        <v>17.1055282887376</v>
      </c>
      <c r="AK3063">
        <f t="shared" si="345"/>
        <v>148462.784615385</v>
      </c>
    </row>
    <row r="3064" spans="1:37">
      <c r="A3064" t="s">
        <v>3130</v>
      </c>
      <c r="B3064">
        <v>28</v>
      </c>
      <c r="C3064" t="s">
        <v>44</v>
      </c>
      <c r="D3064" t="s">
        <v>60</v>
      </c>
      <c r="E3064">
        <v>488</v>
      </c>
      <c r="F3064">
        <v>81</v>
      </c>
      <c r="G3064">
        <v>5</v>
      </c>
      <c r="H3064">
        <v>1718.85</v>
      </c>
      <c r="I3064">
        <v>7622.75</v>
      </c>
      <c r="J3064">
        <v>27</v>
      </c>
      <c r="K3064">
        <v>0</v>
      </c>
      <c r="L3064">
        <v>31.4</v>
      </c>
      <c r="M3064">
        <v>51.9</v>
      </c>
      <c r="N3064" t="s">
        <v>78</v>
      </c>
      <c r="O3064" t="s">
        <v>53</v>
      </c>
      <c r="P3064" t="s">
        <v>68</v>
      </c>
      <c r="R3064">
        <f>SUMIF(A3064:A8063,"C03063",I3064:I8063)</f>
        <v>7622.75</v>
      </c>
      <c r="S3064" s="1">
        <v>16274.61</v>
      </c>
      <c r="T3064">
        <f t="shared" si="349"/>
        <v>282.324074074074</v>
      </c>
      <c r="U3064">
        <f t="shared" si="350"/>
        <v>1401.3</v>
      </c>
      <c r="V3064">
        <f t="shared" si="348"/>
        <v>116.775</v>
      </c>
      <c r="W3064">
        <f t="shared" si="346"/>
        <v>3114.2</v>
      </c>
      <c r="X3064">
        <f t="shared" ref="X3064:X3127" si="351">E3064/H3064</f>
        <v>0.283910754283387</v>
      </c>
      <c r="AH3064" t="str">
        <f t="shared" si="347"/>
        <v>3rd Quality</v>
      </c>
      <c r="AJ3064">
        <f>((T3064-X3064)*2)/31.4</f>
        <v>17.9643416127255</v>
      </c>
      <c r="AK3064">
        <f t="shared" si="345"/>
        <v>137774.148148148</v>
      </c>
    </row>
    <row r="3065" spans="1:37">
      <c r="A3065" t="s">
        <v>3131</v>
      </c>
      <c r="B3065">
        <v>42</v>
      </c>
      <c r="C3065" t="s">
        <v>50</v>
      </c>
      <c r="D3065" t="s">
        <v>60</v>
      </c>
      <c r="E3065">
        <v>447</v>
      </c>
      <c r="F3065">
        <v>197</v>
      </c>
      <c r="G3065">
        <v>1</v>
      </c>
      <c r="H3065">
        <v>1687.87</v>
      </c>
      <c r="I3065">
        <v>1682.25</v>
      </c>
      <c r="J3065">
        <v>18</v>
      </c>
      <c r="K3065">
        <v>0</v>
      </c>
      <c r="L3065">
        <v>29.9</v>
      </c>
      <c r="M3065">
        <v>34.1</v>
      </c>
      <c r="N3065" t="s">
        <v>57</v>
      </c>
      <c r="O3065" t="s">
        <v>47</v>
      </c>
      <c r="P3065" t="s">
        <v>58</v>
      </c>
      <c r="R3065">
        <f>SUMIF(A3065:A8064,"C03064",I3065:I8064)</f>
        <v>1682.25</v>
      </c>
      <c r="S3065" s="1">
        <v>18815.31</v>
      </c>
      <c r="T3065">
        <f t="shared" si="349"/>
        <v>93.4583333333333</v>
      </c>
      <c r="U3065">
        <f t="shared" si="350"/>
        <v>613.8</v>
      </c>
      <c r="V3065">
        <f t="shared" si="348"/>
        <v>51.15</v>
      </c>
      <c r="W3065">
        <f t="shared" si="346"/>
        <v>1123.70666666667</v>
      </c>
      <c r="X3065">
        <f t="shared" si="351"/>
        <v>0.264830822278967</v>
      </c>
      <c r="AH3065" t="str">
        <f t="shared" si="347"/>
        <v>3rd Quality</v>
      </c>
      <c r="AJ3065">
        <f>((T3065-X3065)*2)/29.9</f>
        <v>6.23367909772939</v>
      </c>
      <c r="AK3065">
        <f t="shared" si="345"/>
        <v>41775.875</v>
      </c>
    </row>
    <row r="3066" spans="1:37">
      <c r="A3066" t="s">
        <v>3132</v>
      </c>
      <c r="B3066">
        <v>30</v>
      </c>
      <c r="C3066" t="s">
        <v>44</v>
      </c>
      <c r="D3066" t="s">
        <v>45</v>
      </c>
      <c r="E3066">
        <v>499</v>
      </c>
      <c r="F3066">
        <v>15</v>
      </c>
      <c r="G3066">
        <v>6</v>
      </c>
      <c r="H3066">
        <v>902.33</v>
      </c>
      <c r="I3066">
        <v>5607.61</v>
      </c>
      <c r="J3066">
        <v>20</v>
      </c>
      <c r="K3066">
        <v>1</v>
      </c>
      <c r="L3066">
        <v>19.9</v>
      </c>
      <c r="M3066">
        <v>6.9</v>
      </c>
      <c r="N3066" t="s">
        <v>81</v>
      </c>
      <c r="O3066" t="s">
        <v>47</v>
      </c>
      <c r="P3066" t="s">
        <v>58</v>
      </c>
      <c r="R3066">
        <f>SUMIF(A3066:A8065,"C03065",I3066:I8065)</f>
        <v>5607.61</v>
      </c>
      <c r="S3066" s="1">
        <v>87300.96</v>
      </c>
      <c r="T3066">
        <f t="shared" si="349"/>
        <v>280.3805</v>
      </c>
      <c r="U3066">
        <f t="shared" si="350"/>
        <v>138</v>
      </c>
      <c r="V3066">
        <f>U3066</f>
        <v>138</v>
      </c>
      <c r="W3066">
        <f t="shared" si="346"/>
        <v>2170.31333333333</v>
      </c>
      <c r="X3066">
        <f t="shared" si="351"/>
        <v>0.553012755865371</v>
      </c>
      <c r="AH3066" t="str">
        <f t="shared" si="347"/>
        <v>3rd Quality</v>
      </c>
      <c r="AJ3066">
        <f>((T3066-X3066)*2)/19.9</f>
        <v>28.1233655521743</v>
      </c>
      <c r="AK3066">
        <f t="shared" si="345"/>
        <v>139909.8695</v>
      </c>
    </row>
    <row r="3067" spans="1:37">
      <c r="A3067" t="s">
        <v>3133</v>
      </c>
      <c r="B3067">
        <v>18</v>
      </c>
      <c r="C3067" t="s">
        <v>44</v>
      </c>
      <c r="D3067" t="s">
        <v>60</v>
      </c>
      <c r="E3067">
        <v>751</v>
      </c>
      <c r="F3067">
        <v>99</v>
      </c>
      <c r="G3067">
        <v>9</v>
      </c>
      <c r="H3067">
        <v>1823.05</v>
      </c>
      <c r="I3067">
        <v>16274.61</v>
      </c>
      <c r="J3067">
        <v>42</v>
      </c>
      <c r="K3067">
        <v>1</v>
      </c>
      <c r="L3067">
        <v>19.5</v>
      </c>
      <c r="M3067">
        <v>61.6</v>
      </c>
      <c r="N3067" t="s">
        <v>52</v>
      </c>
      <c r="O3067" t="s">
        <v>47</v>
      </c>
      <c r="P3067" t="s">
        <v>58</v>
      </c>
      <c r="R3067">
        <f>SUMIF(A3067:A8066,"C03066",I3067:I8066)</f>
        <v>16274.61</v>
      </c>
      <c r="S3067" s="1">
        <v>4921.71</v>
      </c>
      <c r="T3067">
        <f t="shared" si="349"/>
        <v>387.490714285714</v>
      </c>
      <c r="U3067">
        <f t="shared" si="350"/>
        <v>2587.2</v>
      </c>
      <c r="V3067">
        <f>U3067</f>
        <v>2587.2</v>
      </c>
      <c r="W3067">
        <f t="shared" si="346"/>
        <v>6032.88666666667</v>
      </c>
      <c r="X3067">
        <f t="shared" si="351"/>
        <v>0.411947011875703</v>
      </c>
      <c r="AH3067" t="str">
        <f t="shared" si="347"/>
        <v>3rd Quality</v>
      </c>
      <c r="AJ3067">
        <f>((T3067-X3067)*2)/19.5</f>
        <v>39.7003863870603</v>
      </c>
      <c r="AK3067">
        <f t="shared" si="345"/>
        <v>291005.526428571</v>
      </c>
    </row>
    <row r="3068" spans="1:37">
      <c r="A3068" t="s">
        <v>3134</v>
      </c>
      <c r="B3068">
        <v>39</v>
      </c>
      <c r="C3068" t="s">
        <v>50</v>
      </c>
      <c r="D3068" t="s">
        <v>51</v>
      </c>
      <c r="E3068">
        <v>1455</v>
      </c>
      <c r="F3068">
        <v>1</v>
      </c>
      <c r="G3068">
        <v>8</v>
      </c>
      <c r="H3068">
        <v>2109.75</v>
      </c>
      <c r="I3068">
        <v>18815.31</v>
      </c>
      <c r="J3068">
        <v>48</v>
      </c>
      <c r="K3068">
        <v>1</v>
      </c>
      <c r="L3068">
        <v>12.5</v>
      </c>
      <c r="M3068">
        <v>16.3</v>
      </c>
      <c r="N3068" t="s">
        <v>61</v>
      </c>
      <c r="O3068" t="s">
        <v>75</v>
      </c>
      <c r="P3068" t="s">
        <v>48</v>
      </c>
      <c r="R3068">
        <f>SUMIF(A3068:A8067,"C03067",I3068:I8067)</f>
        <v>18815.31</v>
      </c>
      <c r="S3068" s="1">
        <v>7011.84</v>
      </c>
      <c r="T3068">
        <f t="shared" si="349"/>
        <v>391.985625</v>
      </c>
      <c r="U3068">
        <f t="shared" si="350"/>
        <v>782.4</v>
      </c>
      <c r="V3068">
        <f>U3068</f>
        <v>782.4</v>
      </c>
      <c r="W3068">
        <f t="shared" si="346"/>
        <v>6975.35333333333</v>
      </c>
      <c r="X3068">
        <f t="shared" si="351"/>
        <v>0.689655172413793</v>
      </c>
      <c r="AH3068" t="str">
        <f t="shared" si="347"/>
        <v>2nd Quality</v>
      </c>
      <c r="AJ3068">
        <f>((T3068-X3068)*2)/12.5</f>
        <v>62.6073551724138</v>
      </c>
      <c r="AK3068">
        <f t="shared" si="345"/>
        <v>570339.084375</v>
      </c>
    </row>
    <row r="3069" spans="1:37">
      <c r="A3069" t="s">
        <v>3135</v>
      </c>
      <c r="B3069">
        <v>39</v>
      </c>
      <c r="C3069" t="s">
        <v>44</v>
      </c>
      <c r="D3069" t="s">
        <v>60</v>
      </c>
      <c r="E3069">
        <v>874</v>
      </c>
      <c r="F3069">
        <v>4</v>
      </c>
      <c r="G3069">
        <v>31</v>
      </c>
      <c r="H3069">
        <v>3070.36</v>
      </c>
      <c r="I3069">
        <v>87300.96</v>
      </c>
      <c r="J3069">
        <v>222</v>
      </c>
      <c r="K3069">
        <v>4</v>
      </c>
      <c r="L3069">
        <v>12.6</v>
      </c>
      <c r="M3069">
        <v>30.6</v>
      </c>
      <c r="N3069" t="s">
        <v>52</v>
      </c>
      <c r="O3069" t="s">
        <v>47</v>
      </c>
      <c r="P3069" t="s">
        <v>48</v>
      </c>
      <c r="R3069">
        <f>SUMIF(A3069:A8068,"C03068",I3069:I8068)</f>
        <v>87300.96</v>
      </c>
      <c r="S3069" s="1">
        <v>122372.17</v>
      </c>
      <c r="T3069">
        <f t="shared" si="349"/>
        <v>393.247567567568</v>
      </c>
      <c r="U3069">
        <f t="shared" si="350"/>
        <v>6793.2</v>
      </c>
      <c r="V3069">
        <f>U3069</f>
        <v>6793.2</v>
      </c>
      <c r="W3069">
        <f t="shared" si="346"/>
        <v>30124.1066666667</v>
      </c>
      <c r="X3069">
        <f t="shared" si="351"/>
        <v>0.284657173751612</v>
      </c>
      <c r="AH3069" t="str">
        <f t="shared" si="347"/>
        <v>2nd Quality</v>
      </c>
      <c r="AJ3069">
        <f>((T3069-X3069)*2)/12.6</f>
        <v>62.3750651418756</v>
      </c>
      <c r="AK3069">
        <f t="shared" si="345"/>
        <v>343698.374054054</v>
      </c>
    </row>
    <row r="3070" spans="1:37">
      <c r="A3070" t="s">
        <v>3136</v>
      </c>
      <c r="B3070">
        <v>25</v>
      </c>
      <c r="C3070" t="s">
        <v>44</v>
      </c>
      <c r="D3070" t="s">
        <v>60</v>
      </c>
      <c r="E3070">
        <v>1361</v>
      </c>
      <c r="F3070">
        <v>75</v>
      </c>
      <c r="G3070">
        <v>4</v>
      </c>
      <c r="H3070">
        <v>1244.45</v>
      </c>
      <c r="I3070">
        <v>4921.71</v>
      </c>
      <c r="J3070">
        <v>22</v>
      </c>
      <c r="K3070">
        <v>0</v>
      </c>
      <c r="L3070">
        <v>14.6</v>
      </c>
      <c r="M3070">
        <v>24.5</v>
      </c>
      <c r="N3070" t="s">
        <v>52</v>
      </c>
      <c r="O3070" t="s">
        <v>47</v>
      </c>
      <c r="P3070" t="s">
        <v>58</v>
      </c>
      <c r="R3070">
        <f>SUMIF(A3070:A8069,"C03069",I3070:I8069)</f>
        <v>4921.71</v>
      </c>
      <c r="S3070" s="1">
        <v>1668.76</v>
      </c>
      <c r="T3070">
        <f t="shared" si="349"/>
        <v>223.714090909091</v>
      </c>
      <c r="U3070">
        <f t="shared" si="350"/>
        <v>539</v>
      </c>
      <c r="V3070">
        <f>U3070/12</f>
        <v>44.9166666666667</v>
      </c>
      <c r="W3070">
        <f t="shared" si="346"/>
        <v>2055.72</v>
      </c>
      <c r="X3070">
        <f t="shared" si="351"/>
        <v>1.09365583189361</v>
      </c>
      <c r="AH3070" t="str">
        <f t="shared" si="347"/>
        <v>3rd Quality</v>
      </c>
      <c r="AJ3070">
        <f>((T3070-X3070)*2)/14.6</f>
        <v>30.495950010575</v>
      </c>
      <c r="AK3070">
        <f t="shared" si="345"/>
        <v>304474.877727273</v>
      </c>
    </row>
    <row r="3071" spans="1:37">
      <c r="A3071" t="s">
        <v>3137</v>
      </c>
      <c r="B3071">
        <v>42</v>
      </c>
      <c r="C3071" t="s">
        <v>44</v>
      </c>
      <c r="D3071" t="s">
        <v>60</v>
      </c>
      <c r="E3071">
        <v>515</v>
      </c>
      <c r="F3071">
        <v>17</v>
      </c>
      <c r="G3071">
        <v>8</v>
      </c>
      <c r="H3071">
        <v>922.58</v>
      </c>
      <c r="I3071">
        <v>7011.84</v>
      </c>
      <c r="J3071">
        <v>58</v>
      </c>
      <c r="K3071">
        <v>1</v>
      </c>
      <c r="L3071">
        <v>15.2</v>
      </c>
      <c r="M3071">
        <v>3</v>
      </c>
      <c r="N3071" t="s">
        <v>46</v>
      </c>
      <c r="O3071" t="s">
        <v>75</v>
      </c>
      <c r="P3071" t="s">
        <v>58</v>
      </c>
      <c r="R3071">
        <f>SUMIF(A3071:A8070,"C03070",I3071:I8070)</f>
        <v>7011.84</v>
      </c>
      <c r="S3071" s="1">
        <v>2529.74</v>
      </c>
      <c r="T3071">
        <f t="shared" si="349"/>
        <v>120.893793103448</v>
      </c>
      <c r="U3071">
        <f t="shared" si="350"/>
        <v>174</v>
      </c>
      <c r="V3071">
        <f>U3071</f>
        <v>174</v>
      </c>
      <c r="W3071">
        <f t="shared" si="346"/>
        <v>2645.14</v>
      </c>
      <c r="X3071">
        <f t="shared" si="351"/>
        <v>0.558217173578443</v>
      </c>
      <c r="AH3071" t="str">
        <f t="shared" si="347"/>
        <v>3rd Quality</v>
      </c>
      <c r="AJ3071">
        <f>((T3071-X3071)*2)/15.2</f>
        <v>15.8336284118249</v>
      </c>
      <c r="AK3071">
        <f t="shared" si="345"/>
        <v>62260.3034482759</v>
      </c>
    </row>
    <row r="3072" spans="1:37">
      <c r="A3072" t="s">
        <v>3138</v>
      </c>
      <c r="B3072">
        <v>36</v>
      </c>
      <c r="C3072" t="s">
        <v>44</v>
      </c>
      <c r="D3072" t="s">
        <v>60</v>
      </c>
      <c r="E3072">
        <v>1429</v>
      </c>
      <c r="F3072">
        <v>9</v>
      </c>
      <c r="G3072">
        <v>28</v>
      </c>
      <c r="H3072">
        <v>3984.81</v>
      </c>
      <c r="I3072">
        <v>122372.17</v>
      </c>
      <c r="J3072">
        <v>174</v>
      </c>
      <c r="K3072">
        <v>4</v>
      </c>
      <c r="L3072">
        <v>11.2</v>
      </c>
      <c r="M3072">
        <v>56.2</v>
      </c>
      <c r="N3072" t="s">
        <v>78</v>
      </c>
      <c r="O3072" t="s">
        <v>47</v>
      </c>
      <c r="P3072" t="s">
        <v>58</v>
      </c>
      <c r="R3072">
        <f>SUMIF(A3072:A8071,"C03071",I3072:I8071)</f>
        <v>122372.17</v>
      </c>
      <c r="S3072" s="1">
        <v>3641.73</v>
      </c>
      <c r="T3072">
        <f t="shared" si="349"/>
        <v>703.288333333333</v>
      </c>
      <c r="U3072">
        <f t="shared" si="350"/>
        <v>9778.8</v>
      </c>
      <c r="V3072">
        <f>U3072</f>
        <v>9778.8</v>
      </c>
      <c r="W3072">
        <f t="shared" si="346"/>
        <v>42119.3266666667</v>
      </c>
      <c r="X3072">
        <f t="shared" si="351"/>
        <v>0.358611828418419</v>
      </c>
      <c r="AH3072" t="str">
        <f t="shared" si="347"/>
        <v>2nd Quality</v>
      </c>
      <c r="AJ3072">
        <f>((T3072-X3072)*2)/11.2</f>
        <v>125.523164554449</v>
      </c>
      <c r="AK3072">
        <f t="shared" si="345"/>
        <v>1004999.02833333</v>
      </c>
    </row>
    <row r="3073" spans="1:37">
      <c r="A3073" t="s">
        <v>3139</v>
      </c>
      <c r="B3073">
        <v>28</v>
      </c>
      <c r="C3073" t="s">
        <v>44</v>
      </c>
      <c r="D3073" t="s">
        <v>45</v>
      </c>
      <c r="E3073">
        <v>1360</v>
      </c>
      <c r="F3073">
        <v>303</v>
      </c>
      <c r="G3073">
        <v>1</v>
      </c>
      <c r="H3073">
        <v>1807.77</v>
      </c>
      <c r="I3073">
        <v>1668.76</v>
      </c>
      <c r="J3073">
        <v>11</v>
      </c>
      <c r="K3073">
        <v>0</v>
      </c>
      <c r="L3073">
        <v>12.4</v>
      </c>
      <c r="M3073">
        <v>46</v>
      </c>
      <c r="N3073" t="s">
        <v>57</v>
      </c>
      <c r="O3073" t="s">
        <v>53</v>
      </c>
      <c r="P3073" t="s">
        <v>58</v>
      </c>
      <c r="R3073">
        <f>SUMIF(A3073:A8072,"C03072",I3073:I8072)</f>
        <v>1668.76</v>
      </c>
      <c r="S3073" s="1">
        <v>2043.19</v>
      </c>
      <c r="T3073">
        <f t="shared" si="349"/>
        <v>151.705454545455</v>
      </c>
      <c r="U3073">
        <f t="shared" si="350"/>
        <v>506</v>
      </c>
      <c r="V3073">
        <f t="shared" si="348"/>
        <v>42.1666666666667</v>
      </c>
      <c r="W3073">
        <f t="shared" si="346"/>
        <v>1159.17666666667</v>
      </c>
      <c r="X3073">
        <f t="shared" si="351"/>
        <v>0.752308092290502</v>
      </c>
      <c r="AH3073" t="str">
        <f t="shared" si="347"/>
        <v>3rd Quality</v>
      </c>
      <c r="AJ3073">
        <f>((T3073-X3073)*2)/12.4</f>
        <v>24.3472816859943</v>
      </c>
      <c r="AK3073">
        <f t="shared" si="345"/>
        <v>206319.418181818</v>
      </c>
    </row>
    <row r="3074" spans="1:37">
      <c r="A3074" t="s">
        <v>3140</v>
      </c>
      <c r="B3074">
        <v>38</v>
      </c>
      <c r="C3074" t="s">
        <v>44</v>
      </c>
      <c r="D3074" t="s">
        <v>60</v>
      </c>
      <c r="E3074">
        <v>465</v>
      </c>
      <c r="F3074">
        <v>28</v>
      </c>
      <c r="G3074">
        <v>4</v>
      </c>
      <c r="H3074">
        <v>629.2</v>
      </c>
      <c r="I3074">
        <v>2529.74</v>
      </c>
      <c r="J3074">
        <v>28</v>
      </c>
      <c r="K3074">
        <v>0</v>
      </c>
      <c r="L3074">
        <v>28.7</v>
      </c>
      <c r="M3074">
        <v>42.3</v>
      </c>
      <c r="N3074" t="s">
        <v>46</v>
      </c>
      <c r="O3074" t="s">
        <v>47</v>
      </c>
      <c r="P3074" t="s">
        <v>68</v>
      </c>
      <c r="R3074">
        <f>SUMIF(A3074:A8073,"C03073",I3074:I8073)</f>
        <v>2529.74</v>
      </c>
      <c r="S3074" s="1">
        <v>1376.92</v>
      </c>
      <c r="T3074">
        <f t="shared" si="349"/>
        <v>90.3478571428571</v>
      </c>
      <c r="U3074">
        <f t="shared" si="350"/>
        <v>1184.4</v>
      </c>
      <c r="V3074">
        <f t="shared" si="348"/>
        <v>98.7</v>
      </c>
      <c r="W3074">
        <f t="shared" si="346"/>
        <v>1053.31333333333</v>
      </c>
      <c r="X3074">
        <f t="shared" si="351"/>
        <v>0.739033693579148</v>
      </c>
      <c r="AH3074" t="str">
        <f t="shared" si="347"/>
        <v>3rd Quality</v>
      </c>
      <c r="AJ3074">
        <f>((T3074-X3074)*2)/28.7</f>
        <v>6.24451731353853</v>
      </c>
      <c r="AK3074">
        <f t="shared" si="345"/>
        <v>42011.7535714286</v>
      </c>
    </row>
    <row r="3075" spans="1:37">
      <c r="A3075" t="s">
        <v>3141</v>
      </c>
      <c r="B3075">
        <v>34</v>
      </c>
      <c r="C3075" t="s">
        <v>50</v>
      </c>
      <c r="D3075" t="s">
        <v>60</v>
      </c>
      <c r="E3075">
        <v>379</v>
      </c>
      <c r="F3075">
        <v>106</v>
      </c>
      <c r="G3075">
        <v>2</v>
      </c>
      <c r="H3075">
        <v>1854.55</v>
      </c>
      <c r="I3075">
        <v>3641.73</v>
      </c>
      <c r="J3075">
        <v>18</v>
      </c>
      <c r="K3075">
        <v>0</v>
      </c>
      <c r="L3075">
        <v>27.6</v>
      </c>
      <c r="M3075">
        <v>4.3</v>
      </c>
      <c r="N3075" t="s">
        <v>61</v>
      </c>
      <c r="O3075" t="s">
        <v>75</v>
      </c>
      <c r="P3075" t="s">
        <v>58</v>
      </c>
      <c r="R3075">
        <f>SUMIF(A3075:A8074,"C03074",I3075:I8074)</f>
        <v>3641.73</v>
      </c>
      <c r="S3075" s="1">
        <v>18884.46</v>
      </c>
      <c r="T3075">
        <f t="shared" si="349"/>
        <v>202.318333333333</v>
      </c>
      <c r="U3075">
        <f t="shared" si="350"/>
        <v>77.4</v>
      </c>
      <c r="V3075">
        <f t="shared" si="348"/>
        <v>6.45</v>
      </c>
      <c r="W3075">
        <f t="shared" si="346"/>
        <v>1832.42666666667</v>
      </c>
      <c r="X3075">
        <f t="shared" si="351"/>
        <v>0.204362244210186</v>
      </c>
      <c r="AH3075" t="str">
        <f t="shared" si="347"/>
        <v>3rd Quality</v>
      </c>
      <c r="AJ3075">
        <f>((T3075-X3075)*2)/27.6</f>
        <v>14.6459399339944</v>
      </c>
      <c r="AK3075">
        <f t="shared" ref="AK3075:AK3138" si="352">I3075/J3075*E3075</f>
        <v>76678.6483333333</v>
      </c>
    </row>
    <row r="3076" spans="1:37">
      <c r="A3076" t="s">
        <v>3142</v>
      </c>
      <c r="B3076">
        <v>29</v>
      </c>
      <c r="C3076" t="s">
        <v>44</v>
      </c>
      <c r="D3076" t="s">
        <v>60</v>
      </c>
      <c r="E3076">
        <v>1071</v>
      </c>
      <c r="F3076">
        <v>323</v>
      </c>
      <c r="G3076">
        <v>1</v>
      </c>
      <c r="H3076">
        <v>1857.22</v>
      </c>
      <c r="I3076">
        <v>2043.19</v>
      </c>
      <c r="J3076">
        <v>11</v>
      </c>
      <c r="K3076">
        <v>0</v>
      </c>
      <c r="L3076">
        <v>9.2</v>
      </c>
      <c r="M3076">
        <v>17.9</v>
      </c>
      <c r="N3076" t="s">
        <v>78</v>
      </c>
      <c r="O3076" t="s">
        <v>47</v>
      </c>
      <c r="P3076" t="s">
        <v>54</v>
      </c>
      <c r="R3076">
        <f>SUMIF(A3076:A8075,"C03075",I3076:I8075)</f>
        <v>2043.19</v>
      </c>
      <c r="S3076" s="1">
        <v>55746.48</v>
      </c>
      <c r="T3076">
        <f t="shared" si="349"/>
        <v>185.744545454545</v>
      </c>
      <c r="U3076">
        <f t="shared" si="350"/>
        <v>196.9</v>
      </c>
      <c r="V3076">
        <f t="shared" si="348"/>
        <v>16.4083333333333</v>
      </c>
      <c r="W3076">
        <f t="shared" si="346"/>
        <v>1300.47</v>
      </c>
      <c r="X3076">
        <f t="shared" si="351"/>
        <v>0.576668353776074</v>
      </c>
      <c r="AH3076" t="str">
        <f t="shared" si="347"/>
        <v>3rd Quality</v>
      </c>
      <c r="AJ3076">
        <f>((T3076-X3076)*2)/9.2</f>
        <v>40.2538863262541</v>
      </c>
      <c r="AK3076">
        <f t="shared" si="352"/>
        <v>198932.408181818</v>
      </c>
    </row>
    <row r="3077" spans="1:37">
      <c r="A3077" t="s">
        <v>3143</v>
      </c>
      <c r="B3077">
        <v>36</v>
      </c>
      <c r="C3077" t="s">
        <v>50</v>
      </c>
      <c r="D3077" t="s">
        <v>60</v>
      </c>
      <c r="E3077">
        <v>614</v>
      </c>
      <c r="F3077">
        <v>69</v>
      </c>
      <c r="G3077">
        <v>1</v>
      </c>
      <c r="H3077">
        <v>1358.14</v>
      </c>
      <c r="I3077">
        <v>1376.92</v>
      </c>
      <c r="J3077">
        <v>10</v>
      </c>
      <c r="K3077">
        <v>0</v>
      </c>
      <c r="L3077">
        <v>2.5</v>
      </c>
      <c r="M3077">
        <v>59.7</v>
      </c>
      <c r="N3077" t="s">
        <v>61</v>
      </c>
      <c r="O3077" t="s">
        <v>47</v>
      </c>
      <c r="P3077" t="s">
        <v>58</v>
      </c>
      <c r="R3077">
        <f>SUMIF(A3077:A8076,"C03076",I3077:I8076)</f>
        <v>1376.92</v>
      </c>
      <c r="S3077" s="1">
        <v>6431.28</v>
      </c>
      <c r="T3077">
        <f t="shared" si="349"/>
        <v>137.692</v>
      </c>
      <c r="U3077">
        <f t="shared" si="350"/>
        <v>597</v>
      </c>
      <c r="V3077">
        <f t="shared" si="348"/>
        <v>49.75</v>
      </c>
      <c r="W3077">
        <f t="shared" si="346"/>
        <v>912.02</v>
      </c>
      <c r="X3077">
        <f t="shared" si="351"/>
        <v>0.452088886270929</v>
      </c>
      <c r="AH3077" t="str">
        <f t="shared" si="347"/>
        <v>3rd Quality</v>
      </c>
      <c r="AJ3077">
        <f>((T3077-X3077)*2)/2.5</f>
        <v>109.791928890983</v>
      </c>
      <c r="AK3077">
        <f t="shared" si="352"/>
        <v>84542.888</v>
      </c>
    </row>
    <row r="3078" spans="1:37">
      <c r="A3078" t="s">
        <v>3144</v>
      </c>
      <c r="B3078">
        <v>30</v>
      </c>
      <c r="C3078" t="s">
        <v>50</v>
      </c>
      <c r="D3078" t="s">
        <v>60</v>
      </c>
      <c r="E3078">
        <v>1069</v>
      </c>
      <c r="F3078">
        <v>38</v>
      </c>
      <c r="G3078">
        <v>14</v>
      </c>
      <c r="H3078">
        <v>1360.1</v>
      </c>
      <c r="I3078">
        <v>18884.46</v>
      </c>
      <c r="J3078">
        <v>78</v>
      </c>
      <c r="K3078">
        <v>2</v>
      </c>
      <c r="L3078">
        <v>26.9</v>
      </c>
      <c r="M3078">
        <v>24.6</v>
      </c>
      <c r="N3078" t="s">
        <v>81</v>
      </c>
      <c r="O3078" t="s">
        <v>47</v>
      </c>
      <c r="P3078" t="s">
        <v>48</v>
      </c>
      <c r="R3078">
        <f>SUMIF(A3078:A8077,"C03077",I3078:I8077)</f>
        <v>18884.46</v>
      </c>
      <c r="S3078" s="1">
        <v>10102.29</v>
      </c>
      <c r="T3078">
        <f t="shared" si="349"/>
        <v>242.108461538462</v>
      </c>
      <c r="U3078">
        <f t="shared" si="350"/>
        <v>1918.8</v>
      </c>
      <c r="V3078">
        <f>U3078</f>
        <v>1918.8</v>
      </c>
      <c r="W3078">
        <f t="shared" si="346"/>
        <v>6748.52</v>
      </c>
      <c r="X3078">
        <f t="shared" si="351"/>
        <v>0.785971619733843</v>
      </c>
      <c r="AH3078" t="str">
        <f t="shared" si="347"/>
        <v>2nd Quality</v>
      </c>
      <c r="AJ3078">
        <f>((T3078-X3078)*2)/26.9</f>
        <v>17.9421925590132</v>
      </c>
      <c r="AK3078">
        <f t="shared" si="352"/>
        <v>258813.945384615</v>
      </c>
    </row>
    <row r="3079" spans="1:37">
      <c r="A3079" t="s">
        <v>3145</v>
      </c>
      <c r="B3079">
        <v>27</v>
      </c>
      <c r="C3079" t="s">
        <v>44</v>
      </c>
      <c r="D3079" t="s">
        <v>60</v>
      </c>
      <c r="E3079">
        <v>1111</v>
      </c>
      <c r="F3079">
        <v>24</v>
      </c>
      <c r="G3079">
        <v>8</v>
      </c>
      <c r="H3079">
        <v>6826.47</v>
      </c>
      <c r="I3079">
        <v>55746.48</v>
      </c>
      <c r="J3079">
        <v>53</v>
      </c>
      <c r="K3079">
        <v>1</v>
      </c>
      <c r="L3079">
        <v>4.8</v>
      </c>
      <c r="M3079">
        <v>12.6</v>
      </c>
      <c r="N3079" t="s">
        <v>46</v>
      </c>
      <c r="O3079" t="s">
        <v>75</v>
      </c>
      <c r="P3079" t="s">
        <v>68</v>
      </c>
      <c r="R3079">
        <f>SUMIF(A3079:A8078,"C03078",I3079:I8078)</f>
        <v>55746.48</v>
      </c>
      <c r="S3079" s="1">
        <v>8774</v>
      </c>
      <c r="T3079">
        <f t="shared" si="349"/>
        <v>1051.82037735849</v>
      </c>
      <c r="U3079">
        <f t="shared" si="350"/>
        <v>667.8</v>
      </c>
      <c r="V3079">
        <f>U3079</f>
        <v>667.8</v>
      </c>
      <c r="W3079">
        <f t="shared" si="346"/>
        <v>20857.9833333333</v>
      </c>
      <c r="X3079">
        <f t="shared" si="351"/>
        <v>0.162748829189903</v>
      </c>
      <c r="AH3079" t="str">
        <f t="shared" si="347"/>
        <v>1st Quality</v>
      </c>
      <c r="AJ3079">
        <f>((T3079-X3079)*2)/4.8</f>
        <v>438.190678553875</v>
      </c>
      <c r="AK3079">
        <f t="shared" si="352"/>
        <v>1168572.43924528</v>
      </c>
    </row>
    <row r="3080" spans="1:37">
      <c r="A3080" t="s">
        <v>3146</v>
      </c>
      <c r="B3080">
        <v>19</v>
      </c>
      <c r="C3080" t="s">
        <v>50</v>
      </c>
      <c r="D3080" t="s">
        <v>45</v>
      </c>
      <c r="E3080">
        <v>439</v>
      </c>
      <c r="F3080">
        <v>11</v>
      </c>
      <c r="G3080">
        <v>1</v>
      </c>
      <c r="H3080">
        <v>6120.71</v>
      </c>
      <c r="I3080">
        <v>6431.28</v>
      </c>
      <c r="J3080">
        <v>22</v>
      </c>
      <c r="K3080">
        <v>0</v>
      </c>
      <c r="L3080">
        <v>8.4</v>
      </c>
      <c r="M3080">
        <v>22.2</v>
      </c>
      <c r="N3080" t="s">
        <v>52</v>
      </c>
      <c r="O3080" t="s">
        <v>47</v>
      </c>
      <c r="P3080" t="s">
        <v>58</v>
      </c>
      <c r="R3080">
        <f>SUMIF(A3080:A8079,"C03079",I3080:I8079)</f>
        <v>6431.28</v>
      </c>
      <c r="S3080" s="1">
        <v>79484.01</v>
      </c>
      <c r="T3080">
        <f t="shared" si="349"/>
        <v>292.330909090909</v>
      </c>
      <c r="U3080">
        <f t="shared" si="350"/>
        <v>488.4</v>
      </c>
      <c r="V3080">
        <f t="shared" si="348"/>
        <v>40.7</v>
      </c>
      <c r="W3080">
        <f t="shared" si="346"/>
        <v>4184.33</v>
      </c>
      <c r="X3080">
        <f t="shared" si="351"/>
        <v>0.0717237052564163</v>
      </c>
      <c r="AH3080" t="str">
        <f t="shared" si="347"/>
        <v>3rd Quality</v>
      </c>
      <c r="AJ3080">
        <f>((T3080-X3080)*2)/8.4</f>
        <v>69.5855203299173</v>
      </c>
      <c r="AK3080">
        <f t="shared" si="352"/>
        <v>128333.269090909</v>
      </c>
    </row>
    <row r="3081" spans="1:37">
      <c r="A3081" t="s">
        <v>3147</v>
      </c>
      <c r="B3081">
        <v>37</v>
      </c>
      <c r="C3081" t="s">
        <v>44</v>
      </c>
      <c r="D3081" t="s">
        <v>45</v>
      </c>
      <c r="E3081">
        <v>1268</v>
      </c>
      <c r="F3081">
        <v>15</v>
      </c>
      <c r="G3081">
        <v>10</v>
      </c>
      <c r="H3081">
        <v>1138.06</v>
      </c>
      <c r="I3081">
        <v>10102.29</v>
      </c>
      <c r="J3081">
        <v>63</v>
      </c>
      <c r="K3081">
        <v>3</v>
      </c>
      <c r="L3081">
        <v>21.6</v>
      </c>
      <c r="M3081">
        <v>35.3</v>
      </c>
      <c r="N3081" t="s">
        <v>57</v>
      </c>
      <c r="O3081" t="s">
        <v>75</v>
      </c>
      <c r="P3081" t="s">
        <v>68</v>
      </c>
      <c r="R3081">
        <f>SUMIF(A3081:A8080,"C03080",I3081:I8080)</f>
        <v>10102.29</v>
      </c>
      <c r="S3081" s="1">
        <v>59891.84</v>
      </c>
      <c r="T3081">
        <f t="shared" si="349"/>
        <v>160.35380952381</v>
      </c>
      <c r="U3081">
        <f t="shared" si="350"/>
        <v>2223.9</v>
      </c>
      <c r="V3081">
        <f>U3081</f>
        <v>2223.9</v>
      </c>
      <c r="W3081">
        <f t="shared" ref="W3081:W3144" si="353">(H3081+I3081+1)/3</f>
        <v>3747.11666666667</v>
      </c>
      <c r="X3081">
        <f t="shared" si="351"/>
        <v>1.11417675693724</v>
      </c>
      <c r="AH3081" t="str">
        <f t="shared" si="347"/>
        <v>3rd Quality</v>
      </c>
      <c r="AJ3081">
        <f>((T3081-X3081)*2)/21.6</f>
        <v>14.7444104413771</v>
      </c>
      <c r="AK3081">
        <f t="shared" si="352"/>
        <v>203328.63047619</v>
      </c>
    </row>
    <row r="3082" spans="1:37">
      <c r="A3082" t="s">
        <v>3148</v>
      </c>
      <c r="B3082">
        <v>27</v>
      </c>
      <c r="C3082" t="s">
        <v>44</v>
      </c>
      <c r="D3082" t="s">
        <v>45</v>
      </c>
      <c r="E3082">
        <v>1315</v>
      </c>
      <c r="F3082">
        <v>15</v>
      </c>
      <c r="G3082">
        <v>8</v>
      </c>
      <c r="H3082">
        <v>1167.72</v>
      </c>
      <c r="I3082">
        <v>8774</v>
      </c>
      <c r="J3082">
        <v>33</v>
      </c>
      <c r="K3082">
        <v>1</v>
      </c>
      <c r="L3082">
        <v>21.5</v>
      </c>
      <c r="M3082">
        <v>44.7</v>
      </c>
      <c r="N3082" t="s">
        <v>61</v>
      </c>
      <c r="O3082" t="s">
        <v>47</v>
      </c>
      <c r="P3082" t="s">
        <v>58</v>
      </c>
      <c r="R3082">
        <f>SUMIF(A3082:A8081,"C03081",I3082:I8081)</f>
        <v>8774</v>
      </c>
      <c r="S3082" s="1">
        <v>4529.25</v>
      </c>
      <c r="T3082">
        <f t="shared" si="349"/>
        <v>265.878787878788</v>
      </c>
      <c r="U3082">
        <f t="shared" si="350"/>
        <v>1475.1</v>
      </c>
      <c r="V3082">
        <f>U3082</f>
        <v>1475.1</v>
      </c>
      <c r="W3082">
        <f t="shared" si="353"/>
        <v>3314.24</v>
      </c>
      <c r="X3082">
        <f t="shared" si="351"/>
        <v>1.12612612612613</v>
      </c>
      <c r="AH3082" t="str">
        <f t="shared" si="347"/>
        <v>3rd Quality</v>
      </c>
      <c r="AJ3082">
        <f>((T3082-X3082)*2)/21.5</f>
        <v>24.628154581643</v>
      </c>
      <c r="AK3082">
        <f t="shared" si="352"/>
        <v>349630.606060606</v>
      </c>
    </row>
    <row r="3083" spans="1:37">
      <c r="A3083" t="s">
        <v>3149</v>
      </c>
      <c r="B3083">
        <v>39</v>
      </c>
      <c r="C3083" t="s">
        <v>44</v>
      </c>
      <c r="D3083" t="s">
        <v>60</v>
      </c>
      <c r="E3083">
        <v>886</v>
      </c>
      <c r="F3083">
        <v>6</v>
      </c>
      <c r="G3083">
        <v>36</v>
      </c>
      <c r="H3083">
        <v>2357.41</v>
      </c>
      <c r="I3083">
        <v>79484.01</v>
      </c>
      <c r="J3083">
        <v>226</v>
      </c>
      <c r="K3083">
        <v>3</v>
      </c>
      <c r="L3083">
        <v>10.1</v>
      </c>
      <c r="M3083">
        <v>5</v>
      </c>
      <c r="N3083" t="s">
        <v>52</v>
      </c>
      <c r="O3083" t="s">
        <v>47</v>
      </c>
      <c r="P3083" t="s">
        <v>66</v>
      </c>
      <c r="R3083">
        <f>SUMIF(A3083:A8082,"C03082",I3083:I8082)</f>
        <v>79484.01</v>
      </c>
      <c r="S3083" s="1">
        <v>2623.93</v>
      </c>
      <c r="T3083">
        <f t="shared" si="349"/>
        <v>351.699159292035</v>
      </c>
      <c r="U3083">
        <f t="shared" si="350"/>
        <v>1130</v>
      </c>
      <c r="V3083">
        <f>U3083</f>
        <v>1130</v>
      </c>
      <c r="W3083">
        <f t="shared" si="353"/>
        <v>27280.8066666667</v>
      </c>
      <c r="X3083">
        <f t="shared" si="351"/>
        <v>0.375836193110235</v>
      </c>
      <c r="AH3083" t="str">
        <f t="shared" si="347"/>
        <v>2nd Quality</v>
      </c>
      <c r="AJ3083">
        <f>((T3083-X3083)*2)/10.1</f>
        <v>69.5689748710742</v>
      </c>
      <c r="AK3083">
        <f t="shared" si="352"/>
        <v>311605.455132743</v>
      </c>
    </row>
    <row r="3084" spans="1:37">
      <c r="A3084" t="s">
        <v>3150</v>
      </c>
      <c r="B3084">
        <v>34</v>
      </c>
      <c r="C3084" t="s">
        <v>44</v>
      </c>
      <c r="D3084" t="s">
        <v>60</v>
      </c>
      <c r="E3084">
        <v>1385</v>
      </c>
      <c r="F3084">
        <v>19</v>
      </c>
      <c r="G3084">
        <v>4</v>
      </c>
      <c r="H3084">
        <v>15282.6</v>
      </c>
      <c r="I3084">
        <v>59891.84</v>
      </c>
      <c r="J3084">
        <v>35</v>
      </c>
      <c r="K3084">
        <v>0</v>
      </c>
      <c r="L3084">
        <v>4.7</v>
      </c>
      <c r="M3084">
        <v>40.8</v>
      </c>
      <c r="N3084" t="s">
        <v>61</v>
      </c>
      <c r="O3084" t="s">
        <v>47</v>
      </c>
      <c r="P3084" t="s">
        <v>68</v>
      </c>
      <c r="R3084">
        <f>SUMIF(A3084:A8083,"C03083",I3084:I8083)</f>
        <v>59891.84</v>
      </c>
      <c r="S3084" s="1">
        <v>12234.32</v>
      </c>
      <c r="T3084">
        <f t="shared" si="349"/>
        <v>1711.19542857143</v>
      </c>
      <c r="U3084">
        <f t="shared" si="350"/>
        <v>1428</v>
      </c>
      <c r="V3084">
        <f t="shared" si="348"/>
        <v>119</v>
      </c>
      <c r="W3084">
        <f t="shared" si="353"/>
        <v>25058.48</v>
      </c>
      <c r="X3084">
        <f t="shared" si="351"/>
        <v>0.0906259406121995</v>
      </c>
      <c r="AH3084" t="str">
        <f t="shared" si="347"/>
        <v>2nd Quality</v>
      </c>
      <c r="AJ3084">
        <f>((T3084-X3084)*2)/4.7</f>
        <v>728.129703247157</v>
      </c>
      <c r="AK3084">
        <f t="shared" si="352"/>
        <v>2370005.66857143</v>
      </c>
    </row>
    <row r="3085" spans="1:37">
      <c r="A3085" t="s">
        <v>3151</v>
      </c>
      <c r="B3085">
        <v>35</v>
      </c>
      <c r="C3085" t="s">
        <v>44</v>
      </c>
      <c r="D3085" t="s">
        <v>60</v>
      </c>
      <c r="E3085">
        <v>1012</v>
      </c>
      <c r="F3085">
        <v>218</v>
      </c>
      <c r="G3085">
        <v>7</v>
      </c>
      <c r="H3085">
        <v>635.39</v>
      </c>
      <c r="I3085">
        <v>4529.25</v>
      </c>
      <c r="J3085">
        <v>58</v>
      </c>
      <c r="K3085">
        <v>0</v>
      </c>
      <c r="L3085">
        <v>26.6</v>
      </c>
      <c r="M3085">
        <v>7.8</v>
      </c>
      <c r="N3085" t="s">
        <v>61</v>
      </c>
      <c r="O3085" t="s">
        <v>47</v>
      </c>
      <c r="P3085" t="s">
        <v>66</v>
      </c>
      <c r="R3085">
        <f>SUMIF(A3085:A8084,"C03084",I3085:I8084)</f>
        <v>4529.25</v>
      </c>
      <c r="S3085" s="1">
        <v>38129.46</v>
      </c>
      <c r="T3085">
        <f t="shared" si="349"/>
        <v>78.0905172413793</v>
      </c>
      <c r="U3085">
        <f t="shared" si="350"/>
        <v>452.4</v>
      </c>
      <c r="V3085">
        <f t="shared" si="348"/>
        <v>37.7</v>
      </c>
      <c r="W3085">
        <f t="shared" si="353"/>
        <v>1721.88</v>
      </c>
      <c r="X3085">
        <f t="shared" si="351"/>
        <v>1.59272257983286</v>
      </c>
      <c r="AH3085" t="str">
        <f t="shared" si="347"/>
        <v>3rd Quality</v>
      </c>
      <c r="AJ3085">
        <f>((T3085-X3085)*2)/26.6</f>
        <v>5.7517138843268</v>
      </c>
      <c r="AK3085">
        <f t="shared" si="352"/>
        <v>79027.6034482759</v>
      </c>
    </row>
    <row r="3086" spans="1:37">
      <c r="A3086" t="s">
        <v>3152</v>
      </c>
      <c r="B3086">
        <v>44</v>
      </c>
      <c r="C3086" t="s">
        <v>50</v>
      </c>
      <c r="D3086" t="s">
        <v>45</v>
      </c>
      <c r="E3086">
        <v>1167</v>
      </c>
      <c r="F3086">
        <v>112</v>
      </c>
      <c r="G3086">
        <v>4</v>
      </c>
      <c r="H3086">
        <v>596.45</v>
      </c>
      <c r="I3086">
        <v>2623.93</v>
      </c>
      <c r="J3086">
        <v>25</v>
      </c>
      <c r="K3086">
        <v>1</v>
      </c>
      <c r="L3086">
        <v>22</v>
      </c>
      <c r="M3086">
        <v>10.6</v>
      </c>
      <c r="N3086" t="s">
        <v>46</v>
      </c>
      <c r="O3086" t="s">
        <v>75</v>
      </c>
      <c r="P3086" t="s">
        <v>68</v>
      </c>
      <c r="R3086">
        <f>SUMIF(A3086:A8085,"C03085",I3086:I8085)</f>
        <v>2623.93</v>
      </c>
      <c r="S3086" s="1">
        <v>30107.38</v>
      </c>
      <c r="T3086">
        <f t="shared" si="349"/>
        <v>104.9572</v>
      </c>
      <c r="U3086">
        <f t="shared" si="350"/>
        <v>265</v>
      </c>
      <c r="V3086">
        <f>U3086</f>
        <v>265</v>
      </c>
      <c r="W3086">
        <f t="shared" si="353"/>
        <v>1073.79333333333</v>
      </c>
      <c r="X3086">
        <f t="shared" si="351"/>
        <v>1.95657641042837</v>
      </c>
      <c r="AH3086" t="str">
        <f t="shared" ref="AH3086:AH3149" si="354">IF(AND(W3086&gt;=12550,B3086&lt;=33,E3086&gt;=915),"1st Quality",IF(AND(W3086&gt;=6275,B3086&lt;=43,E3086&gt;=457),"2nd Quality","3rd Quality"))</f>
        <v>3rd Quality</v>
      </c>
      <c r="AJ3086">
        <f>((T3086-X3086)*2)/22</f>
        <v>9.36369305359742</v>
      </c>
      <c r="AK3086">
        <f t="shared" si="352"/>
        <v>122485.0524</v>
      </c>
    </row>
    <row r="3087" spans="1:37">
      <c r="A3087" t="s">
        <v>3153</v>
      </c>
      <c r="B3087">
        <v>33</v>
      </c>
      <c r="C3087" t="s">
        <v>44</v>
      </c>
      <c r="D3087" t="s">
        <v>51</v>
      </c>
      <c r="E3087">
        <v>667</v>
      </c>
      <c r="F3087">
        <v>43</v>
      </c>
      <c r="G3087">
        <v>14</v>
      </c>
      <c r="H3087">
        <v>860.3</v>
      </c>
      <c r="I3087">
        <v>12234.32</v>
      </c>
      <c r="J3087">
        <v>64</v>
      </c>
      <c r="K3087">
        <v>1</v>
      </c>
      <c r="L3087">
        <v>39.4</v>
      </c>
      <c r="M3087">
        <v>40.9</v>
      </c>
      <c r="N3087" t="s">
        <v>78</v>
      </c>
      <c r="O3087" t="s">
        <v>75</v>
      </c>
      <c r="P3087" t="s">
        <v>58</v>
      </c>
      <c r="R3087">
        <f>SUMIF(A3087:A8086,"C03086",I3087:I8086)</f>
        <v>12234.32</v>
      </c>
      <c r="S3087" s="1">
        <v>92696.34</v>
      </c>
      <c r="T3087">
        <f t="shared" si="349"/>
        <v>191.16125</v>
      </c>
      <c r="U3087">
        <f t="shared" si="350"/>
        <v>2617.6</v>
      </c>
      <c r="V3087">
        <f>U3087</f>
        <v>2617.6</v>
      </c>
      <c r="W3087">
        <f t="shared" si="353"/>
        <v>4365.20666666667</v>
      </c>
      <c r="X3087">
        <f t="shared" si="351"/>
        <v>0.775310938044868</v>
      </c>
      <c r="AH3087" t="str">
        <f t="shared" si="354"/>
        <v>3rd Quality</v>
      </c>
      <c r="AJ3087">
        <f>((T3087-X3087)*2)/39.4</f>
        <v>9.66426086608909</v>
      </c>
      <c r="AK3087">
        <f t="shared" si="352"/>
        <v>127504.55375</v>
      </c>
    </row>
    <row r="3088" spans="1:37">
      <c r="A3088" t="s">
        <v>3154</v>
      </c>
      <c r="B3088">
        <v>27</v>
      </c>
      <c r="C3088" t="s">
        <v>44</v>
      </c>
      <c r="D3088" t="s">
        <v>51</v>
      </c>
      <c r="E3088">
        <v>1060</v>
      </c>
      <c r="F3088">
        <v>10</v>
      </c>
      <c r="G3088">
        <v>21</v>
      </c>
      <c r="H3088">
        <v>1965.99</v>
      </c>
      <c r="I3088">
        <v>38129.46</v>
      </c>
      <c r="J3088">
        <v>112</v>
      </c>
      <c r="K3088">
        <v>0</v>
      </c>
      <c r="L3088">
        <v>16</v>
      </c>
      <c r="M3088">
        <v>22.6</v>
      </c>
      <c r="N3088" t="s">
        <v>46</v>
      </c>
      <c r="O3088" t="s">
        <v>53</v>
      </c>
      <c r="P3088" t="s">
        <v>48</v>
      </c>
      <c r="R3088">
        <f>SUMIF(A3088:A8087,"C03087",I3088:I8087)</f>
        <v>38129.46</v>
      </c>
      <c r="S3088" s="1">
        <v>4574.41</v>
      </c>
      <c r="T3088">
        <f t="shared" si="349"/>
        <v>340.441607142857</v>
      </c>
      <c r="U3088">
        <f t="shared" si="350"/>
        <v>2531.2</v>
      </c>
      <c r="V3088">
        <f t="shared" si="348"/>
        <v>210.933333333333</v>
      </c>
      <c r="W3088">
        <f t="shared" si="353"/>
        <v>13365.4833333333</v>
      </c>
      <c r="X3088">
        <f t="shared" si="351"/>
        <v>0.539168561386375</v>
      </c>
      <c r="AH3088" t="str">
        <f t="shared" si="354"/>
        <v>1st Quality</v>
      </c>
      <c r="AJ3088">
        <f>((T3088-X3088)*2)/16</f>
        <v>42.4878048226838</v>
      </c>
      <c r="AK3088">
        <f t="shared" si="352"/>
        <v>360868.103571429</v>
      </c>
    </row>
    <row r="3089" spans="1:37">
      <c r="A3089" t="s">
        <v>3155</v>
      </c>
      <c r="B3089">
        <v>35</v>
      </c>
      <c r="C3089" t="s">
        <v>44</v>
      </c>
      <c r="D3089" t="s">
        <v>60</v>
      </c>
      <c r="E3089">
        <v>1411</v>
      </c>
      <c r="F3089">
        <v>39</v>
      </c>
      <c r="G3089">
        <v>15</v>
      </c>
      <c r="H3089">
        <v>1994.78</v>
      </c>
      <c r="I3089">
        <v>30107.38</v>
      </c>
      <c r="J3089">
        <v>69</v>
      </c>
      <c r="K3089">
        <v>0</v>
      </c>
      <c r="L3089">
        <v>32.4</v>
      </c>
      <c r="M3089">
        <v>66.4</v>
      </c>
      <c r="N3089" t="s">
        <v>63</v>
      </c>
      <c r="O3089" t="s">
        <v>75</v>
      </c>
      <c r="P3089" t="s">
        <v>68</v>
      </c>
      <c r="R3089">
        <f>SUMIF(A3089:A8088,"C03088",I3089:I8088)</f>
        <v>30107.38</v>
      </c>
      <c r="S3089" s="1">
        <v>5171.07</v>
      </c>
      <c r="T3089">
        <f t="shared" si="349"/>
        <v>436.33884057971</v>
      </c>
      <c r="U3089">
        <f t="shared" si="350"/>
        <v>4581.6</v>
      </c>
      <c r="V3089">
        <f t="shared" si="348"/>
        <v>381.8</v>
      </c>
      <c r="W3089">
        <f t="shared" si="353"/>
        <v>10701.0533333333</v>
      </c>
      <c r="X3089">
        <f t="shared" si="351"/>
        <v>0.707346173512869</v>
      </c>
      <c r="AH3089" t="str">
        <f t="shared" si="354"/>
        <v>2nd Quality</v>
      </c>
      <c r="AJ3089">
        <f>((T3089-X3089)*2)/32.4</f>
        <v>26.8908329880369</v>
      </c>
      <c r="AK3089">
        <f t="shared" si="352"/>
        <v>615674.104057971</v>
      </c>
    </row>
    <row r="3090" spans="1:37">
      <c r="A3090" t="s">
        <v>3156</v>
      </c>
      <c r="B3090">
        <v>40</v>
      </c>
      <c r="C3090" t="s">
        <v>50</v>
      </c>
      <c r="D3090" t="s">
        <v>45</v>
      </c>
      <c r="E3090">
        <v>1216</v>
      </c>
      <c r="F3090">
        <v>38</v>
      </c>
      <c r="G3090">
        <v>9</v>
      </c>
      <c r="H3090">
        <v>10479.23</v>
      </c>
      <c r="I3090">
        <v>92696.34</v>
      </c>
      <c r="J3090">
        <v>38</v>
      </c>
      <c r="K3090">
        <v>1</v>
      </c>
      <c r="L3090">
        <v>14.9</v>
      </c>
      <c r="M3090">
        <v>20.3</v>
      </c>
      <c r="N3090" t="s">
        <v>61</v>
      </c>
      <c r="O3090" t="s">
        <v>47</v>
      </c>
      <c r="P3090" t="s">
        <v>58</v>
      </c>
      <c r="R3090">
        <f>SUMIF(A3090:A8089,"C03089",I3090:I8089)</f>
        <v>92696.34</v>
      </c>
      <c r="S3090" s="1">
        <v>1555.34</v>
      </c>
      <c r="T3090">
        <f t="shared" si="349"/>
        <v>2439.37736842105</v>
      </c>
      <c r="U3090">
        <f t="shared" si="350"/>
        <v>771.4</v>
      </c>
      <c r="V3090">
        <f>U3090</f>
        <v>771.4</v>
      </c>
      <c r="W3090">
        <f t="shared" si="353"/>
        <v>34392.19</v>
      </c>
      <c r="X3090">
        <f t="shared" si="351"/>
        <v>0.116039060121784</v>
      </c>
      <c r="AH3090" t="str">
        <f t="shared" si="354"/>
        <v>2nd Quality</v>
      </c>
      <c r="AJ3090">
        <f>((T3090-X3090)*2)/14.9</f>
        <v>327.417628102138</v>
      </c>
      <c r="AK3090">
        <f t="shared" si="352"/>
        <v>2966282.88</v>
      </c>
    </row>
    <row r="3091" spans="1:37">
      <c r="A3091" t="s">
        <v>3157</v>
      </c>
      <c r="B3091">
        <v>41</v>
      </c>
      <c r="C3091" t="s">
        <v>44</v>
      </c>
      <c r="D3091" t="s">
        <v>60</v>
      </c>
      <c r="E3091">
        <v>1072</v>
      </c>
      <c r="F3091">
        <v>73</v>
      </c>
      <c r="G3091">
        <v>2</v>
      </c>
      <c r="H3091">
        <v>2209.91</v>
      </c>
      <c r="I3091">
        <v>4574.41</v>
      </c>
      <c r="J3091">
        <v>19</v>
      </c>
      <c r="K3091">
        <v>0</v>
      </c>
      <c r="L3091">
        <v>15</v>
      </c>
      <c r="M3091">
        <v>13.4</v>
      </c>
      <c r="N3091" t="s">
        <v>57</v>
      </c>
      <c r="O3091" t="s">
        <v>47</v>
      </c>
      <c r="P3091" t="s">
        <v>68</v>
      </c>
      <c r="R3091">
        <f>SUMIF(A3091:A8090,"C03090",I3091:I8090)</f>
        <v>4574.41</v>
      </c>
      <c r="S3091" s="1">
        <v>4994.29</v>
      </c>
      <c r="T3091">
        <f t="shared" si="349"/>
        <v>240.758421052632</v>
      </c>
      <c r="U3091">
        <f t="shared" si="350"/>
        <v>254.6</v>
      </c>
      <c r="V3091">
        <f t="shared" ref="V3090:V3153" si="355">U3091/12</f>
        <v>21.2166666666667</v>
      </c>
      <c r="W3091">
        <f t="shared" si="353"/>
        <v>2261.77333333333</v>
      </c>
      <c r="X3091">
        <f t="shared" si="351"/>
        <v>0.48508762800295</v>
      </c>
      <c r="AH3091" t="str">
        <f t="shared" si="354"/>
        <v>3rd Quality</v>
      </c>
      <c r="AJ3091">
        <f>((T3091-X3091)*2)/15</f>
        <v>32.0364444566172</v>
      </c>
      <c r="AK3091">
        <f t="shared" si="352"/>
        <v>258093.027368421</v>
      </c>
    </row>
    <row r="3092" spans="1:37">
      <c r="A3092" t="s">
        <v>3158</v>
      </c>
      <c r="B3092">
        <v>29</v>
      </c>
      <c r="C3092" t="s">
        <v>101</v>
      </c>
      <c r="D3092" t="s">
        <v>60</v>
      </c>
      <c r="E3092">
        <v>813</v>
      </c>
      <c r="F3092">
        <v>179</v>
      </c>
      <c r="G3092">
        <v>2</v>
      </c>
      <c r="H3092">
        <v>2503.33</v>
      </c>
      <c r="I3092">
        <v>5171.07</v>
      </c>
      <c r="J3092">
        <v>20</v>
      </c>
      <c r="K3092">
        <v>0</v>
      </c>
      <c r="L3092">
        <v>15.7</v>
      </c>
      <c r="M3092">
        <v>12.2</v>
      </c>
      <c r="N3092" t="s">
        <v>46</v>
      </c>
      <c r="O3092" t="s">
        <v>47</v>
      </c>
      <c r="P3092" t="s">
        <v>48</v>
      </c>
      <c r="R3092">
        <f>SUMIF(A3092:A8091,"C03091",I3092:I8091)</f>
        <v>5171.07</v>
      </c>
      <c r="S3092" s="1">
        <v>1187.77</v>
      </c>
      <c r="T3092">
        <f t="shared" si="349"/>
        <v>258.5535</v>
      </c>
      <c r="U3092">
        <f t="shared" si="350"/>
        <v>244</v>
      </c>
      <c r="V3092">
        <f t="shared" si="355"/>
        <v>20.3333333333333</v>
      </c>
      <c r="W3092">
        <f t="shared" si="353"/>
        <v>2558.46666666667</v>
      </c>
      <c r="X3092">
        <f t="shared" si="351"/>
        <v>0.324767409810133</v>
      </c>
      <c r="AH3092" t="str">
        <f t="shared" si="354"/>
        <v>3rd Quality</v>
      </c>
      <c r="AJ3092">
        <f>((T3092-X3092)*2)/15.7</f>
        <v>32.8953799477949</v>
      </c>
      <c r="AK3092">
        <f t="shared" si="352"/>
        <v>210203.9955</v>
      </c>
    </row>
    <row r="3093" spans="1:37">
      <c r="A3093" t="s">
        <v>3159</v>
      </c>
      <c r="B3093">
        <v>61</v>
      </c>
      <c r="C3093" t="s">
        <v>50</v>
      </c>
      <c r="D3093" t="s">
        <v>60</v>
      </c>
      <c r="E3093">
        <v>513</v>
      </c>
      <c r="F3093">
        <v>93</v>
      </c>
      <c r="G3093">
        <v>1</v>
      </c>
      <c r="H3093">
        <v>1497.77</v>
      </c>
      <c r="I3093">
        <v>1555.34</v>
      </c>
      <c r="J3093">
        <v>12</v>
      </c>
      <c r="K3093">
        <v>0</v>
      </c>
      <c r="L3093">
        <v>17</v>
      </c>
      <c r="M3093">
        <v>21.7</v>
      </c>
      <c r="N3093" t="s">
        <v>81</v>
      </c>
      <c r="O3093" t="s">
        <v>47</v>
      </c>
      <c r="P3093" t="s">
        <v>68</v>
      </c>
      <c r="R3093">
        <f>SUMIF(A3093:A8092,"C03092",I3093:I8092)</f>
        <v>1555.34</v>
      </c>
      <c r="S3093" s="1">
        <v>6623.81</v>
      </c>
      <c r="T3093">
        <f t="shared" si="349"/>
        <v>129.611666666667</v>
      </c>
      <c r="U3093">
        <f t="shared" si="350"/>
        <v>260.4</v>
      </c>
      <c r="V3093">
        <f t="shared" si="355"/>
        <v>21.7</v>
      </c>
      <c r="W3093">
        <f t="shared" si="353"/>
        <v>1018.03666666667</v>
      </c>
      <c r="X3093">
        <f t="shared" si="351"/>
        <v>0.342509197006216</v>
      </c>
      <c r="AH3093" t="str">
        <f t="shared" si="354"/>
        <v>3rd Quality</v>
      </c>
      <c r="AJ3093">
        <f>((T3093-X3093)*2)/17</f>
        <v>15.2081361729013</v>
      </c>
      <c r="AK3093">
        <f t="shared" si="352"/>
        <v>66490.785</v>
      </c>
    </row>
    <row r="3094" spans="1:37">
      <c r="A3094" t="s">
        <v>3160</v>
      </c>
      <c r="B3094">
        <v>22</v>
      </c>
      <c r="C3094" t="s">
        <v>50</v>
      </c>
      <c r="D3094" t="s">
        <v>45</v>
      </c>
      <c r="E3094">
        <v>743</v>
      </c>
      <c r="F3094">
        <v>171</v>
      </c>
      <c r="G3094">
        <v>3</v>
      </c>
      <c r="H3094">
        <v>1487.26</v>
      </c>
      <c r="I3094">
        <v>4994.29</v>
      </c>
      <c r="J3094">
        <v>26</v>
      </c>
      <c r="K3094">
        <v>0</v>
      </c>
      <c r="L3094">
        <v>26.5</v>
      </c>
      <c r="M3094">
        <v>75</v>
      </c>
      <c r="N3094" t="s">
        <v>61</v>
      </c>
      <c r="O3094" t="s">
        <v>75</v>
      </c>
      <c r="P3094" t="s">
        <v>68</v>
      </c>
      <c r="R3094">
        <f>SUMIF(A3094:A8093,"C03093",I3094:I8093)</f>
        <v>4994.29</v>
      </c>
      <c r="S3094" s="1">
        <v>92051.6</v>
      </c>
      <c r="T3094">
        <f t="shared" ref="T3094:T3157" si="356">I3094/J3094</f>
        <v>192.088076923077</v>
      </c>
      <c r="U3094">
        <f t="shared" si="350"/>
        <v>1950</v>
      </c>
      <c r="V3094">
        <f t="shared" si="355"/>
        <v>162.5</v>
      </c>
      <c r="W3094">
        <f t="shared" si="353"/>
        <v>2160.85</v>
      </c>
      <c r="X3094">
        <f t="shared" si="351"/>
        <v>0.499576402243051</v>
      </c>
      <c r="AH3094" t="str">
        <f t="shared" si="354"/>
        <v>3rd Quality</v>
      </c>
      <c r="AJ3094">
        <f>((T3094-X3094)*2)/26.5</f>
        <v>14.4595094732705</v>
      </c>
      <c r="AK3094">
        <f t="shared" si="352"/>
        <v>142721.441153846</v>
      </c>
    </row>
    <row r="3095" spans="1:37">
      <c r="A3095" t="s">
        <v>3161</v>
      </c>
      <c r="B3095">
        <v>30</v>
      </c>
      <c r="C3095" t="s">
        <v>44</v>
      </c>
      <c r="D3095" t="s">
        <v>45</v>
      </c>
      <c r="E3095">
        <v>1173</v>
      </c>
      <c r="F3095">
        <v>124</v>
      </c>
      <c r="G3095">
        <v>1</v>
      </c>
      <c r="H3095">
        <v>1339.65</v>
      </c>
      <c r="I3095">
        <v>1187.77</v>
      </c>
      <c r="J3095">
        <v>20</v>
      </c>
      <c r="K3095">
        <v>0</v>
      </c>
      <c r="L3095">
        <v>23.1</v>
      </c>
      <c r="M3095">
        <v>27</v>
      </c>
      <c r="N3095" t="s">
        <v>78</v>
      </c>
      <c r="O3095" t="s">
        <v>47</v>
      </c>
      <c r="P3095" t="s">
        <v>58</v>
      </c>
      <c r="R3095">
        <f>SUMIF(A3095:A8094,"C03094",I3095:I8094)</f>
        <v>1187.77</v>
      </c>
      <c r="S3095" s="1">
        <v>66652.02</v>
      </c>
      <c r="T3095">
        <f t="shared" si="356"/>
        <v>59.3885</v>
      </c>
      <c r="U3095">
        <f t="shared" si="350"/>
        <v>540</v>
      </c>
      <c r="V3095">
        <f t="shared" si="355"/>
        <v>45</v>
      </c>
      <c r="W3095">
        <f t="shared" si="353"/>
        <v>842.806666666667</v>
      </c>
      <c r="X3095">
        <f t="shared" si="351"/>
        <v>0.875601836300526</v>
      </c>
      <c r="AH3095" t="str">
        <f t="shared" si="354"/>
        <v>3rd Quality</v>
      </c>
      <c r="AJ3095">
        <f>((T3095-X3095)*2)/23.1</f>
        <v>5.06605178906489</v>
      </c>
      <c r="AK3095">
        <f t="shared" si="352"/>
        <v>69662.7105</v>
      </c>
    </row>
    <row r="3096" spans="1:37">
      <c r="A3096" t="s">
        <v>3162</v>
      </c>
      <c r="B3096">
        <v>33</v>
      </c>
      <c r="C3096" t="s">
        <v>50</v>
      </c>
      <c r="D3096" t="s">
        <v>45</v>
      </c>
      <c r="E3096">
        <v>944</v>
      </c>
      <c r="F3096">
        <v>46</v>
      </c>
      <c r="G3096">
        <v>7</v>
      </c>
      <c r="H3096">
        <v>890.23</v>
      </c>
      <c r="I3096">
        <v>6623.81</v>
      </c>
      <c r="J3096">
        <v>30</v>
      </c>
      <c r="K3096">
        <v>0</v>
      </c>
      <c r="L3096">
        <v>16.3</v>
      </c>
      <c r="M3096">
        <v>38.2</v>
      </c>
      <c r="N3096" t="s">
        <v>81</v>
      </c>
      <c r="O3096" t="s">
        <v>47</v>
      </c>
      <c r="P3096" t="s">
        <v>58</v>
      </c>
      <c r="R3096">
        <f>SUMIF(A3096:A8095,"C03095",I3096:I8095)</f>
        <v>6623.81</v>
      </c>
      <c r="S3096" s="1">
        <v>10593.95</v>
      </c>
      <c r="T3096">
        <f t="shared" si="356"/>
        <v>220.793666666667</v>
      </c>
      <c r="U3096">
        <f t="shared" si="350"/>
        <v>1146</v>
      </c>
      <c r="V3096">
        <f t="shared" si="355"/>
        <v>95.5</v>
      </c>
      <c r="W3096">
        <f t="shared" si="353"/>
        <v>2505.01333333333</v>
      </c>
      <c r="X3096">
        <f t="shared" si="351"/>
        <v>1.06040012131696</v>
      </c>
      <c r="AH3096" t="str">
        <f t="shared" si="354"/>
        <v>3rd Quality</v>
      </c>
      <c r="AJ3096">
        <f>((T3096-X3096)*2)/16.3</f>
        <v>26.9611369994294</v>
      </c>
      <c r="AK3096">
        <f t="shared" si="352"/>
        <v>208429.221333333</v>
      </c>
    </row>
    <row r="3097" spans="1:37">
      <c r="A3097" t="s">
        <v>3163</v>
      </c>
      <c r="B3097">
        <v>42</v>
      </c>
      <c r="C3097" t="s">
        <v>50</v>
      </c>
      <c r="D3097" t="s">
        <v>45</v>
      </c>
      <c r="E3097">
        <v>509</v>
      </c>
      <c r="F3097">
        <v>15</v>
      </c>
      <c r="G3097">
        <v>23</v>
      </c>
      <c r="H3097">
        <v>3688.15</v>
      </c>
      <c r="I3097">
        <v>92051.6</v>
      </c>
      <c r="J3097">
        <v>167</v>
      </c>
      <c r="K3097">
        <v>2</v>
      </c>
      <c r="L3097">
        <v>1.5</v>
      </c>
      <c r="M3097">
        <v>59.4</v>
      </c>
      <c r="N3097" t="s">
        <v>61</v>
      </c>
      <c r="O3097" t="s">
        <v>47</v>
      </c>
      <c r="P3097" t="s">
        <v>48</v>
      </c>
      <c r="R3097">
        <f>SUMIF(A3097:A8096,"C03096",I3097:I8096)</f>
        <v>92051.6</v>
      </c>
      <c r="S3097" s="1">
        <v>12581.56</v>
      </c>
      <c r="T3097">
        <f t="shared" si="356"/>
        <v>551.207185628743</v>
      </c>
      <c r="U3097">
        <f t="shared" si="350"/>
        <v>9919.8</v>
      </c>
      <c r="V3097">
        <f>U3097</f>
        <v>9919.8</v>
      </c>
      <c r="W3097">
        <f t="shared" si="353"/>
        <v>31913.5833333333</v>
      </c>
      <c r="X3097">
        <f t="shared" si="351"/>
        <v>0.13800957119423</v>
      </c>
      <c r="AH3097" t="str">
        <f t="shared" si="354"/>
        <v>2nd Quality</v>
      </c>
      <c r="AJ3097">
        <f>((T3097-X3097)*2)/1.5</f>
        <v>734.758901410065</v>
      </c>
      <c r="AK3097">
        <f t="shared" si="352"/>
        <v>280564.45748503</v>
      </c>
    </row>
    <row r="3098" spans="1:37">
      <c r="A3098" t="s">
        <v>3164</v>
      </c>
      <c r="B3098">
        <v>40</v>
      </c>
      <c r="C3098" t="s">
        <v>44</v>
      </c>
      <c r="D3098" t="s">
        <v>45</v>
      </c>
      <c r="E3098">
        <v>626</v>
      </c>
      <c r="F3098">
        <v>11</v>
      </c>
      <c r="G3098">
        <v>21</v>
      </c>
      <c r="H3098">
        <v>3380.69</v>
      </c>
      <c r="I3098">
        <v>66652.02</v>
      </c>
      <c r="J3098">
        <v>154</v>
      </c>
      <c r="K3098">
        <v>0</v>
      </c>
      <c r="L3098">
        <v>0</v>
      </c>
      <c r="M3098">
        <v>31.1</v>
      </c>
      <c r="N3098" t="s">
        <v>46</v>
      </c>
      <c r="O3098" t="s">
        <v>47</v>
      </c>
      <c r="P3098" t="s">
        <v>66</v>
      </c>
      <c r="R3098">
        <f>SUMIF(A3098:A8097,"C03097",I3098:I8097)</f>
        <v>66652.02</v>
      </c>
      <c r="S3098" s="1">
        <v>63950.21</v>
      </c>
      <c r="T3098">
        <f t="shared" si="356"/>
        <v>432.805324675325</v>
      </c>
      <c r="U3098">
        <f t="shared" si="350"/>
        <v>4789.4</v>
      </c>
      <c r="V3098">
        <f t="shared" si="355"/>
        <v>399.116666666667</v>
      </c>
      <c r="W3098">
        <f t="shared" si="353"/>
        <v>23344.57</v>
      </c>
      <c r="X3098">
        <f t="shared" si="351"/>
        <v>0.185169299758333</v>
      </c>
      <c r="AH3098" t="str">
        <f t="shared" si="354"/>
        <v>2nd Quality</v>
      </c>
      <c r="AJ3098">
        <f>((T3098-X3098)*2)</f>
        <v>865.240310751133</v>
      </c>
      <c r="AK3098">
        <f t="shared" si="352"/>
        <v>270936.133246753</v>
      </c>
    </row>
    <row r="3099" spans="1:37">
      <c r="A3099" t="s">
        <v>3165</v>
      </c>
      <c r="B3099">
        <v>53</v>
      </c>
      <c r="C3099" t="s">
        <v>50</v>
      </c>
      <c r="D3099" t="s">
        <v>45</v>
      </c>
      <c r="E3099">
        <v>810</v>
      </c>
      <c r="F3099">
        <v>37</v>
      </c>
      <c r="G3099">
        <v>7</v>
      </c>
      <c r="H3099">
        <v>1425.37</v>
      </c>
      <c r="I3099">
        <v>10593.95</v>
      </c>
      <c r="J3099">
        <v>49</v>
      </c>
      <c r="K3099">
        <v>0</v>
      </c>
      <c r="L3099">
        <v>19.7</v>
      </c>
      <c r="M3099">
        <v>36.5</v>
      </c>
      <c r="N3099" t="s">
        <v>81</v>
      </c>
      <c r="O3099" t="s">
        <v>47</v>
      </c>
      <c r="P3099" t="s">
        <v>58</v>
      </c>
      <c r="R3099">
        <f>SUMIF(A3099:A8098,"C03098",I3099:I8098)</f>
        <v>10593.95</v>
      </c>
      <c r="S3099" s="1">
        <v>1833.13</v>
      </c>
      <c r="T3099">
        <f t="shared" si="356"/>
        <v>216.20306122449</v>
      </c>
      <c r="U3099">
        <f t="shared" si="350"/>
        <v>1788.5</v>
      </c>
      <c r="V3099">
        <f t="shared" si="355"/>
        <v>149.041666666667</v>
      </c>
      <c r="W3099">
        <f t="shared" si="353"/>
        <v>4006.77333333333</v>
      </c>
      <c r="X3099">
        <f t="shared" si="351"/>
        <v>0.568273500915552</v>
      </c>
      <c r="AH3099" t="str">
        <f t="shared" si="354"/>
        <v>3rd Quality</v>
      </c>
      <c r="AJ3099">
        <f>((T3099-X3099)*2)/19.7</f>
        <v>21.8918566216827</v>
      </c>
      <c r="AK3099">
        <f t="shared" si="352"/>
        <v>175124.479591837</v>
      </c>
    </row>
    <row r="3100" spans="1:37">
      <c r="A3100" t="s">
        <v>3166</v>
      </c>
      <c r="B3100">
        <v>44</v>
      </c>
      <c r="C3100" t="s">
        <v>50</v>
      </c>
      <c r="D3100" t="s">
        <v>60</v>
      </c>
      <c r="E3100">
        <v>420</v>
      </c>
      <c r="F3100">
        <v>33</v>
      </c>
      <c r="G3100">
        <v>7</v>
      </c>
      <c r="H3100">
        <v>1985.61</v>
      </c>
      <c r="I3100">
        <v>12581.56</v>
      </c>
      <c r="J3100">
        <v>42</v>
      </c>
      <c r="K3100">
        <v>0</v>
      </c>
      <c r="L3100">
        <v>18.7</v>
      </c>
      <c r="M3100">
        <v>12.1</v>
      </c>
      <c r="N3100" t="s">
        <v>81</v>
      </c>
      <c r="O3100" t="s">
        <v>47</v>
      </c>
      <c r="P3100" t="s">
        <v>66</v>
      </c>
      <c r="R3100">
        <f>SUMIF(A3100:A8099,"C03099",I3100:I8099)</f>
        <v>12581.56</v>
      </c>
      <c r="S3100" s="1">
        <v>145414.31</v>
      </c>
      <c r="T3100">
        <f t="shared" si="356"/>
        <v>299.560952380952</v>
      </c>
      <c r="U3100">
        <f t="shared" si="350"/>
        <v>508.2</v>
      </c>
      <c r="V3100">
        <f t="shared" si="355"/>
        <v>42.35</v>
      </c>
      <c r="W3100">
        <f t="shared" si="353"/>
        <v>4856.05666666667</v>
      </c>
      <c r="X3100">
        <f t="shared" si="351"/>
        <v>0.211521900071011</v>
      </c>
      <c r="AH3100" t="str">
        <f t="shared" si="354"/>
        <v>3rd Quality</v>
      </c>
      <c r="AJ3100">
        <f>((T3100-X3100)*2)/18.7</f>
        <v>32.0159818696129</v>
      </c>
      <c r="AK3100">
        <f t="shared" si="352"/>
        <v>125815.6</v>
      </c>
    </row>
    <row r="3101" spans="1:37">
      <c r="A3101" t="s">
        <v>3167</v>
      </c>
      <c r="B3101">
        <v>34</v>
      </c>
      <c r="C3101" t="s">
        <v>44</v>
      </c>
      <c r="D3101" t="s">
        <v>51</v>
      </c>
      <c r="E3101">
        <v>905</v>
      </c>
      <c r="F3101">
        <v>15</v>
      </c>
      <c r="G3101">
        <v>19</v>
      </c>
      <c r="H3101">
        <v>3331.79</v>
      </c>
      <c r="I3101">
        <v>63950.21</v>
      </c>
      <c r="J3101">
        <v>158</v>
      </c>
      <c r="K3101">
        <v>1</v>
      </c>
      <c r="L3101">
        <v>4.7</v>
      </c>
      <c r="M3101">
        <v>47.4</v>
      </c>
      <c r="N3101" t="s">
        <v>46</v>
      </c>
      <c r="O3101" t="s">
        <v>47</v>
      </c>
      <c r="P3101" t="s">
        <v>48</v>
      </c>
      <c r="R3101">
        <f>SUMIF(A3101:A8100,"C03100",I3101:I8100)</f>
        <v>63950.21</v>
      </c>
      <c r="S3101" s="1">
        <v>1947.76</v>
      </c>
      <c r="T3101">
        <f t="shared" si="356"/>
        <v>404.748164556962</v>
      </c>
      <c r="U3101">
        <f t="shared" si="350"/>
        <v>7489.2</v>
      </c>
      <c r="V3101">
        <f>U3101</f>
        <v>7489.2</v>
      </c>
      <c r="W3101">
        <f t="shared" si="353"/>
        <v>22427.6666666667</v>
      </c>
      <c r="X3101">
        <f t="shared" si="351"/>
        <v>0.271625762728143</v>
      </c>
      <c r="AH3101" t="str">
        <f t="shared" si="354"/>
        <v>2nd Quality</v>
      </c>
      <c r="AJ3101">
        <f>((T3101-X3101)*2)/4.7</f>
        <v>172.117676082653</v>
      </c>
      <c r="AK3101">
        <f t="shared" si="352"/>
        <v>366297.088924051</v>
      </c>
    </row>
    <row r="3102" spans="1:37">
      <c r="A3102" t="s">
        <v>3168</v>
      </c>
      <c r="B3102">
        <v>46</v>
      </c>
      <c r="C3102" t="s">
        <v>50</v>
      </c>
      <c r="D3102" t="s">
        <v>45</v>
      </c>
      <c r="E3102">
        <v>1366</v>
      </c>
      <c r="F3102">
        <v>100</v>
      </c>
      <c r="G3102">
        <v>1</v>
      </c>
      <c r="H3102">
        <v>1914.75</v>
      </c>
      <c r="I3102">
        <v>1833.13</v>
      </c>
      <c r="J3102">
        <v>9</v>
      </c>
      <c r="K3102">
        <v>0</v>
      </c>
      <c r="L3102">
        <v>17.6</v>
      </c>
      <c r="M3102">
        <v>13.1</v>
      </c>
      <c r="N3102" t="s">
        <v>46</v>
      </c>
      <c r="O3102" t="s">
        <v>53</v>
      </c>
      <c r="P3102" t="s">
        <v>58</v>
      </c>
      <c r="R3102">
        <f>SUMIF(A3102:A8101,"C03101",I3102:I8101)</f>
        <v>1833.13</v>
      </c>
      <c r="S3102" s="1">
        <v>4006.6</v>
      </c>
      <c r="T3102">
        <f t="shared" si="356"/>
        <v>203.681111111111</v>
      </c>
      <c r="U3102">
        <f t="shared" si="350"/>
        <v>117.9</v>
      </c>
      <c r="V3102">
        <f t="shared" si="355"/>
        <v>9.825</v>
      </c>
      <c r="W3102">
        <f t="shared" si="353"/>
        <v>1249.62666666667</v>
      </c>
      <c r="X3102">
        <f t="shared" si="351"/>
        <v>0.713409061235148</v>
      </c>
      <c r="AH3102" t="str">
        <f t="shared" si="354"/>
        <v>3rd Quality</v>
      </c>
      <c r="AJ3102">
        <f>((T3102-X3102)*2)/17.6</f>
        <v>23.0645115965768</v>
      </c>
      <c r="AK3102">
        <f t="shared" si="352"/>
        <v>278228.397777778</v>
      </c>
    </row>
    <row r="3103" spans="1:37">
      <c r="A3103" t="s">
        <v>3169</v>
      </c>
      <c r="B3103">
        <v>33</v>
      </c>
      <c r="C3103" t="s">
        <v>44</v>
      </c>
      <c r="D3103" t="s">
        <v>60</v>
      </c>
      <c r="E3103">
        <v>1158</v>
      </c>
      <c r="F3103">
        <v>12</v>
      </c>
      <c r="G3103">
        <v>29</v>
      </c>
      <c r="H3103">
        <v>5364.48</v>
      </c>
      <c r="I3103">
        <v>145414.31</v>
      </c>
      <c r="J3103">
        <v>212</v>
      </c>
      <c r="K3103">
        <v>5</v>
      </c>
      <c r="L3103">
        <v>0.8</v>
      </c>
      <c r="M3103">
        <v>51.5</v>
      </c>
      <c r="N3103" t="s">
        <v>81</v>
      </c>
      <c r="O3103" t="s">
        <v>47</v>
      </c>
      <c r="P3103" t="s">
        <v>66</v>
      </c>
      <c r="R3103">
        <f>SUMIF(A3103:A8102,"C03102",I3103:I8102)</f>
        <v>145414.31</v>
      </c>
      <c r="S3103" s="1">
        <v>40791.06</v>
      </c>
      <c r="T3103">
        <f t="shared" si="356"/>
        <v>685.916556603774</v>
      </c>
      <c r="U3103">
        <f t="shared" si="350"/>
        <v>10918</v>
      </c>
      <c r="V3103">
        <f>U3103</f>
        <v>10918</v>
      </c>
      <c r="W3103">
        <f t="shared" si="353"/>
        <v>50259.93</v>
      </c>
      <c r="X3103">
        <f t="shared" si="351"/>
        <v>0.21586435218325</v>
      </c>
      <c r="AH3103" t="str">
        <f t="shared" si="354"/>
        <v>1st Quality</v>
      </c>
      <c r="AJ3103">
        <f>((T3103-X3103)*2)/0.8</f>
        <v>1714.25173062898</v>
      </c>
      <c r="AK3103">
        <f t="shared" si="352"/>
        <v>794291.37254717</v>
      </c>
    </row>
    <row r="3104" spans="1:37">
      <c r="A3104" t="s">
        <v>3170</v>
      </c>
      <c r="B3104">
        <v>22</v>
      </c>
      <c r="C3104" t="s">
        <v>50</v>
      </c>
      <c r="D3104" t="s">
        <v>60</v>
      </c>
      <c r="E3104">
        <v>1391</v>
      </c>
      <c r="F3104">
        <v>35</v>
      </c>
      <c r="G3104">
        <v>1</v>
      </c>
      <c r="H3104">
        <v>1881.31</v>
      </c>
      <c r="I3104">
        <v>1947.76</v>
      </c>
      <c r="J3104">
        <v>6</v>
      </c>
      <c r="K3104">
        <v>1</v>
      </c>
      <c r="L3104">
        <v>22.2</v>
      </c>
      <c r="M3104">
        <v>61</v>
      </c>
      <c r="N3104" t="s">
        <v>78</v>
      </c>
      <c r="O3104" t="s">
        <v>75</v>
      </c>
      <c r="P3104" t="s">
        <v>66</v>
      </c>
      <c r="R3104">
        <f>SUMIF(A3104:A8103,"C03103",I3104:I8103)</f>
        <v>1947.76</v>
      </c>
      <c r="S3104" s="1">
        <v>14329.41</v>
      </c>
      <c r="T3104">
        <f t="shared" si="356"/>
        <v>324.626666666667</v>
      </c>
      <c r="U3104">
        <f t="shared" si="350"/>
        <v>366</v>
      </c>
      <c r="V3104">
        <f>U3104</f>
        <v>366</v>
      </c>
      <c r="W3104">
        <f t="shared" si="353"/>
        <v>1276.69</v>
      </c>
      <c r="X3104">
        <f t="shared" si="351"/>
        <v>0.739378411851316</v>
      </c>
      <c r="AH3104" t="str">
        <f t="shared" si="354"/>
        <v>3rd Quality</v>
      </c>
      <c r="AJ3104">
        <f>((T3104-X3104)*2)/22.2</f>
        <v>29.1790349779113</v>
      </c>
      <c r="AK3104">
        <f t="shared" si="352"/>
        <v>451555.693333333</v>
      </c>
    </row>
    <row r="3105" spans="1:37">
      <c r="A3105" t="s">
        <v>3171</v>
      </c>
      <c r="B3105">
        <v>52</v>
      </c>
      <c r="C3105" t="s">
        <v>44</v>
      </c>
      <c r="D3105" t="s">
        <v>45</v>
      </c>
      <c r="E3105">
        <v>1456</v>
      </c>
      <c r="F3105">
        <v>53</v>
      </c>
      <c r="G3105">
        <v>4</v>
      </c>
      <c r="H3105">
        <v>1025.62</v>
      </c>
      <c r="I3105">
        <v>4006.6</v>
      </c>
      <c r="J3105">
        <v>19</v>
      </c>
      <c r="K3105">
        <v>1</v>
      </c>
      <c r="L3105">
        <v>21.3</v>
      </c>
      <c r="M3105">
        <v>45.2</v>
      </c>
      <c r="N3105" t="s">
        <v>57</v>
      </c>
      <c r="O3105" t="s">
        <v>75</v>
      </c>
      <c r="P3105" t="s">
        <v>66</v>
      </c>
      <c r="R3105">
        <f>SUMIF(A3105:A8104,"C03104",I3105:I8104)</f>
        <v>4006.6</v>
      </c>
      <c r="S3105" s="1">
        <v>5171.29</v>
      </c>
      <c r="T3105">
        <f t="shared" si="356"/>
        <v>210.873684210526</v>
      </c>
      <c r="U3105">
        <f t="shared" si="350"/>
        <v>858.8</v>
      </c>
      <c r="V3105">
        <f>U3105</f>
        <v>858.8</v>
      </c>
      <c r="W3105">
        <f t="shared" si="353"/>
        <v>1677.74</v>
      </c>
      <c r="X3105">
        <f t="shared" si="351"/>
        <v>1.4196291023966</v>
      </c>
      <c r="AH3105" t="str">
        <f t="shared" si="354"/>
        <v>3rd Quality</v>
      </c>
      <c r="AJ3105">
        <f>((T3105-X3105)*2)/21.3</f>
        <v>19.6670474279934</v>
      </c>
      <c r="AK3105">
        <f t="shared" si="352"/>
        <v>307032.084210526</v>
      </c>
    </row>
    <row r="3106" spans="1:37">
      <c r="A3106" t="s">
        <v>3172</v>
      </c>
      <c r="B3106">
        <v>34</v>
      </c>
      <c r="C3106" t="s">
        <v>44</v>
      </c>
      <c r="D3106" t="s">
        <v>45</v>
      </c>
      <c r="E3106">
        <v>429</v>
      </c>
      <c r="F3106">
        <v>18</v>
      </c>
      <c r="G3106">
        <v>8</v>
      </c>
      <c r="H3106">
        <v>5543.14</v>
      </c>
      <c r="I3106">
        <v>40791.06</v>
      </c>
      <c r="J3106">
        <v>63</v>
      </c>
      <c r="K3106">
        <v>1</v>
      </c>
      <c r="L3106">
        <v>0</v>
      </c>
      <c r="M3106">
        <v>24</v>
      </c>
      <c r="N3106" t="s">
        <v>78</v>
      </c>
      <c r="O3106" t="s">
        <v>75</v>
      </c>
      <c r="P3106" t="s">
        <v>58</v>
      </c>
      <c r="R3106">
        <f>SUMIF(A3106:A8105,"C03105",I3106:I8105)</f>
        <v>40791.06</v>
      </c>
      <c r="S3106" s="1">
        <v>13778.57</v>
      </c>
      <c r="T3106">
        <f t="shared" si="356"/>
        <v>647.477142857143</v>
      </c>
      <c r="U3106">
        <f t="shared" ref="U3106:U3169" si="357">J3106*M3106</f>
        <v>1512</v>
      </c>
      <c r="V3106">
        <f>U3106</f>
        <v>1512</v>
      </c>
      <c r="W3106">
        <f t="shared" si="353"/>
        <v>15445.0666666667</v>
      </c>
      <c r="X3106">
        <f t="shared" si="351"/>
        <v>0.0773929577820513</v>
      </c>
      <c r="AH3106" t="str">
        <f t="shared" si="354"/>
        <v>3rd Quality</v>
      </c>
      <c r="AJ3106">
        <f>((T3106-X3106)*2)</f>
        <v>1294.79949979872</v>
      </c>
      <c r="AK3106">
        <f t="shared" si="352"/>
        <v>277767.694285714</v>
      </c>
    </row>
    <row r="3107" spans="1:37">
      <c r="A3107" t="s">
        <v>3173</v>
      </c>
      <c r="B3107">
        <v>23</v>
      </c>
      <c r="C3107" t="s">
        <v>44</v>
      </c>
      <c r="D3107" t="s">
        <v>45</v>
      </c>
      <c r="E3107">
        <v>775</v>
      </c>
      <c r="F3107">
        <v>24</v>
      </c>
      <c r="G3107">
        <v>4</v>
      </c>
      <c r="H3107">
        <v>3492.99</v>
      </c>
      <c r="I3107">
        <v>14329.41</v>
      </c>
      <c r="J3107">
        <v>26</v>
      </c>
      <c r="K3107">
        <v>1</v>
      </c>
      <c r="L3107">
        <v>24.5</v>
      </c>
      <c r="M3107">
        <v>34.9</v>
      </c>
      <c r="N3107" t="s">
        <v>61</v>
      </c>
      <c r="O3107" t="s">
        <v>75</v>
      </c>
      <c r="P3107" t="s">
        <v>58</v>
      </c>
      <c r="R3107">
        <f>SUMIF(A3107:A8106,"C03106",I3107:I8106)</f>
        <v>14329.41</v>
      </c>
      <c r="S3107" s="1">
        <v>63839.51</v>
      </c>
      <c r="T3107">
        <f t="shared" si="356"/>
        <v>551.131153846154</v>
      </c>
      <c r="U3107">
        <f t="shared" si="357"/>
        <v>907.4</v>
      </c>
      <c r="V3107">
        <f>U3107</f>
        <v>907.4</v>
      </c>
      <c r="W3107">
        <f t="shared" si="353"/>
        <v>5941.13333333333</v>
      </c>
      <c r="X3107">
        <f t="shared" si="351"/>
        <v>0.221872951253797</v>
      </c>
      <c r="AH3107" t="str">
        <f t="shared" si="354"/>
        <v>3rd Quality</v>
      </c>
      <c r="AJ3107">
        <f>((T3107-X3107)*2)/24.5</f>
        <v>44.9721861955021</v>
      </c>
      <c r="AK3107">
        <f t="shared" si="352"/>
        <v>427126.644230769</v>
      </c>
    </row>
    <row r="3108" spans="1:37">
      <c r="A3108" t="s">
        <v>3174</v>
      </c>
      <c r="B3108">
        <v>54</v>
      </c>
      <c r="C3108" t="s">
        <v>50</v>
      </c>
      <c r="D3108" t="s">
        <v>60</v>
      </c>
      <c r="E3108">
        <v>590</v>
      </c>
      <c r="F3108">
        <v>38</v>
      </c>
      <c r="G3108">
        <v>7</v>
      </c>
      <c r="H3108">
        <v>737.55</v>
      </c>
      <c r="I3108">
        <v>5171.29</v>
      </c>
      <c r="J3108">
        <v>51</v>
      </c>
      <c r="K3108">
        <v>0</v>
      </c>
      <c r="L3108">
        <v>21</v>
      </c>
      <c r="M3108">
        <v>27.8</v>
      </c>
      <c r="N3108" t="s">
        <v>61</v>
      </c>
      <c r="O3108" t="s">
        <v>47</v>
      </c>
      <c r="P3108" t="s">
        <v>68</v>
      </c>
      <c r="R3108">
        <f>SUMIF(A3108:A8107,"C03107",I3108:I8107)</f>
        <v>5171.29</v>
      </c>
      <c r="S3108" s="1">
        <v>4229.82</v>
      </c>
      <c r="T3108">
        <f t="shared" si="356"/>
        <v>101.397843137255</v>
      </c>
      <c r="U3108">
        <f t="shared" si="357"/>
        <v>1417.8</v>
      </c>
      <c r="V3108">
        <f t="shared" si="355"/>
        <v>118.15</v>
      </c>
      <c r="W3108">
        <f t="shared" si="353"/>
        <v>1969.94666666667</v>
      </c>
      <c r="X3108">
        <f t="shared" si="351"/>
        <v>0.79994576638872</v>
      </c>
      <c r="AH3108" t="str">
        <f t="shared" si="354"/>
        <v>3rd Quality</v>
      </c>
      <c r="AJ3108">
        <f>((T3108-X3108)*2)/21</f>
        <v>9.58075213055869</v>
      </c>
      <c r="AK3108">
        <f t="shared" si="352"/>
        <v>59824.7274509804</v>
      </c>
    </row>
    <row r="3109" spans="1:37">
      <c r="A3109" t="s">
        <v>3175</v>
      </c>
      <c r="B3109">
        <v>40</v>
      </c>
      <c r="C3109" t="s">
        <v>44</v>
      </c>
      <c r="D3109" t="s">
        <v>60</v>
      </c>
      <c r="E3109">
        <v>1107</v>
      </c>
      <c r="F3109">
        <v>15</v>
      </c>
      <c r="G3109">
        <v>2</v>
      </c>
      <c r="H3109">
        <v>7739.57</v>
      </c>
      <c r="I3109">
        <v>13778.57</v>
      </c>
      <c r="J3109">
        <v>18</v>
      </c>
      <c r="K3109">
        <v>1</v>
      </c>
      <c r="L3109">
        <v>12</v>
      </c>
      <c r="M3109">
        <v>28.4</v>
      </c>
      <c r="N3109" t="s">
        <v>52</v>
      </c>
      <c r="O3109" t="s">
        <v>47</v>
      </c>
      <c r="P3109" t="s">
        <v>68</v>
      </c>
      <c r="R3109">
        <f>SUMIF(A3109:A8108,"C03108",I3109:I8108)</f>
        <v>13778.57</v>
      </c>
      <c r="S3109" s="1">
        <v>5169.21</v>
      </c>
      <c r="T3109">
        <f t="shared" si="356"/>
        <v>765.476111111111</v>
      </c>
      <c r="U3109">
        <f t="shared" si="357"/>
        <v>511.2</v>
      </c>
      <c r="V3109">
        <f>U3109</f>
        <v>511.2</v>
      </c>
      <c r="W3109">
        <f t="shared" si="353"/>
        <v>7173.04666666667</v>
      </c>
      <c r="X3109">
        <f t="shared" si="351"/>
        <v>0.143031201991842</v>
      </c>
      <c r="AH3109" t="str">
        <f t="shared" si="354"/>
        <v>2nd Quality</v>
      </c>
      <c r="AJ3109">
        <f>((T3109-X3109)*2)/12</f>
        <v>127.555513318187</v>
      </c>
      <c r="AK3109">
        <f t="shared" si="352"/>
        <v>847382.055</v>
      </c>
    </row>
    <row r="3110" spans="1:37">
      <c r="A3110" t="s">
        <v>3176</v>
      </c>
      <c r="B3110">
        <v>41</v>
      </c>
      <c r="C3110" t="s">
        <v>50</v>
      </c>
      <c r="D3110" t="s">
        <v>45</v>
      </c>
      <c r="E3110">
        <v>408</v>
      </c>
      <c r="F3110">
        <v>21</v>
      </c>
      <c r="G3110">
        <v>23</v>
      </c>
      <c r="H3110">
        <v>2577.23</v>
      </c>
      <c r="I3110">
        <v>63839.51</v>
      </c>
      <c r="J3110">
        <v>122</v>
      </c>
      <c r="K3110">
        <v>0</v>
      </c>
      <c r="L3110">
        <v>8.5</v>
      </c>
      <c r="M3110">
        <v>33.6</v>
      </c>
      <c r="N3110" t="s">
        <v>57</v>
      </c>
      <c r="O3110" t="s">
        <v>47</v>
      </c>
      <c r="P3110" t="s">
        <v>68</v>
      </c>
      <c r="R3110">
        <f>SUMIF(A3110:A8109,"C03109",I3110:I8109)</f>
        <v>63839.51</v>
      </c>
      <c r="S3110" s="1">
        <v>19619.4</v>
      </c>
      <c r="T3110">
        <f t="shared" si="356"/>
        <v>523.274672131148</v>
      </c>
      <c r="U3110">
        <f t="shared" si="357"/>
        <v>4099.2</v>
      </c>
      <c r="V3110">
        <f t="shared" si="355"/>
        <v>341.6</v>
      </c>
      <c r="W3110">
        <f t="shared" si="353"/>
        <v>22139.2466666667</v>
      </c>
      <c r="X3110">
        <f t="shared" si="351"/>
        <v>0.158309502838319</v>
      </c>
      <c r="AH3110" t="str">
        <f t="shared" si="354"/>
        <v>3rd Quality</v>
      </c>
      <c r="AJ3110">
        <f>((T3110-X3110)*2)/8.5</f>
        <v>123.086202971367</v>
      </c>
      <c r="AK3110">
        <f t="shared" si="352"/>
        <v>213496.066229508</v>
      </c>
    </row>
    <row r="3111" spans="1:37">
      <c r="A3111" t="s">
        <v>3177</v>
      </c>
      <c r="B3111">
        <v>18</v>
      </c>
      <c r="C3111" t="s">
        <v>50</v>
      </c>
      <c r="D3111" t="s">
        <v>60</v>
      </c>
      <c r="E3111">
        <v>1103</v>
      </c>
      <c r="F3111">
        <v>162</v>
      </c>
      <c r="G3111">
        <v>1</v>
      </c>
      <c r="H3111">
        <v>3787.38</v>
      </c>
      <c r="I3111">
        <v>4229.82</v>
      </c>
      <c r="J3111">
        <v>14</v>
      </c>
      <c r="K3111">
        <v>0</v>
      </c>
      <c r="L3111">
        <v>5.8</v>
      </c>
      <c r="M3111">
        <v>62.6</v>
      </c>
      <c r="N3111" t="s">
        <v>81</v>
      </c>
      <c r="O3111" t="s">
        <v>53</v>
      </c>
      <c r="P3111" t="s">
        <v>58</v>
      </c>
      <c r="R3111">
        <f>SUMIF(A3111:A8110,"C03110",I3111:I8110)</f>
        <v>4229.82</v>
      </c>
      <c r="S3111" s="1">
        <v>3072.09</v>
      </c>
      <c r="T3111">
        <f t="shared" si="356"/>
        <v>302.13</v>
      </c>
      <c r="U3111">
        <f t="shared" si="357"/>
        <v>876.4</v>
      </c>
      <c r="V3111">
        <f t="shared" si="355"/>
        <v>73.0333333333333</v>
      </c>
      <c r="W3111">
        <f t="shared" si="353"/>
        <v>2672.73333333333</v>
      </c>
      <c r="X3111">
        <f t="shared" si="351"/>
        <v>0.291230349212384</v>
      </c>
      <c r="AH3111" t="str">
        <f t="shared" si="354"/>
        <v>3rd Quality</v>
      </c>
      <c r="AJ3111">
        <f>((T3111-X3111)*2)/5.8</f>
        <v>104.082334362341</v>
      </c>
      <c r="AK3111">
        <f t="shared" si="352"/>
        <v>333249.39</v>
      </c>
    </row>
    <row r="3112" spans="1:37">
      <c r="A3112" t="s">
        <v>3178</v>
      </c>
      <c r="B3112">
        <v>49</v>
      </c>
      <c r="C3112" t="s">
        <v>44</v>
      </c>
      <c r="D3112" t="s">
        <v>60</v>
      </c>
      <c r="E3112">
        <v>791</v>
      </c>
      <c r="F3112">
        <v>51</v>
      </c>
      <c r="G3112">
        <v>5</v>
      </c>
      <c r="H3112">
        <v>1074.52</v>
      </c>
      <c r="I3112">
        <v>5169.21</v>
      </c>
      <c r="J3112">
        <v>39</v>
      </c>
      <c r="K3112">
        <v>0</v>
      </c>
      <c r="L3112">
        <v>25.4</v>
      </c>
      <c r="M3112">
        <v>8.8</v>
      </c>
      <c r="N3112" t="s">
        <v>57</v>
      </c>
      <c r="O3112" t="s">
        <v>47</v>
      </c>
      <c r="P3112" t="s">
        <v>66</v>
      </c>
      <c r="R3112">
        <f>SUMIF(A3112:A8111,"C03111",I3112:I8111)</f>
        <v>5169.21</v>
      </c>
      <c r="S3112" s="1">
        <v>38062.35</v>
      </c>
      <c r="T3112">
        <f t="shared" si="356"/>
        <v>132.543846153846</v>
      </c>
      <c r="U3112">
        <f t="shared" si="357"/>
        <v>343.2</v>
      </c>
      <c r="V3112">
        <f t="shared" si="355"/>
        <v>28.6</v>
      </c>
      <c r="W3112">
        <f t="shared" si="353"/>
        <v>2081.57666666667</v>
      </c>
      <c r="X3112">
        <f t="shared" si="351"/>
        <v>0.73614264974128</v>
      </c>
      <c r="AH3112" t="str">
        <f t="shared" si="354"/>
        <v>3rd Quality</v>
      </c>
      <c r="AJ3112">
        <f>((T3112-X3112)*2)/25.4</f>
        <v>10.3785593310319</v>
      </c>
      <c r="AK3112">
        <f t="shared" si="352"/>
        <v>104842.182307692</v>
      </c>
    </row>
    <row r="3113" spans="1:37">
      <c r="A3113" t="s">
        <v>3179</v>
      </c>
      <c r="B3113">
        <v>18</v>
      </c>
      <c r="C3113" t="s">
        <v>44</v>
      </c>
      <c r="D3113" t="s">
        <v>60</v>
      </c>
      <c r="E3113">
        <v>570</v>
      </c>
      <c r="F3113">
        <v>66</v>
      </c>
      <c r="G3113">
        <v>11</v>
      </c>
      <c r="H3113">
        <v>1596.83</v>
      </c>
      <c r="I3113">
        <v>19619.4</v>
      </c>
      <c r="J3113">
        <v>38</v>
      </c>
      <c r="K3113">
        <v>1</v>
      </c>
      <c r="L3113">
        <v>25.3</v>
      </c>
      <c r="M3113">
        <v>30.2</v>
      </c>
      <c r="N3113" t="s">
        <v>61</v>
      </c>
      <c r="O3113" t="s">
        <v>47</v>
      </c>
      <c r="P3113" t="s">
        <v>66</v>
      </c>
      <c r="R3113">
        <f>SUMIF(A3113:A8112,"C03112",I3113:I8112)</f>
        <v>19619.4</v>
      </c>
      <c r="S3113" s="1">
        <v>7384.02</v>
      </c>
      <c r="T3113">
        <f t="shared" si="356"/>
        <v>516.3</v>
      </c>
      <c r="U3113">
        <f t="shared" si="357"/>
        <v>1147.6</v>
      </c>
      <c r="V3113">
        <f>U3113</f>
        <v>1147.6</v>
      </c>
      <c r="W3113">
        <f t="shared" si="353"/>
        <v>7072.41</v>
      </c>
      <c r="X3113">
        <f t="shared" si="351"/>
        <v>0.356957221495087</v>
      </c>
      <c r="AH3113" t="str">
        <f t="shared" si="354"/>
        <v>2nd Quality</v>
      </c>
      <c r="AJ3113">
        <f>((T3113-X3113)*2)/25.3</f>
        <v>40.7860112868383</v>
      </c>
      <c r="AK3113">
        <f t="shared" si="352"/>
        <v>294291</v>
      </c>
    </row>
    <row r="3114" spans="1:37">
      <c r="A3114" t="s">
        <v>3180</v>
      </c>
      <c r="B3114">
        <v>53</v>
      </c>
      <c r="C3114" t="s">
        <v>44</v>
      </c>
      <c r="D3114" t="s">
        <v>60</v>
      </c>
      <c r="E3114">
        <v>597</v>
      </c>
      <c r="F3114">
        <v>123</v>
      </c>
      <c r="G3114">
        <v>4</v>
      </c>
      <c r="H3114">
        <v>686.35</v>
      </c>
      <c r="I3114">
        <v>3072.09</v>
      </c>
      <c r="J3114">
        <v>23</v>
      </c>
      <c r="K3114">
        <v>1</v>
      </c>
      <c r="L3114">
        <v>24.9</v>
      </c>
      <c r="M3114">
        <v>12.9</v>
      </c>
      <c r="N3114" t="s">
        <v>63</v>
      </c>
      <c r="O3114" t="s">
        <v>53</v>
      </c>
      <c r="P3114" t="s">
        <v>58</v>
      </c>
      <c r="R3114">
        <f>SUMIF(A3114:A8113,"C03113",I3114:I8113)</f>
        <v>3072.09</v>
      </c>
      <c r="S3114" s="1">
        <v>30874.5</v>
      </c>
      <c r="T3114">
        <f t="shared" si="356"/>
        <v>133.569130434783</v>
      </c>
      <c r="U3114">
        <f t="shared" si="357"/>
        <v>296.7</v>
      </c>
      <c r="V3114">
        <f>U3114</f>
        <v>296.7</v>
      </c>
      <c r="W3114">
        <f t="shared" si="353"/>
        <v>1253.14666666667</v>
      </c>
      <c r="X3114">
        <f t="shared" si="351"/>
        <v>0.869818605667662</v>
      </c>
      <c r="AH3114" t="str">
        <f t="shared" si="354"/>
        <v>3rd Quality</v>
      </c>
      <c r="AJ3114">
        <f>((T3114-X3114)*2)/24.9</f>
        <v>10.6585792633828</v>
      </c>
      <c r="AK3114">
        <f t="shared" si="352"/>
        <v>79740.7708695652</v>
      </c>
    </row>
    <row r="3115" spans="1:37">
      <c r="A3115" t="s">
        <v>3181</v>
      </c>
      <c r="B3115">
        <v>26</v>
      </c>
      <c r="C3115" t="s">
        <v>50</v>
      </c>
      <c r="D3115" t="s">
        <v>60</v>
      </c>
      <c r="E3115">
        <v>1071</v>
      </c>
      <c r="F3115">
        <v>20</v>
      </c>
      <c r="G3115">
        <v>6</v>
      </c>
      <c r="H3115">
        <v>6398.44</v>
      </c>
      <c r="I3115">
        <v>38062.35</v>
      </c>
      <c r="J3115">
        <v>25</v>
      </c>
      <c r="K3115">
        <v>0</v>
      </c>
      <c r="L3115">
        <v>7.2</v>
      </c>
      <c r="M3115">
        <v>41.8</v>
      </c>
      <c r="N3115" t="s">
        <v>78</v>
      </c>
      <c r="O3115" t="s">
        <v>47</v>
      </c>
      <c r="P3115" t="s">
        <v>68</v>
      </c>
      <c r="R3115">
        <f>SUMIF(A3115:A8114,"C03114",I3115:I8114)</f>
        <v>38062.35</v>
      </c>
      <c r="S3115" s="1">
        <v>74812.39</v>
      </c>
      <c r="T3115">
        <f t="shared" si="356"/>
        <v>1522.494</v>
      </c>
      <c r="U3115">
        <f t="shared" si="357"/>
        <v>1045</v>
      </c>
      <c r="V3115">
        <f t="shared" si="355"/>
        <v>87.0833333333333</v>
      </c>
      <c r="W3115">
        <f t="shared" si="353"/>
        <v>14820.5966666667</v>
      </c>
      <c r="X3115">
        <f t="shared" si="351"/>
        <v>0.167384549984059</v>
      </c>
      <c r="AH3115" t="str">
        <f t="shared" si="354"/>
        <v>1st Quality</v>
      </c>
      <c r="AJ3115">
        <f>((T3115-X3115)*2)/7.2</f>
        <v>422.868504291671</v>
      </c>
      <c r="AK3115">
        <f t="shared" si="352"/>
        <v>1630591.074</v>
      </c>
    </row>
    <row r="3116" spans="1:37">
      <c r="A3116" t="s">
        <v>3182</v>
      </c>
      <c r="B3116">
        <v>20</v>
      </c>
      <c r="C3116" t="s">
        <v>44</v>
      </c>
      <c r="D3116" t="s">
        <v>60</v>
      </c>
      <c r="E3116">
        <v>887</v>
      </c>
      <c r="F3116">
        <v>33</v>
      </c>
      <c r="G3116">
        <v>4</v>
      </c>
      <c r="H3116">
        <v>1676.72</v>
      </c>
      <c r="I3116">
        <v>7384.02</v>
      </c>
      <c r="J3116">
        <v>36</v>
      </c>
      <c r="K3116">
        <v>1</v>
      </c>
      <c r="L3116">
        <v>32</v>
      </c>
      <c r="M3116">
        <v>2.6</v>
      </c>
      <c r="N3116" t="s">
        <v>78</v>
      </c>
      <c r="O3116" t="s">
        <v>47</v>
      </c>
      <c r="P3116" t="s">
        <v>58</v>
      </c>
      <c r="R3116">
        <f>SUMIF(A3116:A8115,"C03115",I3116:I8115)</f>
        <v>7384.02</v>
      </c>
      <c r="S3116" s="1">
        <v>980.84</v>
      </c>
      <c r="T3116">
        <f t="shared" si="356"/>
        <v>205.111666666667</v>
      </c>
      <c r="U3116">
        <f t="shared" si="357"/>
        <v>93.6</v>
      </c>
      <c r="V3116">
        <f>U3116</f>
        <v>93.6</v>
      </c>
      <c r="W3116">
        <f t="shared" si="353"/>
        <v>3020.58</v>
      </c>
      <c r="X3116">
        <f t="shared" si="351"/>
        <v>0.529009017605802</v>
      </c>
      <c r="AH3116" t="str">
        <f t="shared" si="354"/>
        <v>3rd Quality</v>
      </c>
      <c r="AJ3116">
        <f>((T3116-X3116)*2)/32</f>
        <v>12.7864161030663</v>
      </c>
      <c r="AK3116">
        <f t="shared" si="352"/>
        <v>181934.048333333</v>
      </c>
    </row>
    <row r="3117" spans="1:37">
      <c r="A3117" t="s">
        <v>3183</v>
      </c>
      <c r="B3117">
        <v>50</v>
      </c>
      <c r="C3117" t="s">
        <v>50</v>
      </c>
      <c r="D3117" t="s">
        <v>51</v>
      </c>
      <c r="E3117">
        <v>1329</v>
      </c>
      <c r="F3117">
        <v>7</v>
      </c>
      <c r="G3117">
        <v>4</v>
      </c>
      <c r="H3117">
        <v>7228.88</v>
      </c>
      <c r="I3117">
        <v>30874.5</v>
      </c>
      <c r="J3117">
        <v>30</v>
      </c>
      <c r="K3117">
        <v>0</v>
      </c>
      <c r="L3117">
        <v>0</v>
      </c>
      <c r="M3117">
        <v>27.4</v>
      </c>
      <c r="N3117" t="s">
        <v>52</v>
      </c>
      <c r="O3117" t="s">
        <v>47</v>
      </c>
      <c r="P3117" t="s">
        <v>66</v>
      </c>
      <c r="R3117">
        <f>SUMIF(A3117:A8116,"C03116",I3117:I8116)</f>
        <v>30874.5</v>
      </c>
      <c r="S3117" s="1">
        <v>29736.26</v>
      </c>
      <c r="T3117">
        <f t="shared" si="356"/>
        <v>1029.15</v>
      </c>
      <c r="U3117">
        <f t="shared" si="357"/>
        <v>822</v>
      </c>
      <c r="V3117">
        <f t="shared" si="355"/>
        <v>68.5</v>
      </c>
      <c r="W3117">
        <f t="shared" si="353"/>
        <v>12701.46</v>
      </c>
      <c r="X3117">
        <f t="shared" si="351"/>
        <v>0.183845906973141</v>
      </c>
      <c r="AH3117" t="str">
        <f t="shared" si="354"/>
        <v>3rd Quality</v>
      </c>
      <c r="AJ3117">
        <f>((T3117-X3117)*2)</f>
        <v>2057.93230818605</v>
      </c>
      <c r="AK3117">
        <f t="shared" si="352"/>
        <v>1367740.35</v>
      </c>
    </row>
    <row r="3118" spans="1:37">
      <c r="A3118" t="s">
        <v>3184</v>
      </c>
      <c r="B3118">
        <v>18</v>
      </c>
      <c r="C3118" t="s">
        <v>44</v>
      </c>
      <c r="D3118" t="s">
        <v>60</v>
      </c>
      <c r="E3118">
        <v>1437</v>
      </c>
      <c r="F3118">
        <v>14</v>
      </c>
      <c r="G3118">
        <v>20</v>
      </c>
      <c r="H3118">
        <v>3462.65</v>
      </c>
      <c r="I3118">
        <v>74812.39</v>
      </c>
      <c r="J3118">
        <v>169</v>
      </c>
      <c r="K3118">
        <v>4</v>
      </c>
      <c r="L3118">
        <v>15.7</v>
      </c>
      <c r="M3118">
        <v>39.9</v>
      </c>
      <c r="N3118" t="s">
        <v>78</v>
      </c>
      <c r="O3118" t="s">
        <v>75</v>
      </c>
      <c r="P3118" t="s">
        <v>48</v>
      </c>
      <c r="R3118">
        <f>SUMIF(A3118:A8117,"C03117",I3118:I8117)</f>
        <v>74812.39</v>
      </c>
      <c r="S3118" s="1">
        <v>4696.98</v>
      </c>
      <c r="T3118">
        <f t="shared" si="356"/>
        <v>442.676863905325</v>
      </c>
      <c r="U3118">
        <f t="shared" si="357"/>
        <v>6743.1</v>
      </c>
      <c r="V3118">
        <f>U3118</f>
        <v>6743.1</v>
      </c>
      <c r="W3118">
        <f t="shared" si="353"/>
        <v>26092.0133333333</v>
      </c>
      <c r="X3118">
        <f t="shared" si="351"/>
        <v>0.415000072199038</v>
      </c>
      <c r="AH3118" t="str">
        <f t="shared" si="354"/>
        <v>1st Quality</v>
      </c>
      <c r="AJ3118">
        <f>((T3118-X3118)*2)/15.7</f>
        <v>56.3390909341562</v>
      </c>
      <c r="AK3118">
        <f t="shared" si="352"/>
        <v>636126.653431953</v>
      </c>
    </row>
    <row r="3119" spans="1:37">
      <c r="A3119" t="s">
        <v>3185</v>
      </c>
      <c r="B3119">
        <v>39</v>
      </c>
      <c r="C3119" t="s">
        <v>50</v>
      </c>
      <c r="D3119" t="s">
        <v>45</v>
      </c>
      <c r="E3119">
        <v>976</v>
      </c>
      <c r="F3119">
        <v>328</v>
      </c>
      <c r="G3119">
        <v>1</v>
      </c>
      <c r="H3119">
        <v>1078.56</v>
      </c>
      <c r="I3119">
        <v>980.84</v>
      </c>
      <c r="J3119">
        <v>13</v>
      </c>
      <c r="K3119">
        <v>0</v>
      </c>
      <c r="L3119">
        <v>37.9</v>
      </c>
      <c r="M3119">
        <v>19.4</v>
      </c>
      <c r="N3119" t="s">
        <v>46</v>
      </c>
      <c r="O3119" t="s">
        <v>53</v>
      </c>
      <c r="P3119" t="s">
        <v>58</v>
      </c>
      <c r="R3119">
        <f>SUMIF(A3119:A8118,"C03118",I3119:I8118)</f>
        <v>980.84</v>
      </c>
      <c r="S3119" s="1">
        <v>92765.55</v>
      </c>
      <c r="T3119">
        <f t="shared" si="356"/>
        <v>75.4492307692308</v>
      </c>
      <c r="U3119">
        <f t="shared" si="357"/>
        <v>252.2</v>
      </c>
      <c r="V3119">
        <f t="shared" si="355"/>
        <v>21.0166666666667</v>
      </c>
      <c r="W3119">
        <f t="shared" si="353"/>
        <v>686.8</v>
      </c>
      <c r="X3119">
        <f t="shared" si="351"/>
        <v>0.904910250704643</v>
      </c>
      <c r="AH3119" t="str">
        <f t="shared" si="354"/>
        <v>3rd Quality</v>
      </c>
      <c r="AJ3119">
        <f>((T3119-X3119)*2)/37.9</f>
        <v>3.93373723052908</v>
      </c>
      <c r="AK3119">
        <f t="shared" si="352"/>
        <v>73638.4492307692</v>
      </c>
    </row>
    <row r="3120" spans="1:37">
      <c r="A3120" t="s">
        <v>3186</v>
      </c>
      <c r="B3120">
        <v>26</v>
      </c>
      <c r="C3120" t="s">
        <v>44</v>
      </c>
      <c r="D3120" t="s">
        <v>60</v>
      </c>
      <c r="E3120">
        <v>1121</v>
      </c>
      <c r="F3120">
        <v>62</v>
      </c>
      <c r="G3120">
        <v>10</v>
      </c>
      <c r="H3120">
        <v>2786.18</v>
      </c>
      <c r="I3120">
        <v>29736.26</v>
      </c>
      <c r="J3120">
        <v>34</v>
      </c>
      <c r="K3120">
        <v>1</v>
      </c>
      <c r="L3120">
        <v>23.2</v>
      </c>
      <c r="M3120">
        <v>6.9</v>
      </c>
      <c r="N3120" t="s">
        <v>61</v>
      </c>
      <c r="O3120" t="s">
        <v>47</v>
      </c>
      <c r="P3120" t="s">
        <v>58</v>
      </c>
      <c r="R3120">
        <f>SUMIF(A3120:A8119,"C03119",I3120:I8119)</f>
        <v>29736.26</v>
      </c>
      <c r="S3120" s="1">
        <v>14543.88</v>
      </c>
      <c r="T3120">
        <f t="shared" si="356"/>
        <v>874.595882352941</v>
      </c>
      <c r="U3120">
        <f t="shared" si="357"/>
        <v>234.6</v>
      </c>
      <c r="V3120">
        <f>U3120</f>
        <v>234.6</v>
      </c>
      <c r="W3120">
        <f t="shared" si="353"/>
        <v>10841.1466666667</v>
      </c>
      <c r="X3120">
        <f t="shared" si="351"/>
        <v>0.402342992915031</v>
      </c>
      <c r="AH3120" t="str">
        <f t="shared" si="354"/>
        <v>2nd Quality</v>
      </c>
      <c r="AJ3120">
        <f>((T3120-X3120)*2)/23.2</f>
        <v>75.3615120137953</v>
      </c>
      <c r="AK3120">
        <f t="shared" si="352"/>
        <v>980421.984117647</v>
      </c>
    </row>
    <row r="3121" spans="1:37">
      <c r="A3121" t="s">
        <v>3187</v>
      </c>
      <c r="B3121">
        <v>51</v>
      </c>
      <c r="C3121" t="s">
        <v>44</v>
      </c>
      <c r="D3121" t="s">
        <v>51</v>
      </c>
      <c r="E3121">
        <v>893</v>
      </c>
      <c r="F3121">
        <v>23</v>
      </c>
      <c r="G3121">
        <v>6</v>
      </c>
      <c r="H3121">
        <v>835.67</v>
      </c>
      <c r="I3121">
        <v>4696.98</v>
      </c>
      <c r="J3121">
        <v>26</v>
      </c>
      <c r="K3121">
        <v>1</v>
      </c>
      <c r="L3121">
        <v>13.4</v>
      </c>
      <c r="M3121">
        <v>13.6</v>
      </c>
      <c r="N3121" t="s">
        <v>63</v>
      </c>
      <c r="O3121" t="s">
        <v>75</v>
      </c>
      <c r="P3121" t="s">
        <v>58</v>
      </c>
      <c r="R3121">
        <f>SUMIF(A3121:A8120,"C03120",I3121:I8120)</f>
        <v>4696.98</v>
      </c>
      <c r="S3121" s="1">
        <v>5770.01</v>
      </c>
      <c r="T3121">
        <f t="shared" si="356"/>
        <v>180.653076923077</v>
      </c>
      <c r="U3121">
        <f t="shared" si="357"/>
        <v>353.6</v>
      </c>
      <c r="V3121">
        <f>U3121</f>
        <v>353.6</v>
      </c>
      <c r="W3121">
        <f t="shared" si="353"/>
        <v>1844.55</v>
      </c>
      <c r="X3121">
        <f t="shared" si="351"/>
        <v>1.06860363540632</v>
      </c>
      <c r="AH3121" t="str">
        <f t="shared" si="354"/>
        <v>3rd Quality</v>
      </c>
      <c r="AJ3121">
        <f>((T3121-X3121)*2)/13.4</f>
        <v>26.8036527295031</v>
      </c>
      <c r="AK3121">
        <f t="shared" si="352"/>
        <v>161323.197692308</v>
      </c>
    </row>
    <row r="3122" spans="1:37">
      <c r="A3122" t="s">
        <v>3188</v>
      </c>
      <c r="B3122">
        <v>28</v>
      </c>
      <c r="C3122" t="s">
        <v>50</v>
      </c>
      <c r="D3122" t="s">
        <v>45</v>
      </c>
      <c r="E3122">
        <v>797</v>
      </c>
      <c r="F3122">
        <v>7</v>
      </c>
      <c r="G3122">
        <v>29</v>
      </c>
      <c r="H3122">
        <v>3019.47</v>
      </c>
      <c r="I3122">
        <v>92765.55</v>
      </c>
      <c r="J3122">
        <v>102</v>
      </c>
      <c r="K3122">
        <v>5</v>
      </c>
      <c r="L3122">
        <v>18.1</v>
      </c>
      <c r="M3122">
        <v>29.5</v>
      </c>
      <c r="N3122" t="s">
        <v>46</v>
      </c>
      <c r="O3122" t="s">
        <v>75</v>
      </c>
      <c r="P3122" t="s">
        <v>58</v>
      </c>
      <c r="R3122">
        <f>SUMIF(A3122:A8121,"C03121",I3122:I8121)</f>
        <v>92765.55</v>
      </c>
      <c r="S3122" s="1">
        <v>39217.88</v>
      </c>
      <c r="T3122">
        <f t="shared" si="356"/>
        <v>909.466176470588</v>
      </c>
      <c r="U3122">
        <f t="shared" si="357"/>
        <v>3009</v>
      </c>
      <c r="V3122">
        <f>U3122</f>
        <v>3009</v>
      </c>
      <c r="W3122">
        <f t="shared" si="353"/>
        <v>31928.6733333333</v>
      </c>
      <c r="X3122">
        <f t="shared" si="351"/>
        <v>0.263953607752354</v>
      </c>
      <c r="AH3122" t="str">
        <f t="shared" si="354"/>
        <v>2nd Quality</v>
      </c>
      <c r="AJ3122">
        <f>((T3122-X3122)*2)/18.1</f>
        <v>100.464334017993</v>
      </c>
      <c r="AK3122">
        <f t="shared" si="352"/>
        <v>724844.542647059</v>
      </c>
    </row>
    <row r="3123" spans="1:37">
      <c r="A3123" t="s">
        <v>3189</v>
      </c>
      <c r="B3123">
        <v>36</v>
      </c>
      <c r="C3123" t="s">
        <v>44</v>
      </c>
      <c r="D3123" t="s">
        <v>60</v>
      </c>
      <c r="E3123">
        <v>1076</v>
      </c>
      <c r="F3123">
        <v>64</v>
      </c>
      <c r="G3123">
        <v>12</v>
      </c>
      <c r="H3123">
        <v>1294.01</v>
      </c>
      <c r="I3123">
        <v>14543.88</v>
      </c>
      <c r="J3123">
        <v>41</v>
      </c>
      <c r="K3123">
        <v>0</v>
      </c>
      <c r="L3123">
        <v>28.4</v>
      </c>
      <c r="M3123">
        <v>68</v>
      </c>
      <c r="N3123" t="s">
        <v>52</v>
      </c>
      <c r="O3123" t="s">
        <v>47</v>
      </c>
      <c r="P3123" t="s">
        <v>58</v>
      </c>
      <c r="R3123">
        <f>SUMIF(A3123:A8122,"C03122",I3123:I8122)</f>
        <v>14543.88</v>
      </c>
      <c r="S3123" s="1">
        <v>86920.89</v>
      </c>
      <c r="T3123">
        <f t="shared" si="356"/>
        <v>354.728780487805</v>
      </c>
      <c r="U3123">
        <f t="shared" si="357"/>
        <v>2788</v>
      </c>
      <c r="V3123">
        <f t="shared" si="355"/>
        <v>232.333333333333</v>
      </c>
      <c r="W3123">
        <f t="shared" si="353"/>
        <v>5279.63</v>
      </c>
      <c r="X3123">
        <f t="shared" si="351"/>
        <v>0.831523713108863</v>
      </c>
      <c r="AH3123" t="str">
        <f t="shared" si="354"/>
        <v>3rd Quality</v>
      </c>
      <c r="AJ3123">
        <f>((T3123-X3123)*2)/28.4</f>
        <v>24.9223420263871</v>
      </c>
      <c r="AK3123">
        <f t="shared" si="352"/>
        <v>381688.167804878</v>
      </c>
    </row>
    <row r="3124" spans="1:37">
      <c r="A3124" t="s">
        <v>3190</v>
      </c>
      <c r="B3124">
        <v>18</v>
      </c>
      <c r="C3124" t="s">
        <v>44</v>
      </c>
      <c r="D3124" t="s">
        <v>51</v>
      </c>
      <c r="E3124">
        <v>384</v>
      </c>
      <c r="F3124">
        <v>10</v>
      </c>
      <c r="G3124">
        <v>4</v>
      </c>
      <c r="H3124">
        <v>1350.48</v>
      </c>
      <c r="I3124">
        <v>5770.01</v>
      </c>
      <c r="J3124">
        <v>46</v>
      </c>
      <c r="K3124">
        <v>0</v>
      </c>
      <c r="L3124">
        <v>25.8</v>
      </c>
      <c r="M3124">
        <v>16.3</v>
      </c>
      <c r="N3124" t="s">
        <v>78</v>
      </c>
      <c r="O3124" t="s">
        <v>47</v>
      </c>
      <c r="P3124" t="s">
        <v>58</v>
      </c>
      <c r="R3124">
        <f>SUMIF(A3124:A8123,"C03123",I3124:I8123)</f>
        <v>5770.01</v>
      </c>
      <c r="S3124" s="1">
        <v>28998.07</v>
      </c>
      <c r="T3124">
        <f t="shared" si="356"/>
        <v>125.435</v>
      </c>
      <c r="U3124">
        <f t="shared" si="357"/>
        <v>749.8</v>
      </c>
      <c r="V3124">
        <f t="shared" si="355"/>
        <v>62.4833333333333</v>
      </c>
      <c r="W3124">
        <f t="shared" si="353"/>
        <v>2373.83</v>
      </c>
      <c r="X3124">
        <f t="shared" si="351"/>
        <v>0.284343344588591</v>
      </c>
      <c r="AH3124" t="str">
        <f t="shared" si="354"/>
        <v>3rd Quality</v>
      </c>
      <c r="AJ3124">
        <f>((T3124-X3124)*2)/25.8</f>
        <v>9.70160129111716</v>
      </c>
      <c r="AK3124">
        <f t="shared" si="352"/>
        <v>48167.04</v>
      </c>
    </row>
    <row r="3125" spans="1:37">
      <c r="A3125" t="s">
        <v>3191</v>
      </c>
      <c r="B3125">
        <v>35</v>
      </c>
      <c r="C3125" t="s">
        <v>44</v>
      </c>
      <c r="D3125" t="s">
        <v>60</v>
      </c>
      <c r="E3125">
        <v>1250</v>
      </c>
      <c r="F3125">
        <v>18</v>
      </c>
      <c r="G3125">
        <v>10</v>
      </c>
      <c r="H3125">
        <v>3583.17</v>
      </c>
      <c r="I3125">
        <v>39217.88</v>
      </c>
      <c r="J3125">
        <v>68</v>
      </c>
      <c r="K3125">
        <v>0</v>
      </c>
      <c r="L3125">
        <v>21.6</v>
      </c>
      <c r="M3125">
        <v>37.3</v>
      </c>
      <c r="N3125" t="s">
        <v>81</v>
      </c>
      <c r="O3125" t="s">
        <v>53</v>
      </c>
      <c r="P3125" t="s">
        <v>68</v>
      </c>
      <c r="R3125">
        <f>SUMIF(A3125:A8124,"C03124",I3125:I8124)</f>
        <v>39217.88</v>
      </c>
      <c r="S3125" s="1">
        <v>32243.45</v>
      </c>
      <c r="T3125">
        <f t="shared" si="356"/>
        <v>576.733529411765</v>
      </c>
      <c r="U3125">
        <f t="shared" si="357"/>
        <v>2536.4</v>
      </c>
      <c r="V3125">
        <f t="shared" si="355"/>
        <v>211.366666666667</v>
      </c>
      <c r="W3125">
        <f t="shared" si="353"/>
        <v>14267.35</v>
      </c>
      <c r="X3125">
        <f t="shared" si="351"/>
        <v>0.348853110513875</v>
      </c>
      <c r="AH3125" t="str">
        <f t="shared" si="354"/>
        <v>2nd Quality</v>
      </c>
      <c r="AJ3125">
        <f>((T3125-X3125)*2)/21.6</f>
        <v>53.3689515093751</v>
      </c>
      <c r="AK3125">
        <f t="shared" si="352"/>
        <v>720916.911764706</v>
      </c>
    </row>
    <row r="3126" spans="1:37">
      <c r="A3126" t="s">
        <v>3192</v>
      </c>
      <c r="B3126">
        <v>50</v>
      </c>
      <c r="C3126" t="s">
        <v>50</v>
      </c>
      <c r="D3126" t="s">
        <v>60</v>
      </c>
      <c r="E3126">
        <v>1116</v>
      </c>
      <c r="F3126">
        <v>5</v>
      </c>
      <c r="G3126">
        <v>29</v>
      </c>
      <c r="H3126">
        <v>2996.02</v>
      </c>
      <c r="I3126">
        <v>86920.89</v>
      </c>
      <c r="J3126">
        <v>101</v>
      </c>
      <c r="K3126">
        <v>0</v>
      </c>
      <c r="L3126">
        <v>17.1</v>
      </c>
      <c r="M3126">
        <v>43.9</v>
      </c>
      <c r="N3126" t="s">
        <v>46</v>
      </c>
      <c r="O3126" t="s">
        <v>47</v>
      </c>
      <c r="P3126" t="s">
        <v>66</v>
      </c>
      <c r="R3126">
        <f>SUMIF(A3126:A8125,"C03125",I3126:I8125)</f>
        <v>86920.89</v>
      </c>
      <c r="S3126" s="1">
        <v>71634.86</v>
      </c>
      <c r="T3126">
        <f t="shared" si="356"/>
        <v>860.602871287129</v>
      </c>
      <c r="U3126">
        <f t="shared" si="357"/>
        <v>4433.9</v>
      </c>
      <c r="V3126">
        <f t="shared" si="355"/>
        <v>369.491666666667</v>
      </c>
      <c r="W3126">
        <f t="shared" si="353"/>
        <v>29972.6366666667</v>
      </c>
      <c r="X3126">
        <f t="shared" si="351"/>
        <v>0.372494175606304</v>
      </c>
      <c r="AH3126" t="str">
        <f t="shared" si="354"/>
        <v>3rd Quality</v>
      </c>
      <c r="AJ3126">
        <f>((T3126-X3126)*2)/17.7</f>
        <v>97.2011725549743</v>
      </c>
      <c r="AK3126">
        <f t="shared" si="352"/>
        <v>960432.804356436</v>
      </c>
    </row>
    <row r="3127" spans="1:37">
      <c r="A3127" t="s">
        <v>3193</v>
      </c>
      <c r="B3127">
        <v>56</v>
      </c>
      <c r="C3127" t="s">
        <v>50</v>
      </c>
      <c r="D3127" t="s">
        <v>45</v>
      </c>
      <c r="E3127">
        <v>615</v>
      </c>
      <c r="F3127">
        <v>1</v>
      </c>
      <c r="G3127">
        <v>24</v>
      </c>
      <c r="H3127">
        <v>1227.93</v>
      </c>
      <c r="I3127">
        <v>28998.07</v>
      </c>
      <c r="J3127">
        <v>156</v>
      </c>
      <c r="K3127">
        <v>1</v>
      </c>
      <c r="L3127">
        <v>3</v>
      </c>
      <c r="M3127">
        <v>49.1</v>
      </c>
      <c r="N3127" t="s">
        <v>61</v>
      </c>
      <c r="O3127" t="s">
        <v>47</v>
      </c>
      <c r="P3127" t="s">
        <v>48</v>
      </c>
      <c r="R3127">
        <f>SUMIF(A3127:A8126,"C03126",I3127:I8126)</f>
        <v>28998.07</v>
      </c>
      <c r="S3127" s="1">
        <v>867.22</v>
      </c>
      <c r="T3127">
        <f t="shared" si="356"/>
        <v>185.885064102564</v>
      </c>
      <c r="U3127">
        <f t="shared" si="357"/>
        <v>7659.6</v>
      </c>
      <c r="V3127">
        <f>U3127</f>
        <v>7659.6</v>
      </c>
      <c r="W3127">
        <f t="shared" si="353"/>
        <v>10075.6666666667</v>
      </c>
      <c r="X3127">
        <f t="shared" si="351"/>
        <v>0.500842881923237</v>
      </c>
      <c r="AH3127" t="str">
        <f t="shared" si="354"/>
        <v>3rd Quality</v>
      </c>
      <c r="AJ3127">
        <f>((T3127-X3127)*2)/3</f>
        <v>123.589480813761</v>
      </c>
      <c r="AK3127">
        <f t="shared" si="352"/>
        <v>114319.314423077</v>
      </c>
    </row>
    <row r="3128" spans="1:37">
      <c r="A3128" t="s">
        <v>3194</v>
      </c>
      <c r="B3128">
        <v>50</v>
      </c>
      <c r="C3128" t="s">
        <v>56</v>
      </c>
      <c r="D3128" t="s">
        <v>60</v>
      </c>
      <c r="E3128">
        <v>374</v>
      </c>
      <c r="F3128">
        <v>37</v>
      </c>
      <c r="G3128">
        <v>4</v>
      </c>
      <c r="H3128">
        <v>8810.01</v>
      </c>
      <c r="I3128">
        <v>32243.45</v>
      </c>
      <c r="J3128">
        <v>15</v>
      </c>
      <c r="K3128">
        <v>0</v>
      </c>
      <c r="L3128">
        <v>12</v>
      </c>
      <c r="M3128">
        <v>43.6</v>
      </c>
      <c r="N3128" t="s">
        <v>81</v>
      </c>
      <c r="O3128" t="s">
        <v>75</v>
      </c>
      <c r="P3128" t="s">
        <v>58</v>
      </c>
      <c r="R3128">
        <f>SUMIF(A3128:A8127,"C03127",I3128:I8127)</f>
        <v>32243.45</v>
      </c>
      <c r="S3128" s="1">
        <v>1365.42</v>
      </c>
      <c r="T3128">
        <f t="shared" si="356"/>
        <v>2149.56333333333</v>
      </c>
      <c r="U3128">
        <f t="shared" si="357"/>
        <v>654</v>
      </c>
      <c r="V3128">
        <f t="shared" si="355"/>
        <v>54.5</v>
      </c>
      <c r="W3128">
        <f t="shared" si="353"/>
        <v>13684.82</v>
      </c>
      <c r="X3128">
        <f t="shared" ref="X3128:X3191" si="358">E3128/H3128</f>
        <v>0.0424517111785344</v>
      </c>
      <c r="AH3128" t="str">
        <f t="shared" si="354"/>
        <v>3rd Quality</v>
      </c>
      <c r="AJ3128">
        <f>((T3128-X3128)*2)/12</f>
        <v>358.253480270359</v>
      </c>
      <c r="AK3128">
        <f t="shared" si="352"/>
        <v>803936.686666667</v>
      </c>
    </row>
    <row r="3129" spans="1:37">
      <c r="A3129" t="s">
        <v>3195</v>
      </c>
      <c r="B3129">
        <v>53</v>
      </c>
      <c r="C3129" t="s">
        <v>50</v>
      </c>
      <c r="D3129" t="s">
        <v>60</v>
      </c>
      <c r="E3129">
        <v>547</v>
      </c>
      <c r="F3129">
        <v>6</v>
      </c>
      <c r="G3129">
        <v>25</v>
      </c>
      <c r="H3129">
        <v>3059.24</v>
      </c>
      <c r="I3129">
        <v>71634.86</v>
      </c>
      <c r="J3129">
        <v>57</v>
      </c>
      <c r="K3129">
        <v>1</v>
      </c>
      <c r="L3129">
        <v>6.7</v>
      </c>
      <c r="M3129">
        <v>43.5</v>
      </c>
      <c r="N3129" t="s">
        <v>46</v>
      </c>
      <c r="O3129" t="s">
        <v>53</v>
      </c>
      <c r="P3129" t="s">
        <v>58</v>
      </c>
      <c r="R3129">
        <f>SUMIF(A3129:A8128,"C03128",I3129:I8128)</f>
        <v>71634.86</v>
      </c>
      <c r="S3129" s="1">
        <v>6958.96</v>
      </c>
      <c r="T3129">
        <f t="shared" si="356"/>
        <v>1256.75192982456</v>
      </c>
      <c r="U3129">
        <f t="shared" si="357"/>
        <v>2479.5</v>
      </c>
      <c r="V3129">
        <f>U3129</f>
        <v>2479.5</v>
      </c>
      <c r="W3129">
        <f t="shared" si="353"/>
        <v>24898.3666666667</v>
      </c>
      <c r="X3129">
        <f t="shared" si="358"/>
        <v>0.178802578418169</v>
      </c>
      <c r="AH3129" t="str">
        <f t="shared" si="354"/>
        <v>3rd Quality</v>
      </c>
      <c r="AJ3129">
        <f>((T3129-X3129)*2)/6.7</f>
        <v>375.096455894371</v>
      </c>
      <c r="AK3129">
        <f t="shared" si="352"/>
        <v>687443.305614035</v>
      </c>
    </row>
    <row r="3130" spans="1:37">
      <c r="A3130" t="s">
        <v>3196</v>
      </c>
      <c r="B3130">
        <v>36</v>
      </c>
      <c r="C3130" t="s">
        <v>50</v>
      </c>
      <c r="D3130" t="s">
        <v>45</v>
      </c>
      <c r="E3130">
        <v>1135</v>
      </c>
      <c r="F3130">
        <v>63</v>
      </c>
      <c r="G3130">
        <v>1</v>
      </c>
      <c r="H3130">
        <v>775.6</v>
      </c>
      <c r="I3130">
        <v>867.22</v>
      </c>
      <c r="J3130">
        <v>10</v>
      </c>
      <c r="K3130">
        <v>0</v>
      </c>
      <c r="L3130">
        <v>17.3</v>
      </c>
      <c r="M3130">
        <v>10.3</v>
      </c>
      <c r="N3130" t="s">
        <v>63</v>
      </c>
      <c r="O3130" t="s">
        <v>47</v>
      </c>
      <c r="P3130" t="s">
        <v>68</v>
      </c>
      <c r="R3130">
        <f>SUMIF(A3130:A8129,"C03129",I3130:I8129)</f>
        <v>867.22</v>
      </c>
      <c r="S3130" s="1">
        <v>4153.25</v>
      </c>
      <c r="T3130">
        <f t="shared" si="356"/>
        <v>86.722</v>
      </c>
      <c r="U3130">
        <f t="shared" si="357"/>
        <v>103</v>
      </c>
      <c r="V3130">
        <f t="shared" si="355"/>
        <v>8.58333333333333</v>
      </c>
      <c r="W3130">
        <f t="shared" si="353"/>
        <v>547.94</v>
      </c>
      <c r="X3130">
        <f t="shared" si="358"/>
        <v>1.4633831872099</v>
      </c>
      <c r="AH3130" t="str">
        <f t="shared" si="354"/>
        <v>3rd Quality</v>
      </c>
      <c r="AJ3130">
        <f>((T3130-X3130)*2)/17.3</f>
        <v>9.8564874928081</v>
      </c>
      <c r="AK3130">
        <f t="shared" si="352"/>
        <v>98429.47</v>
      </c>
    </row>
    <row r="3131" spans="1:37">
      <c r="A3131" t="s">
        <v>3197</v>
      </c>
      <c r="B3131">
        <v>33</v>
      </c>
      <c r="C3131" t="s">
        <v>50</v>
      </c>
      <c r="D3131" t="s">
        <v>60</v>
      </c>
      <c r="E3131">
        <v>1080</v>
      </c>
      <c r="F3131">
        <v>214</v>
      </c>
      <c r="G3131">
        <v>1</v>
      </c>
      <c r="H3131">
        <v>1293.75</v>
      </c>
      <c r="I3131">
        <v>1365.42</v>
      </c>
      <c r="J3131">
        <v>10</v>
      </c>
      <c r="K3131">
        <v>0</v>
      </c>
      <c r="L3131">
        <v>10</v>
      </c>
      <c r="M3131">
        <v>52.5</v>
      </c>
      <c r="N3131" t="s">
        <v>81</v>
      </c>
      <c r="O3131" t="s">
        <v>47</v>
      </c>
      <c r="P3131" t="s">
        <v>58</v>
      </c>
      <c r="R3131">
        <f>SUMIF(A3131:A8130,"C03130",I3131:I8130)</f>
        <v>1365.42</v>
      </c>
      <c r="S3131" s="1">
        <v>95781.79</v>
      </c>
      <c r="T3131">
        <f t="shared" si="356"/>
        <v>136.542</v>
      </c>
      <c r="U3131">
        <f t="shared" si="357"/>
        <v>525</v>
      </c>
      <c r="V3131">
        <f t="shared" si="355"/>
        <v>43.75</v>
      </c>
      <c r="W3131">
        <f t="shared" si="353"/>
        <v>886.723333333333</v>
      </c>
      <c r="X3131">
        <f t="shared" si="358"/>
        <v>0.834782608695652</v>
      </c>
      <c r="AH3131" t="str">
        <f t="shared" si="354"/>
        <v>3rd Quality</v>
      </c>
      <c r="AJ3131">
        <f>((T3131-X3131)*2)/10</f>
        <v>27.1414434782609</v>
      </c>
      <c r="AK3131">
        <f t="shared" si="352"/>
        <v>147465.36</v>
      </c>
    </row>
    <row r="3132" spans="1:37">
      <c r="A3132" t="s">
        <v>3198</v>
      </c>
      <c r="B3132">
        <v>28</v>
      </c>
      <c r="C3132" t="s">
        <v>50</v>
      </c>
      <c r="D3132" t="s">
        <v>45</v>
      </c>
      <c r="E3132">
        <v>1095</v>
      </c>
      <c r="F3132">
        <v>7</v>
      </c>
      <c r="G3132">
        <v>8</v>
      </c>
      <c r="H3132">
        <v>817.1</v>
      </c>
      <c r="I3132">
        <v>6958.96</v>
      </c>
      <c r="J3132">
        <v>74</v>
      </c>
      <c r="K3132">
        <v>1</v>
      </c>
      <c r="L3132">
        <v>24.8</v>
      </c>
      <c r="M3132">
        <v>27.6</v>
      </c>
      <c r="N3132" t="s">
        <v>63</v>
      </c>
      <c r="O3132" t="s">
        <v>47</v>
      </c>
      <c r="P3132" t="s">
        <v>58</v>
      </c>
      <c r="R3132">
        <f>SUMIF(A3132:A8131,"C03131",I3132:I8131)</f>
        <v>6958.96</v>
      </c>
      <c r="S3132" s="1">
        <v>67448.23</v>
      </c>
      <c r="T3132">
        <f t="shared" si="356"/>
        <v>94.04</v>
      </c>
      <c r="U3132">
        <f t="shared" si="357"/>
        <v>2042.4</v>
      </c>
      <c r="V3132">
        <f>U3132</f>
        <v>2042.4</v>
      </c>
      <c r="W3132">
        <f t="shared" si="353"/>
        <v>2592.35333333333</v>
      </c>
      <c r="X3132">
        <f t="shared" si="358"/>
        <v>1.34010525027536</v>
      </c>
      <c r="AH3132" t="str">
        <f t="shared" si="354"/>
        <v>3rd Quality</v>
      </c>
      <c r="AJ3132">
        <f>((T3132-X3132)*2)/24.8</f>
        <v>7.47579796368747</v>
      </c>
      <c r="AK3132">
        <f t="shared" si="352"/>
        <v>102973.8</v>
      </c>
    </row>
    <row r="3133" spans="1:37">
      <c r="A3133" t="s">
        <v>3199</v>
      </c>
      <c r="B3133">
        <v>21</v>
      </c>
      <c r="C3133" t="s">
        <v>50</v>
      </c>
      <c r="D3133" t="s">
        <v>45</v>
      </c>
      <c r="E3133">
        <v>407</v>
      </c>
      <c r="F3133">
        <v>182</v>
      </c>
      <c r="G3133">
        <v>1</v>
      </c>
      <c r="H3133">
        <v>3862.19</v>
      </c>
      <c r="I3133">
        <v>4153.25</v>
      </c>
      <c r="J3133">
        <v>12</v>
      </c>
      <c r="K3133">
        <v>0</v>
      </c>
      <c r="L3133">
        <v>18.6</v>
      </c>
      <c r="M3133">
        <v>47.7</v>
      </c>
      <c r="N3133" t="s">
        <v>52</v>
      </c>
      <c r="O3133" t="s">
        <v>47</v>
      </c>
      <c r="P3133" t="s">
        <v>58</v>
      </c>
      <c r="R3133">
        <f>SUMIF(A3133:A8132,"C03132",I3133:I8132)</f>
        <v>4153.25</v>
      </c>
      <c r="S3133" s="1">
        <v>9191.46</v>
      </c>
      <c r="T3133">
        <f t="shared" si="356"/>
        <v>346.104166666667</v>
      </c>
      <c r="U3133">
        <f t="shared" si="357"/>
        <v>572.4</v>
      </c>
      <c r="V3133">
        <f t="shared" si="355"/>
        <v>47.7</v>
      </c>
      <c r="W3133">
        <f t="shared" si="353"/>
        <v>2672.14666666667</v>
      </c>
      <c r="X3133">
        <f t="shared" si="358"/>
        <v>0.105380626017881</v>
      </c>
      <c r="AH3133" t="str">
        <f t="shared" si="354"/>
        <v>3rd Quality</v>
      </c>
      <c r="AJ3133">
        <f>((T3133-X3133)*2)/18.6</f>
        <v>37.2041705420053</v>
      </c>
      <c r="AK3133">
        <f t="shared" si="352"/>
        <v>140864.395833333</v>
      </c>
    </row>
    <row r="3134" spans="1:37">
      <c r="A3134" t="s">
        <v>3200</v>
      </c>
      <c r="B3134">
        <v>40</v>
      </c>
      <c r="C3134" t="s">
        <v>44</v>
      </c>
      <c r="D3134" t="s">
        <v>45</v>
      </c>
      <c r="E3134">
        <v>387</v>
      </c>
      <c r="F3134">
        <v>2</v>
      </c>
      <c r="G3134">
        <v>26</v>
      </c>
      <c r="H3134">
        <v>3611.42</v>
      </c>
      <c r="I3134">
        <v>95781.79</v>
      </c>
      <c r="J3134">
        <v>172</v>
      </c>
      <c r="K3134">
        <v>4</v>
      </c>
      <c r="L3134">
        <v>12.1</v>
      </c>
      <c r="M3134">
        <v>58.9</v>
      </c>
      <c r="N3134" t="s">
        <v>61</v>
      </c>
      <c r="O3134" t="s">
        <v>75</v>
      </c>
      <c r="P3134" t="s">
        <v>58</v>
      </c>
      <c r="R3134">
        <f>SUMIF(A3134:A8133,"C03133",I3134:I8133)</f>
        <v>95781.79</v>
      </c>
      <c r="S3134" s="1">
        <v>2166.82</v>
      </c>
      <c r="T3134">
        <f t="shared" si="356"/>
        <v>556.870872093023</v>
      </c>
      <c r="U3134">
        <f t="shared" si="357"/>
        <v>10130.8</v>
      </c>
      <c r="V3134">
        <f>U3134</f>
        <v>10130.8</v>
      </c>
      <c r="W3134">
        <f t="shared" si="353"/>
        <v>33131.4033333333</v>
      </c>
      <c r="X3134">
        <f t="shared" si="358"/>
        <v>0.107160064462178</v>
      </c>
      <c r="AH3134" t="str">
        <f t="shared" si="354"/>
        <v>3rd Quality</v>
      </c>
      <c r="AJ3134">
        <f>((T3134-X3134)*2)/12.1</f>
        <v>92.0270598394315</v>
      </c>
      <c r="AK3134">
        <f t="shared" si="352"/>
        <v>215509.0275</v>
      </c>
    </row>
    <row r="3135" spans="1:37">
      <c r="A3135" t="s">
        <v>3201</v>
      </c>
      <c r="B3135">
        <v>39</v>
      </c>
      <c r="C3135" t="s">
        <v>56</v>
      </c>
      <c r="D3135" t="s">
        <v>45</v>
      </c>
      <c r="E3135">
        <v>1270</v>
      </c>
      <c r="F3135">
        <v>12</v>
      </c>
      <c r="G3135">
        <v>23</v>
      </c>
      <c r="H3135">
        <v>2974.57</v>
      </c>
      <c r="I3135">
        <v>67448.23</v>
      </c>
      <c r="J3135">
        <v>167</v>
      </c>
      <c r="K3135">
        <v>3</v>
      </c>
      <c r="L3135">
        <v>6.4</v>
      </c>
      <c r="M3135">
        <v>32.4</v>
      </c>
      <c r="N3135" t="s">
        <v>78</v>
      </c>
      <c r="O3135" t="s">
        <v>53</v>
      </c>
      <c r="P3135" t="s">
        <v>58</v>
      </c>
      <c r="R3135">
        <f>SUMIF(A3135:A8134,"C03134",I3135:I8134)</f>
        <v>67448.23</v>
      </c>
      <c r="S3135" s="1">
        <v>2296.17</v>
      </c>
      <c r="T3135">
        <f t="shared" si="356"/>
        <v>403.881616766467</v>
      </c>
      <c r="U3135">
        <f t="shared" si="357"/>
        <v>5410.8</v>
      </c>
      <c r="V3135">
        <f>U3135</f>
        <v>5410.8</v>
      </c>
      <c r="W3135">
        <f t="shared" si="353"/>
        <v>23474.6</v>
      </c>
      <c r="X3135">
        <f t="shared" si="358"/>
        <v>0.426952467079275</v>
      </c>
      <c r="AH3135" t="str">
        <f t="shared" si="354"/>
        <v>2nd Quality</v>
      </c>
      <c r="AJ3135">
        <f>((T3135-X3135)*2)/6.4</f>
        <v>126.079582593559</v>
      </c>
      <c r="AK3135">
        <f t="shared" si="352"/>
        <v>512929.653293413</v>
      </c>
    </row>
    <row r="3136" spans="1:37">
      <c r="A3136" t="s">
        <v>3202</v>
      </c>
      <c r="B3136">
        <v>37</v>
      </c>
      <c r="C3136" t="s">
        <v>44</v>
      </c>
      <c r="D3136" t="s">
        <v>45</v>
      </c>
      <c r="E3136">
        <v>866</v>
      </c>
      <c r="F3136">
        <v>184</v>
      </c>
      <c r="G3136">
        <v>5</v>
      </c>
      <c r="H3136">
        <v>1907.85</v>
      </c>
      <c r="I3136">
        <v>9191.46</v>
      </c>
      <c r="J3136">
        <v>45</v>
      </c>
      <c r="K3136">
        <v>1</v>
      </c>
      <c r="L3136">
        <v>30.5</v>
      </c>
      <c r="M3136">
        <v>11.4</v>
      </c>
      <c r="N3136" t="s">
        <v>52</v>
      </c>
      <c r="O3136" t="s">
        <v>47</v>
      </c>
      <c r="P3136" t="s">
        <v>68</v>
      </c>
      <c r="R3136">
        <f>SUMIF(A3136:A8135,"C03135",I3136:I8135)</f>
        <v>9191.46</v>
      </c>
      <c r="S3136" s="1">
        <v>47631.61</v>
      </c>
      <c r="T3136">
        <f t="shared" si="356"/>
        <v>204.254666666667</v>
      </c>
      <c r="U3136">
        <f t="shared" si="357"/>
        <v>513</v>
      </c>
      <c r="V3136">
        <f>U3136</f>
        <v>513</v>
      </c>
      <c r="W3136">
        <f t="shared" si="353"/>
        <v>3700.10333333333</v>
      </c>
      <c r="X3136">
        <f t="shared" si="358"/>
        <v>0.453914091778704</v>
      </c>
      <c r="AH3136" t="str">
        <f t="shared" si="354"/>
        <v>3rd Quality</v>
      </c>
      <c r="AJ3136">
        <f>((T3136-X3136)*2)/30.5</f>
        <v>13.3639837754025</v>
      </c>
      <c r="AK3136">
        <f t="shared" si="352"/>
        <v>176884.541333333</v>
      </c>
    </row>
    <row r="3137" spans="1:37">
      <c r="A3137" t="s">
        <v>3203</v>
      </c>
      <c r="B3137">
        <v>43</v>
      </c>
      <c r="C3137" t="s">
        <v>50</v>
      </c>
      <c r="D3137" t="s">
        <v>45</v>
      </c>
      <c r="E3137">
        <v>699</v>
      </c>
      <c r="F3137">
        <v>136</v>
      </c>
      <c r="G3137">
        <v>4</v>
      </c>
      <c r="H3137">
        <v>611.03</v>
      </c>
      <c r="I3137">
        <v>2166.82</v>
      </c>
      <c r="J3137">
        <v>24</v>
      </c>
      <c r="K3137">
        <v>1</v>
      </c>
      <c r="L3137">
        <v>33.4</v>
      </c>
      <c r="M3137">
        <v>4.2</v>
      </c>
      <c r="N3137" t="s">
        <v>61</v>
      </c>
      <c r="O3137" t="s">
        <v>47</v>
      </c>
      <c r="P3137" t="s">
        <v>66</v>
      </c>
      <c r="R3137">
        <f>SUMIF(A3137:A8136,"C03136",I3137:I8136)</f>
        <v>2166.82</v>
      </c>
      <c r="S3137" s="1">
        <v>1088</v>
      </c>
      <c r="T3137">
        <f t="shared" si="356"/>
        <v>90.2841666666667</v>
      </c>
      <c r="U3137">
        <f t="shared" si="357"/>
        <v>100.8</v>
      </c>
      <c r="V3137">
        <f>U3137</f>
        <v>100.8</v>
      </c>
      <c r="W3137">
        <f t="shared" si="353"/>
        <v>926.283333333333</v>
      </c>
      <c r="X3137">
        <f t="shared" si="358"/>
        <v>1.14397001783873</v>
      </c>
      <c r="AH3137" t="str">
        <f t="shared" si="354"/>
        <v>3rd Quality</v>
      </c>
      <c r="AJ3137">
        <f>((T3137-X3137)*2)/33.4</f>
        <v>5.33773632627712</v>
      </c>
      <c r="AK3137">
        <f t="shared" si="352"/>
        <v>63108.6325</v>
      </c>
    </row>
    <row r="3138" spans="1:37">
      <c r="A3138" t="s">
        <v>3204</v>
      </c>
      <c r="B3138">
        <v>21</v>
      </c>
      <c r="C3138" t="s">
        <v>50</v>
      </c>
      <c r="D3138" t="s">
        <v>45</v>
      </c>
      <c r="E3138">
        <v>456</v>
      </c>
      <c r="F3138">
        <v>54</v>
      </c>
      <c r="G3138">
        <v>2</v>
      </c>
      <c r="H3138">
        <v>1068.65</v>
      </c>
      <c r="I3138">
        <v>2296.17</v>
      </c>
      <c r="J3138">
        <v>13</v>
      </c>
      <c r="K3138">
        <v>0</v>
      </c>
      <c r="L3138">
        <v>45.5</v>
      </c>
      <c r="M3138">
        <v>26.5</v>
      </c>
      <c r="N3138" t="s">
        <v>52</v>
      </c>
      <c r="O3138" t="s">
        <v>75</v>
      </c>
      <c r="P3138" t="s">
        <v>58</v>
      </c>
      <c r="R3138">
        <f>SUMIF(A3138:A8137,"C03137",I3138:I8137)</f>
        <v>2296.17</v>
      </c>
      <c r="S3138" s="1">
        <v>9684.1</v>
      </c>
      <c r="T3138">
        <f t="shared" si="356"/>
        <v>176.628461538462</v>
      </c>
      <c r="U3138">
        <f t="shared" si="357"/>
        <v>344.5</v>
      </c>
      <c r="V3138">
        <f t="shared" si="355"/>
        <v>28.7083333333333</v>
      </c>
      <c r="W3138">
        <f t="shared" si="353"/>
        <v>1121.94</v>
      </c>
      <c r="X3138">
        <f t="shared" si="358"/>
        <v>0.426706592429701</v>
      </c>
      <c r="AH3138" t="str">
        <f t="shared" si="354"/>
        <v>3rd Quality</v>
      </c>
      <c r="AJ3138">
        <f>((T3138-X3138)*2)/45.5</f>
        <v>7.74513208553988</v>
      </c>
      <c r="AK3138">
        <f t="shared" si="352"/>
        <v>80542.5784615385</v>
      </c>
    </row>
    <row r="3139" spans="1:37">
      <c r="A3139" t="s">
        <v>3205</v>
      </c>
      <c r="B3139">
        <v>32</v>
      </c>
      <c r="C3139" t="s">
        <v>44</v>
      </c>
      <c r="D3139" t="s">
        <v>51</v>
      </c>
      <c r="E3139">
        <v>491</v>
      </c>
      <c r="F3139">
        <v>13</v>
      </c>
      <c r="G3139">
        <v>22</v>
      </c>
      <c r="H3139">
        <v>1990.74</v>
      </c>
      <c r="I3139">
        <v>47631.61</v>
      </c>
      <c r="J3139">
        <v>185</v>
      </c>
      <c r="K3139">
        <v>2</v>
      </c>
      <c r="L3139">
        <v>6.3</v>
      </c>
      <c r="M3139">
        <v>59.2</v>
      </c>
      <c r="N3139" t="s">
        <v>61</v>
      </c>
      <c r="O3139" t="s">
        <v>47</v>
      </c>
      <c r="P3139" t="s">
        <v>58</v>
      </c>
      <c r="R3139">
        <f>SUMIF(A3139:A8138,"C03138",I3139:I8138)</f>
        <v>47631.61</v>
      </c>
      <c r="S3139" s="1">
        <v>16444.98</v>
      </c>
      <c r="T3139">
        <f t="shared" si="356"/>
        <v>257.468162162162</v>
      </c>
      <c r="U3139">
        <f t="shared" si="357"/>
        <v>10952</v>
      </c>
      <c r="V3139">
        <f>U3139</f>
        <v>10952</v>
      </c>
      <c r="W3139">
        <f t="shared" si="353"/>
        <v>16541.1166666667</v>
      </c>
      <c r="X3139">
        <f t="shared" si="358"/>
        <v>0.246641952238866</v>
      </c>
      <c r="AH3139" t="str">
        <f t="shared" si="354"/>
        <v>2nd Quality</v>
      </c>
      <c r="AJ3139">
        <f>((T3139-X3139)*2)/6.3</f>
        <v>81.6576254634677</v>
      </c>
      <c r="AK3139">
        <f t="shared" ref="AK3139:AK3202" si="359">I3139/J3139*E3139</f>
        <v>126416.867621622</v>
      </c>
    </row>
    <row r="3140" spans="1:37">
      <c r="A3140" t="s">
        <v>3206</v>
      </c>
      <c r="B3140">
        <v>44</v>
      </c>
      <c r="C3140" t="s">
        <v>44</v>
      </c>
      <c r="D3140" t="s">
        <v>51</v>
      </c>
      <c r="E3140">
        <v>1177</v>
      </c>
      <c r="F3140">
        <v>71</v>
      </c>
      <c r="G3140">
        <v>1</v>
      </c>
      <c r="H3140">
        <v>1130.62</v>
      </c>
      <c r="I3140">
        <v>1088</v>
      </c>
      <c r="J3140">
        <v>12</v>
      </c>
      <c r="K3140">
        <v>0</v>
      </c>
      <c r="L3140">
        <v>36.2</v>
      </c>
      <c r="M3140">
        <v>14.3</v>
      </c>
      <c r="N3140" t="s">
        <v>81</v>
      </c>
      <c r="O3140" t="s">
        <v>47</v>
      </c>
      <c r="P3140" t="s">
        <v>48</v>
      </c>
      <c r="R3140">
        <f>SUMIF(A3140:A8139,"C03139",I3140:I8139)</f>
        <v>1088</v>
      </c>
      <c r="S3140" s="1">
        <v>202303.77</v>
      </c>
      <c r="T3140">
        <f t="shared" si="356"/>
        <v>90.6666666666667</v>
      </c>
      <c r="U3140">
        <f t="shared" si="357"/>
        <v>171.6</v>
      </c>
      <c r="V3140">
        <f t="shared" si="355"/>
        <v>14.3</v>
      </c>
      <c r="W3140">
        <f t="shared" si="353"/>
        <v>739.873333333333</v>
      </c>
      <c r="X3140">
        <f t="shared" si="358"/>
        <v>1.04102174028409</v>
      </c>
      <c r="AH3140" t="str">
        <f t="shared" si="354"/>
        <v>3rd Quality</v>
      </c>
      <c r="AJ3140">
        <f>((T3140-X3140)*2)/36.2</f>
        <v>4.95169308985539</v>
      </c>
      <c r="AK3140">
        <f t="shared" si="359"/>
        <v>106714.666666667</v>
      </c>
    </row>
    <row r="3141" spans="1:37">
      <c r="A3141" t="s">
        <v>3207</v>
      </c>
      <c r="B3141">
        <v>19</v>
      </c>
      <c r="C3141" t="s">
        <v>50</v>
      </c>
      <c r="D3141" t="s">
        <v>51</v>
      </c>
      <c r="E3141">
        <v>1204</v>
      </c>
      <c r="F3141">
        <v>35</v>
      </c>
      <c r="G3141">
        <v>11</v>
      </c>
      <c r="H3141">
        <v>877.21</v>
      </c>
      <c r="I3141">
        <v>9684.1</v>
      </c>
      <c r="J3141">
        <v>96</v>
      </c>
      <c r="K3141">
        <v>1</v>
      </c>
      <c r="L3141">
        <v>26.5</v>
      </c>
      <c r="M3141">
        <v>48.2</v>
      </c>
      <c r="N3141" t="s">
        <v>52</v>
      </c>
      <c r="O3141" t="s">
        <v>47</v>
      </c>
      <c r="P3141" t="s">
        <v>68</v>
      </c>
      <c r="R3141">
        <f>SUMIF(A3141:A8140,"C03140",I3141:I8140)</f>
        <v>9684.1</v>
      </c>
      <c r="S3141" s="1">
        <v>1824.81</v>
      </c>
      <c r="T3141">
        <f t="shared" si="356"/>
        <v>100.876041666667</v>
      </c>
      <c r="U3141">
        <f t="shared" si="357"/>
        <v>4627.2</v>
      </c>
      <c r="V3141">
        <f>U3141</f>
        <v>4627.2</v>
      </c>
      <c r="W3141">
        <f t="shared" si="353"/>
        <v>3520.77</v>
      </c>
      <c r="X3141">
        <f t="shared" si="358"/>
        <v>1.37253337285257</v>
      </c>
      <c r="AH3141" t="str">
        <f t="shared" si="354"/>
        <v>3rd Quality</v>
      </c>
      <c r="AJ3141">
        <f>((T3141-X3141)*2)/26.5</f>
        <v>7.50969873915581</v>
      </c>
      <c r="AK3141">
        <f t="shared" si="359"/>
        <v>121454.754166667</v>
      </c>
    </row>
    <row r="3142" spans="1:37">
      <c r="A3142" t="s">
        <v>3208</v>
      </c>
      <c r="B3142">
        <v>26</v>
      </c>
      <c r="C3142" t="s">
        <v>44</v>
      </c>
      <c r="D3142" t="s">
        <v>51</v>
      </c>
      <c r="E3142">
        <v>677</v>
      </c>
      <c r="F3142">
        <v>46</v>
      </c>
      <c r="G3142">
        <v>10</v>
      </c>
      <c r="H3142">
        <v>1614.27</v>
      </c>
      <c r="I3142">
        <v>16444.98</v>
      </c>
      <c r="J3142">
        <v>60</v>
      </c>
      <c r="K3142">
        <v>1</v>
      </c>
      <c r="L3142">
        <v>22.9</v>
      </c>
      <c r="M3142">
        <v>43.8</v>
      </c>
      <c r="N3142" t="s">
        <v>81</v>
      </c>
      <c r="O3142" t="s">
        <v>75</v>
      </c>
      <c r="P3142" t="s">
        <v>48</v>
      </c>
      <c r="R3142">
        <f>SUMIF(A3142:A8141,"C03141",I3142:I8141)</f>
        <v>16444.98</v>
      </c>
      <c r="S3142" s="1">
        <v>33531.91</v>
      </c>
      <c r="T3142">
        <f t="shared" si="356"/>
        <v>274.083</v>
      </c>
      <c r="U3142">
        <f t="shared" si="357"/>
        <v>2628</v>
      </c>
      <c r="V3142">
        <f>U3142</f>
        <v>2628</v>
      </c>
      <c r="W3142">
        <f t="shared" si="353"/>
        <v>6020.08333333333</v>
      </c>
      <c r="X3142">
        <f t="shared" si="358"/>
        <v>0.419384613478538</v>
      </c>
      <c r="AH3142" t="str">
        <f t="shared" si="354"/>
        <v>3rd Quality</v>
      </c>
      <c r="AJ3142">
        <f>((T3142-X3142)*2)/22.9</f>
        <v>23.9007524355041</v>
      </c>
      <c r="AK3142">
        <f t="shared" si="359"/>
        <v>185554.191</v>
      </c>
    </row>
    <row r="3143" spans="1:37">
      <c r="A3143" t="s">
        <v>3209</v>
      </c>
      <c r="B3143">
        <v>43</v>
      </c>
      <c r="C3143" t="s">
        <v>50</v>
      </c>
      <c r="D3143" t="s">
        <v>60</v>
      </c>
      <c r="E3143">
        <v>613</v>
      </c>
      <c r="F3143">
        <v>1</v>
      </c>
      <c r="G3143">
        <v>29</v>
      </c>
      <c r="H3143">
        <v>6721.96</v>
      </c>
      <c r="I3143">
        <v>202303.77</v>
      </c>
      <c r="J3143">
        <v>182</v>
      </c>
      <c r="K3143">
        <v>1</v>
      </c>
      <c r="L3143">
        <v>0</v>
      </c>
      <c r="M3143">
        <v>12.7</v>
      </c>
      <c r="N3143" t="s">
        <v>78</v>
      </c>
      <c r="O3143" t="s">
        <v>75</v>
      </c>
      <c r="P3143" t="s">
        <v>68</v>
      </c>
      <c r="R3143">
        <f>SUMIF(A3143:A8142,"C03142",I3143:I8142)</f>
        <v>202303.77</v>
      </c>
      <c r="S3143" s="1">
        <v>900.23</v>
      </c>
      <c r="T3143">
        <f t="shared" si="356"/>
        <v>1111.55917582418</v>
      </c>
      <c r="U3143">
        <f t="shared" si="357"/>
        <v>2311.4</v>
      </c>
      <c r="V3143">
        <f>U3143</f>
        <v>2311.4</v>
      </c>
      <c r="W3143">
        <f t="shared" si="353"/>
        <v>69675.5766666667</v>
      </c>
      <c r="X3143">
        <f t="shared" si="358"/>
        <v>0.0911936399502526</v>
      </c>
      <c r="AH3143" t="str">
        <f t="shared" si="354"/>
        <v>2nd Quality</v>
      </c>
      <c r="AJ3143">
        <f>((T3143-X3143)*2)</f>
        <v>2222.93596436846</v>
      </c>
      <c r="AK3143">
        <f t="shared" si="359"/>
        <v>681385.77478022</v>
      </c>
    </row>
    <row r="3144" spans="1:37">
      <c r="A3144" t="s">
        <v>3210</v>
      </c>
      <c r="B3144">
        <v>24</v>
      </c>
      <c r="C3144" t="s">
        <v>50</v>
      </c>
      <c r="D3144" t="s">
        <v>60</v>
      </c>
      <c r="E3144">
        <v>698</v>
      </c>
      <c r="F3144">
        <v>36</v>
      </c>
      <c r="G3144">
        <v>1</v>
      </c>
      <c r="H3144">
        <v>1761.45</v>
      </c>
      <c r="I3144">
        <v>1824.81</v>
      </c>
      <c r="J3144">
        <v>13</v>
      </c>
      <c r="K3144">
        <v>0</v>
      </c>
      <c r="L3144">
        <v>26.7</v>
      </c>
      <c r="M3144">
        <v>14.1</v>
      </c>
      <c r="N3144" t="s">
        <v>63</v>
      </c>
      <c r="O3144" t="s">
        <v>47</v>
      </c>
      <c r="P3144" t="s">
        <v>48</v>
      </c>
      <c r="R3144">
        <f>SUMIF(A3144:A8143,"C03143",I3144:I8143)</f>
        <v>1824.81</v>
      </c>
      <c r="S3144" s="1">
        <v>36281.88</v>
      </c>
      <c r="T3144">
        <f t="shared" si="356"/>
        <v>140.37</v>
      </c>
      <c r="U3144">
        <f t="shared" si="357"/>
        <v>183.3</v>
      </c>
      <c r="V3144">
        <f t="shared" si="355"/>
        <v>15.275</v>
      </c>
      <c r="W3144">
        <f t="shared" si="353"/>
        <v>1195.75333333333</v>
      </c>
      <c r="X3144">
        <f t="shared" si="358"/>
        <v>0.396264441227398</v>
      </c>
      <c r="AH3144" t="str">
        <f t="shared" si="354"/>
        <v>3rd Quality</v>
      </c>
      <c r="AJ3144">
        <f>((T3144-X3144)*2)/26.7</f>
        <v>10.4849240118931</v>
      </c>
      <c r="AK3144">
        <f t="shared" si="359"/>
        <v>97978.26</v>
      </c>
    </row>
    <row r="3145" spans="1:37">
      <c r="A3145" t="s">
        <v>3211</v>
      </c>
      <c r="B3145">
        <v>33</v>
      </c>
      <c r="C3145" t="s">
        <v>50</v>
      </c>
      <c r="D3145" t="s">
        <v>60</v>
      </c>
      <c r="E3145">
        <v>807</v>
      </c>
      <c r="F3145">
        <v>8</v>
      </c>
      <c r="G3145">
        <v>26</v>
      </c>
      <c r="H3145">
        <v>1390.93</v>
      </c>
      <c r="I3145">
        <v>33531.91</v>
      </c>
      <c r="J3145">
        <v>218</v>
      </c>
      <c r="K3145">
        <v>5</v>
      </c>
      <c r="L3145">
        <v>10.7</v>
      </c>
      <c r="M3145">
        <v>31.6</v>
      </c>
      <c r="N3145" t="s">
        <v>81</v>
      </c>
      <c r="O3145" t="s">
        <v>75</v>
      </c>
      <c r="P3145" t="s">
        <v>48</v>
      </c>
      <c r="R3145">
        <f>SUMIF(A3145:A8144,"C03144",I3145:I8144)</f>
        <v>33531.91</v>
      </c>
      <c r="S3145" s="1">
        <v>3175.07</v>
      </c>
      <c r="T3145">
        <f t="shared" si="356"/>
        <v>153.816100917431</v>
      </c>
      <c r="U3145">
        <f t="shared" si="357"/>
        <v>6888.8</v>
      </c>
      <c r="V3145">
        <f>U3145</f>
        <v>6888.8</v>
      </c>
      <c r="W3145">
        <f t="shared" ref="W3145:W3208" si="360">(H3145+I3145+1)/3</f>
        <v>11641.28</v>
      </c>
      <c r="X3145">
        <f t="shared" si="358"/>
        <v>0.580187356660651</v>
      </c>
      <c r="AH3145" t="str">
        <f t="shared" si="354"/>
        <v>2nd Quality</v>
      </c>
      <c r="AJ3145">
        <f>((T3145-X3145)*2)/10.7</f>
        <v>28.6422268337889</v>
      </c>
      <c r="AK3145">
        <f t="shared" si="359"/>
        <v>124129.593440367</v>
      </c>
    </row>
    <row r="3146" spans="1:37">
      <c r="A3146" t="s">
        <v>3212</v>
      </c>
      <c r="B3146">
        <v>18</v>
      </c>
      <c r="C3146" t="s">
        <v>44</v>
      </c>
      <c r="D3146" t="s">
        <v>60</v>
      </c>
      <c r="E3146">
        <v>1295</v>
      </c>
      <c r="F3146">
        <v>44</v>
      </c>
      <c r="G3146">
        <v>1</v>
      </c>
      <c r="H3146">
        <v>861.63</v>
      </c>
      <c r="I3146">
        <v>900.23</v>
      </c>
      <c r="J3146">
        <v>16</v>
      </c>
      <c r="K3146">
        <v>0</v>
      </c>
      <c r="L3146">
        <v>24.9</v>
      </c>
      <c r="M3146">
        <v>19.8</v>
      </c>
      <c r="N3146" t="s">
        <v>81</v>
      </c>
      <c r="O3146" t="s">
        <v>75</v>
      </c>
      <c r="P3146" t="s">
        <v>48</v>
      </c>
      <c r="R3146">
        <f>SUMIF(A3146:A8145,"C03145",I3146:I8145)</f>
        <v>900.23</v>
      </c>
      <c r="S3146" s="1">
        <v>6120.48</v>
      </c>
      <c r="T3146">
        <f t="shared" si="356"/>
        <v>56.264375</v>
      </c>
      <c r="U3146">
        <f t="shared" si="357"/>
        <v>316.8</v>
      </c>
      <c r="V3146">
        <f t="shared" si="355"/>
        <v>26.4</v>
      </c>
      <c r="W3146">
        <f t="shared" si="360"/>
        <v>587.62</v>
      </c>
      <c r="X3146">
        <f t="shared" si="358"/>
        <v>1.50296530993582</v>
      </c>
      <c r="AH3146" t="str">
        <f t="shared" si="354"/>
        <v>3rd Quality</v>
      </c>
      <c r="AJ3146">
        <f>((T3146-X3146)*2)/24.9</f>
        <v>4.39850680241479</v>
      </c>
      <c r="AK3146">
        <f t="shared" si="359"/>
        <v>72862.365625</v>
      </c>
    </row>
    <row r="3147" spans="1:37">
      <c r="A3147" t="s">
        <v>3213</v>
      </c>
      <c r="B3147">
        <v>25</v>
      </c>
      <c r="C3147" t="s">
        <v>50</v>
      </c>
      <c r="D3147" t="s">
        <v>60</v>
      </c>
      <c r="E3147">
        <v>821</v>
      </c>
      <c r="F3147">
        <v>26</v>
      </c>
      <c r="G3147">
        <v>3</v>
      </c>
      <c r="H3147">
        <v>11402.85</v>
      </c>
      <c r="I3147">
        <v>36281.88</v>
      </c>
      <c r="J3147">
        <v>18</v>
      </c>
      <c r="K3147">
        <v>0</v>
      </c>
      <c r="L3147">
        <v>0</v>
      </c>
      <c r="M3147">
        <v>4.1</v>
      </c>
      <c r="N3147" t="s">
        <v>46</v>
      </c>
      <c r="O3147" t="s">
        <v>47</v>
      </c>
      <c r="P3147" t="s">
        <v>58</v>
      </c>
      <c r="R3147">
        <f>SUMIF(A3147:A8146,"C03146",I3147:I8146)</f>
        <v>36281.88</v>
      </c>
      <c r="S3147" s="1">
        <v>10407.64</v>
      </c>
      <c r="T3147">
        <f t="shared" si="356"/>
        <v>2015.66</v>
      </c>
      <c r="U3147">
        <f t="shared" si="357"/>
        <v>73.8</v>
      </c>
      <c r="V3147">
        <f t="shared" si="355"/>
        <v>6.15</v>
      </c>
      <c r="W3147">
        <f t="shared" si="360"/>
        <v>15895.2433333333</v>
      </c>
      <c r="X3147">
        <f t="shared" si="358"/>
        <v>0.0719995439736557</v>
      </c>
      <c r="AH3147" t="str">
        <f t="shared" si="354"/>
        <v>2nd Quality</v>
      </c>
      <c r="AJ3147">
        <f>((T3147-X3147)*2)</f>
        <v>4031.17600091205</v>
      </c>
      <c r="AK3147">
        <f t="shared" si="359"/>
        <v>1654856.86</v>
      </c>
    </row>
    <row r="3148" spans="1:37">
      <c r="A3148" t="s">
        <v>3214</v>
      </c>
      <c r="B3148">
        <v>61</v>
      </c>
      <c r="C3148" t="s">
        <v>50</v>
      </c>
      <c r="D3148" t="s">
        <v>60</v>
      </c>
      <c r="E3148">
        <v>1212</v>
      </c>
      <c r="F3148">
        <v>94</v>
      </c>
      <c r="G3148">
        <v>3</v>
      </c>
      <c r="H3148">
        <v>1197.04</v>
      </c>
      <c r="I3148">
        <v>3175.07</v>
      </c>
      <c r="J3148">
        <v>30</v>
      </c>
      <c r="K3148">
        <v>0</v>
      </c>
      <c r="L3148">
        <v>30.8</v>
      </c>
      <c r="M3148">
        <v>34.3</v>
      </c>
      <c r="N3148" t="s">
        <v>57</v>
      </c>
      <c r="O3148" t="s">
        <v>47</v>
      </c>
      <c r="P3148" t="s">
        <v>66</v>
      </c>
      <c r="R3148">
        <f>SUMIF(A3148:A8147,"C03147",I3148:I8147)</f>
        <v>3175.07</v>
      </c>
      <c r="S3148" s="1">
        <v>103108.84</v>
      </c>
      <c r="T3148">
        <f t="shared" si="356"/>
        <v>105.835666666667</v>
      </c>
      <c r="U3148">
        <f t="shared" si="357"/>
        <v>1029</v>
      </c>
      <c r="V3148">
        <f t="shared" si="355"/>
        <v>85.75</v>
      </c>
      <c r="W3148">
        <f t="shared" si="360"/>
        <v>1457.70333333333</v>
      </c>
      <c r="X3148">
        <f t="shared" si="358"/>
        <v>1.01249749381808</v>
      </c>
      <c r="AH3148" t="str">
        <f t="shared" si="354"/>
        <v>3rd Quality</v>
      </c>
      <c r="AJ3148">
        <f>((T3148-X3148)*2)/30.8</f>
        <v>6.80669929693824</v>
      </c>
      <c r="AK3148">
        <f t="shared" si="359"/>
        <v>128272.828</v>
      </c>
    </row>
    <row r="3149" spans="1:37">
      <c r="A3149" t="s">
        <v>3215</v>
      </c>
      <c r="B3149">
        <v>24</v>
      </c>
      <c r="C3149" t="s">
        <v>50</v>
      </c>
      <c r="D3149" t="s">
        <v>45</v>
      </c>
      <c r="E3149">
        <v>1264</v>
      </c>
      <c r="F3149">
        <v>54</v>
      </c>
      <c r="G3149">
        <v>4</v>
      </c>
      <c r="H3149">
        <v>1488.02</v>
      </c>
      <c r="I3149">
        <v>6120.48</v>
      </c>
      <c r="J3149">
        <v>30</v>
      </c>
      <c r="K3149">
        <v>0</v>
      </c>
      <c r="L3149">
        <v>22.4</v>
      </c>
      <c r="M3149">
        <v>21.5</v>
      </c>
      <c r="N3149" t="s">
        <v>81</v>
      </c>
      <c r="O3149" t="s">
        <v>53</v>
      </c>
      <c r="P3149" t="s">
        <v>48</v>
      </c>
      <c r="R3149">
        <f>SUMIF(A3149:A8148,"C03148",I3149:I8148)</f>
        <v>6120.48</v>
      </c>
      <c r="S3149" s="1">
        <v>60630.88</v>
      </c>
      <c r="T3149">
        <f t="shared" si="356"/>
        <v>204.016</v>
      </c>
      <c r="U3149">
        <f t="shared" si="357"/>
        <v>645</v>
      </c>
      <c r="V3149">
        <f t="shared" si="355"/>
        <v>53.75</v>
      </c>
      <c r="W3149">
        <f t="shared" si="360"/>
        <v>2536.5</v>
      </c>
      <c r="X3149">
        <f t="shared" si="358"/>
        <v>0.849450948239943</v>
      </c>
      <c r="AH3149" t="str">
        <f t="shared" si="354"/>
        <v>3rd Quality</v>
      </c>
      <c r="AJ3149">
        <f>((T3149-X3149)*2)/22.4</f>
        <v>18.13987045105</v>
      </c>
      <c r="AK3149">
        <f t="shared" si="359"/>
        <v>257876.224</v>
      </c>
    </row>
    <row r="3150" spans="1:37">
      <c r="A3150" t="s">
        <v>3216</v>
      </c>
      <c r="B3150">
        <v>39</v>
      </c>
      <c r="C3150" t="s">
        <v>44</v>
      </c>
      <c r="D3150" t="s">
        <v>60</v>
      </c>
      <c r="E3150">
        <v>1021</v>
      </c>
      <c r="F3150">
        <v>65</v>
      </c>
      <c r="G3150">
        <v>7</v>
      </c>
      <c r="H3150">
        <v>1517.13</v>
      </c>
      <c r="I3150">
        <v>10407.64</v>
      </c>
      <c r="J3150">
        <v>28</v>
      </c>
      <c r="K3150">
        <v>1</v>
      </c>
      <c r="L3150">
        <v>25</v>
      </c>
      <c r="M3150">
        <v>13.3</v>
      </c>
      <c r="N3150" t="s">
        <v>57</v>
      </c>
      <c r="O3150" t="s">
        <v>53</v>
      </c>
      <c r="P3150" t="s">
        <v>48</v>
      </c>
      <c r="R3150">
        <f>SUMIF(A3150:A8149,"C03149",I3150:I8149)</f>
        <v>10407.64</v>
      </c>
      <c r="S3150" s="1">
        <v>38012.58</v>
      </c>
      <c r="T3150">
        <f t="shared" si="356"/>
        <v>371.701428571429</v>
      </c>
      <c r="U3150">
        <f t="shared" si="357"/>
        <v>372.4</v>
      </c>
      <c r="V3150">
        <f>U3150</f>
        <v>372.4</v>
      </c>
      <c r="W3150">
        <f t="shared" si="360"/>
        <v>3975.25666666667</v>
      </c>
      <c r="X3150">
        <f t="shared" si="358"/>
        <v>0.67298122112146</v>
      </c>
      <c r="AH3150" t="str">
        <f t="shared" ref="AH3150:AH3213" si="361">IF(AND(W3150&gt;=12550,B3150&lt;=33,E3150&gt;=915),"1st Quality",IF(AND(W3150&gt;=6275,B3150&lt;=43,E3150&gt;=457),"2nd Quality","3rd Quality"))</f>
        <v>3rd Quality</v>
      </c>
      <c r="AJ3150">
        <f>((T3150-X3150)*2)/25</f>
        <v>29.6822757880246</v>
      </c>
      <c r="AK3150">
        <f t="shared" si="359"/>
        <v>379507.158571429</v>
      </c>
    </row>
    <row r="3151" spans="1:37">
      <c r="A3151" t="s">
        <v>3217</v>
      </c>
      <c r="B3151">
        <v>38</v>
      </c>
      <c r="C3151" t="s">
        <v>44</v>
      </c>
      <c r="D3151" t="s">
        <v>51</v>
      </c>
      <c r="E3151">
        <v>658</v>
      </c>
      <c r="F3151">
        <v>3</v>
      </c>
      <c r="G3151">
        <v>31</v>
      </c>
      <c r="H3151">
        <v>3044.67</v>
      </c>
      <c r="I3151">
        <v>103108.84</v>
      </c>
      <c r="J3151">
        <v>187</v>
      </c>
      <c r="K3151">
        <v>2</v>
      </c>
      <c r="L3151">
        <v>4.9</v>
      </c>
      <c r="M3151">
        <v>38.4</v>
      </c>
      <c r="N3151" t="s">
        <v>52</v>
      </c>
      <c r="O3151" t="s">
        <v>47</v>
      </c>
      <c r="P3151" t="s">
        <v>54</v>
      </c>
      <c r="R3151">
        <f>SUMIF(A3151:A8150,"C03150",I3151:I8150)</f>
        <v>103108.84</v>
      </c>
      <c r="S3151" s="1">
        <v>17169.24</v>
      </c>
      <c r="T3151">
        <f t="shared" si="356"/>
        <v>551.384171122995</v>
      </c>
      <c r="U3151">
        <f t="shared" si="357"/>
        <v>7180.8</v>
      </c>
      <c r="V3151">
        <f>U3151</f>
        <v>7180.8</v>
      </c>
      <c r="W3151">
        <f t="shared" si="360"/>
        <v>35384.8366666667</v>
      </c>
      <c r="X3151">
        <f t="shared" si="358"/>
        <v>0.216115375393721</v>
      </c>
      <c r="AH3151" t="str">
        <f t="shared" si="361"/>
        <v>2nd Quality</v>
      </c>
      <c r="AJ3151">
        <f>((T3151-X3151)*2)/4.9</f>
        <v>224.966553366368</v>
      </c>
      <c r="AK3151">
        <f t="shared" si="359"/>
        <v>362810.78459893</v>
      </c>
    </row>
    <row r="3152" spans="1:37">
      <c r="A3152" t="s">
        <v>3218</v>
      </c>
      <c r="B3152">
        <v>27</v>
      </c>
      <c r="C3152" t="s">
        <v>50</v>
      </c>
      <c r="D3152" t="s">
        <v>45</v>
      </c>
      <c r="E3152">
        <v>1446</v>
      </c>
      <c r="F3152">
        <v>11</v>
      </c>
      <c r="G3152">
        <v>22</v>
      </c>
      <c r="H3152">
        <v>2490.7</v>
      </c>
      <c r="I3152">
        <v>60630.88</v>
      </c>
      <c r="J3152">
        <v>94</v>
      </c>
      <c r="K3152">
        <v>3</v>
      </c>
      <c r="L3152">
        <v>9.3</v>
      </c>
      <c r="M3152">
        <v>24.5</v>
      </c>
      <c r="N3152" t="s">
        <v>81</v>
      </c>
      <c r="O3152" t="s">
        <v>47</v>
      </c>
      <c r="P3152" t="s">
        <v>68</v>
      </c>
      <c r="R3152">
        <f>SUMIF(A3152:A8151,"C03151",I3152:I8151)</f>
        <v>60630.88</v>
      </c>
      <c r="S3152" s="1">
        <v>135630.85</v>
      </c>
      <c r="T3152">
        <f t="shared" si="356"/>
        <v>645.009361702128</v>
      </c>
      <c r="U3152">
        <f t="shared" si="357"/>
        <v>2303</v>
      </c>
      <c r="V3152">
        <f>U3152</f>
        <v>2303</v>
      </c>
      <c r="W3152">
        <f t="shared" si="360"/>
        <v>21040.86</v>
      </c>
      <c r="X3152">
        <f t="shared" si="358"/>
        <v>0.580559682017104</v>
      </c>
      <c r="AH3152" t="str">
        <f t="shared" si="361"/>
        <v>1st Quality</v>
      </c>
      <c r="AJ3152">
        <f>((T3152-X3152)*2)/9.3</f>
        <v>138.58683914411</v>
      </c>
      <c r="AK3152">
        <f t="shared" si="359"/>
        <v>932683.537021277</v>
      </c>
    </row>
    <row r="3153" spans="1:37">
      <c r="A3153" t="s">
        <v>3219</v>
      </c>
      <c r="B3153">
        <v>39</v>
      </c>
      <c r="C3153" t="s">
        <v>50</v>
      </c>
      <c r="D3153" t="s">
        <v>60</v>
      </c>
      <c r="E3153">
        <v>1060</v>
      </c>
      <c r="F3153">
        <v>47</v>
      </c>
      <c r="G3153">
        <v>6</v>
      </c>
      <c r="H3153">
        <v>6210.6</v>
      </c>
      <c r="I3153">
        <v>38012.58</v>
      </c>
      <c r="J3153">
        <v>18</v>
      </c>
      <c r="K3153">
        <v>2</v>
      </c>
      <c r="L3153">
        <v>10.2</v>
      </c>
      <c r="M3153">
        <v>52.2</v>
      </c>
      <c r="N3153" t="s">
        <v>61</v>
      </c>
      <c r="O3153" t="s">
        <v>47</v>
      </c>
      <c r="P3153" t="s">
        <v>58</v>
      </c>
      <c r="R3153">
        <f>SUMIF(A3153:A8152,"C03152",I3153:I8152)</f>
        <v>38012.58</v>
      </c>
      <c r="S3153" s="1">
        <v>56138.21</v>
      </c>
      <c r="T3153">
        <f t="shared" si="356"/>
        <v>2111.81</v>
      </c>
      <c r="U3153">
        <f t="shared" si="357"/>
        <v>939.6</v>
      </c>
      <c r="V3153">
        <f>U3153</f>
        <v>939.6</v>
      </c>
      <c r="W3153">
        <f t="shared" si="360"/>
        <v>14741.3933333333</v>
      </c>
      <c r="X3153">
        <f t="shared" si="358"/>
        <v>0.170675941132902</v>
      </c>
      <c r="AH3153" t="str">
        <f t="shared" si="361"/>
        <v>2nd Quality</v>
      </c>
      <c r="AJ3153">
        <f>((T3153-X3153)*2)/10.2</f>
        <v>414.046926286052</v>
      </c>
      <c r="AK3153">
        <f t="shared" si="359"/>
        <v>2238518.6</v>
      </c>
    </row>
    <row r="3154" spans="1:37">
      <c r="A3154" t="s">
        <v>3220</v>
      </c>
      <c r="B3154">
        <v>18</v>
      </c>
      <c r="C3154" t="s">
        <v>56</v>
      </c>
      <c r="D3154" t="s">
        <v>45</v>
      </c>
      <c r="E3154">
        <v>1127</v>
      </c>
      <c r="F3154">
        <v>8</v>
      </c>
      <c r="G3154">
        <v>16</v>
      </c>
      <c r="H3154">
        <v>1099.57</v>
      </c>
      <c r="I3154">
        <v>17169.24</v>
      </c>
      <c r="J3154">
        <v>67</v>
      </c>
      <c r="K3154">
        <v>0</v>
      </c>
      <c r="L3154">
        <v>19.8</v>
      </c>
      <c r="M3154">
        <v>59.4</v>
      </c>
      <c r="N3154" t="s">
        <v>78</v>
      </c>
      <c r="O3154" t="s">
        <v>47</v>
      </c>
      <c r="P3154" t="s">
        <v>48</v>
      </c>
      <c r="R3154">
        <f>SUMIF(A3154:A8153,"C03153",I3154:I8153)</f>
        <v>17169.24</v>
      </c>
      <c r="S3154" s="1">
        <v>7580.26</v>
      </c>
      <c r="T3154">
        <f t="shared" si="356"/>
        <v>256.257313432836</v>
      </c>
      <c r="U3154">
        <f t="shared" si="357"/>
        <v>3979.8</v>
      </c>
      <c r="V3154">
        <f t="shared" ref="V3154:V3217" si="362">U3154/12</f>
        <v>331.65</v>
      </c>
      <c r="W3154">
        <f t="shared" si="360"/>
        <v>6089.93666666667</v>
      </c>
      <c r="X3154">
        <f t="shared" si="358"/>
        <v>1.02494611529962</v>
      </c>
      <c r="AH3154" t="str">
        <f t="shared" si="361"/>
        <v>3rd Quality</v>
      </c>
      <c r="AJ3154">
        <f>((T3154-X3154)*2)/19.8</f>
        <v>25.7810472037916</v>
      </c>
      <c r="AK3154">
        <f t="shared" si="359"/>
        <v>288801.992238806</v>
      </c>
    </row>
    <row r="3155" spans="1:37">
      <c r="A3155" t="s">
        <v>3221</v>
      </c>
      <c r="B3155">
        <v>54</v>
      </c>
      <c r="C3155" t="s">
        <v>50</v>
      </c>
      <c r="D3155" t="s">
        <v>60</v>
      </c>
      <c r="E3155">
        <v>1459</v>
      </c>
      <c r="F3155">
        <v>15</v>
      </c>
      <c r="G3155">
        <v>32</v>
      </c>
      <c r="H3155">
        <v>3835.24</v>
      </c>
      <c r="I3155">
        <v>135630.85</v>
      </c>
      <c r="J3155">
        <v>231</v>
      </c>
      <c r="K3155">
        <v>2</v>
      </c>
      <c r="L3155">
        <v>7.5</v>
      </c>
      <c r="M3155">
        <v>37.6</v>
      </c>
      <c r="N3155" t="s">
        <v>61</v>
      </c>
      <c r="O3155" t="s">
        <v>47</v>
      </c>
      <c r="P3155" t="s">
        <v>58</v>
      </c>
      <c r="R3155">
        <f>SUMIF(A3155:A8154,"C03154",I3155:I8154)</f>
        <v>135630.85</v>
      </c>
      <c r="S3155" s="1">
        <v>107033.56</v>
      </c>
      <c r="T3155">
        <f t="shared" si="356"/>
        <v>587.146536796537</v>
      </c>
      <c r="U3155">
        <f t="shared" si="357"/>
        <v>8685.6</v>
      </c>
      <c r="V3155">
        <f>U3155</f>
        <v>8685.6</v>
      </c>
      <c r="W3155">
        <f t="shared" si="360"/>
        <v>46489.03</v>
      </c>
      <c r="X3155">
        <f t="shared" si="358"/>
        <v>0.380419478311657</v>
      </c>
      <c r="AH3155" t="str">
        <f t="shared" si="361"/>
        <v>3rd Quality</v>
      </c>
      <c r="AJ3155">
        <f>((T3155-X3155)*2)/7.5</f>
        <v>156.470964618193</v>
      </c>
      <c r="AK3155">
        <f t="shared" si="359"/>
        <v>856646.797186147</v>
      </c>
    </row>
    <row r="3156" spans="1:37">
      <c r="A3156" t="s">
        <v>3222</v>
      </c>
      <c r="B3156">
        <v>27</v>
      </c>
      <c r="C3156" t="s">
        <v>50</v>
      </c>
      <c r="D3156" t="s">
        <v>60</v>
      </c>
      <c r="E3156">
        <v>1036</v>
      </c>
      <c r="F3156">
        <v>12</v>
      </c>
      <c r="G3156">
        <v>31</v>
      </c>
      <c r="H3156">
        <v>1916.81</v>
      </c>
      <c r="I3156">
        <v>56138.21</v>
      </c>
      <c r="J3156">
        <v>223</v>
      </c>
      <c r="K3156">
        <v>2</v>
      </c>
      <c r="L3156">
        <v>9.8</v>
      </c>
      <c r="M3156">
        <v>20</v>
      </c>
      <c r="N3156" t="s">
        <v>61</v>
      </c>
      <c r="O3156" t="s">
        <v>75</v>
      </c>
      <c r="P3156" t="s">
        <v>58</v>
      </c>
      <c r="R3156">
        <f>SUMIF(A3156:A8155,"C03155",I3156:I8155)</f>
        <v>56138.21</v>
      </c>
      <c r="S3156" s="1">
        <v>36718.71</v>
      </c>
      <c r="T3156">
        <f t="shared" si="356"/>
        <v>251.740852017937</v>
      </c>
      <c r="U3156">
        <f t="shared" si="357"/>
        <v>4460</v>
      </c>
      <c r="V3156">
        <f>U3156</f>
        <v>4460</v>
      </c>
      <c r="W3156">
        <f t="shared" si="360"/>
        <v>19352.0066666667</v>
      </c>
      <c r="X3156">
        <f t="shared" si="358"/>
        <v>0.540481320527334</v>
      </c>
      <c r="AH3156" t="str">
        <f t="shared" si="361"/>
        <v>1st Quality</v>
      </c>
      <c r="AJ3156">
        <f>((T3156-X3156)*2)/9.8</f>
        <v>51.2653817749816</v>
      </c>
      <c r="AK3156">
        <f t="shared" si="359"/>
        <v>260803.522690583</v>
      </c>
    </row>
    <row r="3157" spans="1:37">
      <c r="A3157" t="s">
        <v>3223</v>
      </c>
      <c r="B3157">
        <v>21</v>
      </c>
      <c r="C3157" t="s">
        <v>101</v>
      </c>
      <c r="D3157" t="s">
        <v>60</v>
      </c>
      <c r="E3157">
        <v>1023</v>
      </c>
      <c r="F3157">
        <v>51</v>
      </c>
      <c r="G3157">
        <v>8</v>
      </c>
      <c r="H3157">
        <v>949.23</v>
      </c>
      <c r="I3157">
        <v>7580.26</v>
      </c>
      <c r="J3157">
        <v>71</v>
      </c>
      <c r="K3157">
        <v>0</v>
      </c>
      <c r="L3157">
        <v>16.8</v>
      </c>
      <c r="M3157">
        <v>30.3</v>
      </c>
      <c r="N3157" t="s">
        <v>81</v>
      </c>
      <c r="O3157" t="s">
        <v>75</v>
      </c>
      <c r="P3157" t="s">
        <v>66</v>
      </c>
      <c r="R3157">
        <f>SUMIF(A3157:A8156,"C03156",I3157:I8156)</f>
        <v>7580.26</v>
      </c>
      <c r="S3157" s="1">
        <v>6425.37</v>
      </c>
      <c r="T3157">
        <f t="shared" si="356"/>
        <v>106.764225352113</v>
      </c>
      <c r="U3157">
        <f t="shared" si="357"/>
        <v>2151.3</v>
      </c>
      <c r="V3157">
        <f t="shared" si="362"/>
        <v>179.275</v>
      </c>
      <c r="W3157">
        <f t="shared" si="360"/>
        <v>2843.49666666667</v>
      </c>
      <c r="X3157">
        <f t="shared" si="358"/>
        <v>1.07771562213584</v>
      </c>
      <c r="AH3157" t="str">
        <f t="shared" si="361"/>
        <v>3rd Quality</v>
      </c>
      <c r="AJ3157">
        <f>((T3157-X3157)*2)/16.8</f>
        <v>12.5817273488068</v>
      </c>
      <c r="AK3157">
        <f t="shared" si="359"/>
        <v>109219.802535211</v>
      </c>
    </row>
    <row r="3158" spans="1:37">
      <c r="A3158" t="s">
        <v>3224</v>
      </c>
      <c r="B3158">
        <v>23</v>
      </c>
      <c r="C3158" t="s">
        <v>44</v>
      </c>
      <c r="D3158" t="s">
        <v>60</v>
      </c>
      <c r="E3158">
        <v>1274</v>
      </c>
      <c r="F3158">
        <v>20</v>
      </c>
      <c r="G3158">
        <v>28</v>
      </c>
      <c r="H3158">
        <v>3962.3</v>
      </c>
      <c r="I3158">
        <v>107033.56</v>
      </c>
      <c r="J3158">
        <v>230</v>
      </c>
      <c r="K3158">
        <v>4</v>
      </c>
      <c r="L3158">
        <v>4.9</v>
      </c>
      <c r="M3158">
        <v>27.5</v>
      </c>
      <c r="N3158" t="s">
        <v>57</v>
      </c>
      <c r="O3158" t="s">
        <v>47</v>
      </c>
      <c r="P3158" t="s">
        <v>68</v>
      </c>
      <c r="R3158">
        <f>SUMIF(A3158:A8157,"C03157",I3158:I8157)</f>
        <v>107033.56</v>
      </c>
      <c r="S3158" s="1">
        <v>11176.6</v>
      </c>
      <c r="T3158">
        <f t="shared" ref="T3158:T3221" si="363">I3158/J3158</f>
        <v>465.363304347826</v>
      </c>
      <c r="U3158">
        <f t="shared" si="357"/>
        <v>6325</v>
      </c>
      <c r="V3158">
        <f>U3158</f>
        <v>6325</v>
      </c>
      <c r="W3158">
        <f t="shared" si="360"/>
        <v>36998.9533333333</v>
      </c>
      <c r="X3158">
        <f t="shared" si="358"/>
        <v>0.321530424248543</v>
      </c>
      <c r="AH3158" t="str">
        <f t="shared" si="361"/>
        <v>1st Quality</v>
      </c>
      <c r="AJ3158">
        <f>((T3158-X3158)*2)/4.9</f>
        <v>189.812968948399</v>
      </c>
      <c r="AK3158">
        <f t="shared" si="359"/>
        <v>592872.84973913</v>
      </c>
    </row>
    <row r="3159" spans="1:37">
      <c r="A3159" t="s">
        <v>3225</v>
      </c>
      <c r="B3159">
        <v>18</v>
      </c>
      <c r="C3159" t="s">
        <v>50</v>
      </c>
      <c r="D3159" t="s">
        <v>45</v>
      </c>
      <c r="E3159">
        <v>523</v>
      </c>
      <c r="F3159">
        <v>5</v>
      </c>
      <c r="G3159">
        <v>16</v>
      </c>
      <c r="H3159">
        <v>2502.99</v>
      </c>
      <c r="I3159">
        <v>36718.71</v>
      </c>
      <c r="J3159">
        <v>89</v>
      </c>
      <c r="K3159">
        <v>1</v>
      </c>
      <c r="L3159">
        <v>5.7</v>
      </c>
      <c r="M3159">
        <v>10.7</v>
      </c>
      <c r="N3159" t="s">
        <v>78</v>
      </c>
      <c r="O3159" t="s">
        <v>47</v>
      </c>
      <c r="P3159" t="s">
        <v>54</v>
      </c>
      <c r="R3159">
        <f>SUMIF(A3159:A8158,"C03158",I3159:I8158)</f>
        <v>36718.71</v>
      </c>
      <c r="S3159" s="1">
        <v>4061.77</v>
      </c>
      <c r="T3159">
        <f t="shared" si="363"/>
        <v>412.569775280899</v>
      </c>
      <c r="U3159">
        <f t="shared" si="357"/>
        <v>952.3</v>
      </c>
      <c r="V3159">
        <f>U3159</f>
        <v>952.3</v>
      </c>
      <c r="W3159">
        <f t="shared" si="360"/>
        <v>13074.2333333333</v>
      </c>
      <c r="X3159">
        <f t="shared" si="358"/>
        <v>0.20895009568556</v>
      </c>
      <c r="AH3159" t="str">
        <f t="shared" si="361"/>
        <v>2nd Quality</v>
      </c>
      <c r="AJ3159">
        <f>((T3159-X3159)*2)/5.7</f>
        <v>144.688008836917</v>
      </c>
      <c r="AK3159">
        <f t="shared" si="359"/>
        <v>215773.99247191</v>
      </c>
    </row>
    <row r="3160" spans="1:37">
      <c r="A3160" t="s">
        <v>3226</v>
      </c>
      <c r="B3160">
        <v>31</v>
      </c>
      <c r="C3160" t="s">
        <v>50</v>
      </c>
      <c r="D3160" t="s">
        <v>51</v>
      </c>
      <c r="E3160">
        <v>1420</v>
      </c>
      <c r="F3160">
        <v>365</v>
      </c>
      <c r="G3160">
        <v>3</v>
      </c>
      <c r="H3160">
        <v>1956.63</v>
      </c>
      <c r="I3160">
        <v>6425.37</v>
      </c>
      <c r="J3160">
        <v>22</v>
      </c>
      <c r="K3160">
        <v>0</v>
      </c>
      <c r="L3160">
        <v>19</v>
      </c>
      <c r="M3160">
        <v>37.6</v>
      </c>
      <c r="N3160" t="s">
        <v>78</v>
      </c>
      <c r="O3160" t="s">
        <v>75</v>
      </c>
      <c r="P3160" t="s">
        <v>68</v>
      </c>
      <c r="R3160">
        <f>SUMIF(A3160:A8159,"C03159",I3160:I8159)</f>
        <v>6425.37</v>
      </c>
      <c r="S3160" s="1">
        <v>1344.88</v>
      </c>
      <c r="T3160">
        <f t="shared" si="363"/>
        <v>292.062272727273</v>
      </c>
      <c r="U3160">
        <f t="shared" si="357"/>
        <v>827.2</v>
      </c>
      <c r="V3160">
        <f t="shared" si="362"/>
        <v>68.9333333333333</v>
      </c>
      <c r="W3160">
        <f t="shared" si="360"/>
        <v>2794.33333333333</v>
      </c>
      <c r="X3160">
        <f t="shared" si="358"/>
        <v>0.725737620296121</v>
      </c>
      <c r="AH3160" t="str">
        <f t="shared" si="361"/>
        <v>3rd Quality</v>
      </c>
      <c r="AJ3160">
        <f>((T3160-X3160)*2)/19</f>
        <v>30.6670036954713</v>
      </c>
      <c r="AK3160">
        <f t="shared" si="359"/>
        <v>414728.427272727</v>
      </c>
    </row>
    <row r="3161" spans="1:37">
      <c r="A3161" t="s">
        <v>3227</v>
      </c>
      <c r="B3161">
        <v>39</v>
      </c>
      <c r="C3161" t="s">
        <v>50</v>
      </c>
      <c r="D3161" t="s">
        <v>60</v>
      </c>
      <c r="E3161">
        <v>679</v>
      </c>
      <c r="F3161">
        <v>72</v>
      </c>
      <c r="G3161">
        <v>12</v>
      </c>
      <c r="H3161">
        <v>990.71</v>
      </c>
      <c r="I3161">
        <v>11176.6</v>
      </c>
      <c r="J3161">
        <v>45</v>
      </c>
      <c r="K3161">
        <v>0</v>
      </c>
      <c r="L3161">
        <v>33.3</v>
      </c>
      <c r="M3161">
        <v>29.8</v>
      </c>
      <c r="N3161" t="s">
        <v>78</v>
      </c>
      <c r="O3161" t="s">
        <v>47</v>
      </c>
      <c r="P3161" t="s">
        <v>66</v>
      </c>
      <c r="R3161">
        <f>SUMIF(A3161:A8160,"C03160",I3161:I8160)</f>
        <v>11176.6</v>
      </c>
      <c r="S3161" s="1">
        <v>32310.54</v>
      </c>
      <c r="T3161">
        <f t="shared" si="363"/>
        <v>248.368888888889</v>
      </c>
      <c r="U3161">
        <f t="shared" si="357"/>
        <v>1341</v>
      </c>
      <c r="V3161">
        <f t="shared" si="362"/>
        <v>111.75</v>
      </c>
      <c r="W3161">
        <f t="shared" si="360"/>
        <v>4056.10333333333</v>
      </c>
      <c r="X3161">
        <f t="shared" si="358"/>
        <v>0.685367059987282</v>
      </c>
      <c r="AH3161" t="str">
        <f t="shared" si="361"/>
        <v>3rd Quality</v>
      </c>
      <c r="AJ3161">
        <f>((T3161-X3161)*2)/33.3</f>
        <v>14.875887196931</v>
      </c>
      <c r="AK3161">
        <f t="shared" si="359"/>
        <v>168642.475555556</v>
      </c>
    </row>
    <row r="3162" spans="1:37">
      <c r="A3162" t="s">
        <v>3228</v>
      </c>
      <c r="B3162">
        <v>27</v>
      </c>
      <c r="C3162" t="s">
        <v>50</v>
      </c>
      <c r="D3162" t="s">
        <v>45</v>
      </c>
      <c r="E3162">
        <v>1427</v>
      </c>
      <c r="F3162">
        <v>54</v>
      </c>
      <c r="G3162">
        <v>2</v>
      </c>
      <c r="H3162">
        <v>1896.46</v>
      </c>
      <c r="I3162">
        <v>4061.77</v>
      </c>
      <c r="J3162">
        <v>25</v>
      </c>
      <c r="K3162">
        <v>1</v>
      </c>
      <c r="L3162">
        <v>8.3</v>
      </c>
      <c r="M3162">
        <v>18.9</v>
      </c>
      <c r="N3162" t="s">
        <v>57</v>
      </c>
      <c r="O3162" t="s">
        <v>47</v>
      </c>
      <c r="P3162" t="s">
        <v>58</v>
      </c>
      <c r="R3162">
        <f>SUMIF(A3162:A8161,"C03161",I3162:I8161)</f>
        <v>4061.77</v>
      </c>
      <c r="S3162" s="1">
        <v>4430.42</v>
      </c>
      <c r="T3162">
        <f t="shared" si="363"/>
        <v>162.4708</v>
      </c>
      <c r="U3162">
        <f t="shared" si="357"/>
        <v>472.5</v>
      </c>
      <c r="V3162">
        <f>U3162</f>
        <v>472.5</v>
      </c>
      <c r="W3162">
        <f t="shared" si="360"/>
        <v>1986.41</v>
      </c>
      <c r="X3162">
        <f t="shared" si="358"/>
        <v>0.752454573257543</v>
      </c>
      <c r="AH3162" t="str">
        <f t="shared" si="361"/>
        <v>3rd Quality</v>
      </c>
      <c r="AJ3162">
        <f>((T3162-X3162)*2)/8.3</f>
        <v>38.968276006444</v>
      </c>
      <c r="AK3162">
        <f t="shared" si="359"/>
        <v>231845.8316</v>
      </c>
    </row>
    <row r="3163" spans="1:37">
      <c r="A3163" t="s">
        <v>3229</v>
      </c>
      <c r="B3163">
        <v>29</v>
      </c>
      <c r="C3163" t="s">
        <v>44</v>
      </c>
      <c r="D3163" t="s">
        <v>60</v>
      </c>
      <c r="E3163">
        <v>953</v>
      </c>
      <c r="F3163">
        <v>211</v>
      </c>
      <c r="G3163">
        <v>1</v>
      </c>
      <c r="H3163">
        <v>1267.84</v>
      </c>
      <c r="I3163">
        <v>1344.88</v>
      </c>
      <c r="J3163">
        <v>10</v>
      </c>
      <c r="K3163">
        <v>0</v>
      </c>
      <c r="L3163">
        <v>18.7</v>
      </c>
      <c r="M3163">
        <v>47.2</v>
      </c>
      <c r="N3163" t="s">
        <v>63</v>
      </c>
      <c r="O3163" t="s">
        <v>75</v>
      </c>
      <c r="P3163" t="s">
        <v>58</v>
      </c>
      <c r="R3163">
        <f>SUMIF(A3163:A8162,"C03162",I3163:I8162)</f>
        <v>1344.88</v>
      </c>
      <c r="S3163" s="1">
        <v>21355.93</v>
      </c>
      <c r="T3163">
        <f t="shared" si="363"/>
        <v>134.488</v>
      </c>
      <c r="U3163">
        <f t="shared" si="357"/>
        <v>472</v>
      </c>
      <c r="V3163">
        <f t="shared" si="362"/>
        <v>39.3333333333333</v>
      </c>
      <c r="W3163">
        <f t="shared" si="360"/>
        <v>871.24</v>
      </c>
      <c r="X3163">
        <f t="shared" si="358"/>
        <v>0.751672135285209</v>
      </c>
      <c r="AH3163" t="str">
        <f t="shared" si="361"/>
        <v>3rd Quality</v>
      </c>
      <c r="AJ3163">
        <f>((T3163-X3163)*2)/18.7</f>
        <v>14.3033505737663</v>
      </c>
      <c r="AK3163">
        <f t="shared" si="359"/>
        <v>128167.064</v>
      </c>
    </row>
    <row r="3164" spans="1:37">
      <c r="A3164" t="s">
        <v>3230</v>
      </c>
      <c r="B3164">
        <v>49</v>
      </c>
      <c r="C3164" t="s">
        <v>50</v>
      </c>
      <c r="D3164" t="s">
        <v>45</v>
      </c>
      <c r="E3164">
        <v>1330</v>
      </c>
      <c r="F3164">
        <v>10</v>
      </c>
      <c r="G3164">
        <v>20</v>
      </c>
      <c r="H3164">
        <v>1553.33</v>
      </c>
      <c r="I3164">
        <v>32310.54</v>
      </c>
      <c r="J3164">
        <v>166</v>
      </c>
      <c r="K3164">
        <v>4</v>
      </c>
      <c r="L3164">
        <v>7.4</v>
      </c>
      <c r="M3164">
        <v>35.7</v>
      </c>
      <c r="N3164" t="s">
        <v>81</v>
      </c>
      <c r="O3164" t="s">
        <v>75</v>
      </c>
      <c r="P3164" t="s">
        <v>66</v>
      </c>
      <c r="R3164">
        <f>SUMIF(A3164:A8163,"C03163",I3164:I8163)</f>
        <v>32310.54</v>
      </c>
      <c r="S3164" s="1">
        <v>1705.2</v>
      </c>
      <c r="T3164">
        <f t="shared" si="363"/>
        <v>194.641807228916</v>
      </c>
      <c r="U3164">
        <f t="shared" si="357"/>
        <v>5926.2</v>
      </c>
      <c r="V3164">
        <f>U3164</f>
        <v>5926.2</v>
      </c>
      <c r="W3164">
        <f t="shared" si="360"/>
        <v>11288.29</v>
      </c>
      <c r="X3164">
        <f t="shared" si="358"/>
        <v>0.856225013358398</v>
      </c>
      <c r="AH3164" t="str">
        <f t="shared" si="361"/>
        <v>3rd Quality</v>
      </c>
      <c r="AJ3164">
        <f>((T3164-X3164)*2)/7.4</f>
        <v>52.3744816798804</v>
      </c>
      <c r="AK3164">
        <f t="shared" si="359"/>
        <v>258873.603614458</v>
      </c>
    </row>
    <row r="3165" spans="1:37">
      <c r="A3165" t="s">
        <v>3231</v>
      </c>
      <c r="B3165">
        <v>29</v>
      </c>
      <c r="C3165" t="s">
        <v>50</v>
      </c>
      <c r="D3165" t="s">
        <v>60</v>
      </c>
      <c r="E3165">
        <v>721</v>
      </c>
      <c r="F3165">
        <v>197</v>
      </c>
      <c r="G3165">
        <v>4</v>
      </c>
      <c r="H3165">
        <v>1222.31</v>
      </c>
      <c r="I3165">
        <v>4430.42</v>
      </c>
      <c r="J3165">
        <v>20</v>
      </c>
      <c r="K3165">
        <v>1</v>
      </c>
      <c r="L3165">
        <v>27.8</v>
      </c>
      <c r="M3165">
        <v>60</v>
      </c>
      <c r="N3165" t="s">
        <v>78</v>
      </c>
      <c r="O3165" t="s">
        <v>47</v>
      </c>
      <c r="P3165" t="s">
        <v>48</v>
      </c>
      <c r="R3165">
        <f>SUMIF(A3165:A8164,"C03164",I3165:I8164)</f>
        <v>4430.42</v>
      </c>
      <c r="S3165" s="1">
        <v>52396.95</v>
      </c>
      <c r="T3165">
        <f t="shared" si="363"/>
        <v>221.521</v>
      </c>
      <c r="U3165">
        <f t="shared" si="357"/>
        <v>1200</v>
      </c>
      <c r="V3165">
        <f>U3165</f>
        <v>1200</v>
      </c>
      <c r="W3165">
        <f t="shared" si="360"/>
        <v>1884.57666666667</v>
      </c>
      <c r="X3165">
        <f t="shared" si="358"/>
        <v>0.589866727753189</v>
      </c>
      <c r="AH3165" t="str">
        <f t="shared" si="361"/>
        <v>3rd Quality</v>
      </c>
      <c r="AJ3165">
        <f>((T3165-X3165)*2)/27.8</f>
        <v>15.894326134694</v>
      </c>
      <c r="AK3165">
        <f t="shared" si="359"/>
        <v>159716.641</v>
      </c>
    </row>
    <row r="3166" spans="1:37">
      <c r="A3166" t="s">
        <v>3232</v>
      </c>
      <c r="B3166">
        <v>40</v>
      </c>
      <c r="C3166" t="s">
        <v>50</v>
      </c>
      <c r="D3166" t="s">
        <v>60</v>
      </c>
      <c r="E3166">
        <v>1197</v>
      </c>
      <c r="F3166">
        <v>123</v>
      </c>
      <c r="G3166">
        <v>3</v>
      </c>
      <c r="H3166">
        <v>7292.54</v>
      </c>
      <c r="I3166">
        <v>21355.93</v>
      </c>
      <c r="J3166">
        <v>31</v>
      </c>
      <c r="K3166">
        <v>0</v>
      </c>
      <c r="L3166">
        <v>2.6</v>
      </c>
      <c r="M3166">
        <v>16.2</v>
      </c>
      <c r="N3166" t="s">
        <v>78</v>
      </c>
      <c r="O3166" t="s">
        <v>75</v>
      </c>
      <c r="P3166" t="s">
        <v>48</v>
      </c>
      <c r="R3166">
        <f>SUMIF(A3166:A8165,"C03165",I3166:I8165)</f>
        <v>21355.93</v>
      </c>
      <c r="S3166" s="1">
        <v>52237.28</v>
      </c>
      <c r="T3166">
        <f t="shared" si="363"/>
        <v>688.900967741935</v>
      </c>
      <c r="U3166">
        <f t="shared" si="357"/>
        <v>502.2</v>
      </c>
      <c r="V3166">
        <f t="shared" si="362"/>
        <v>41.85</v>
      </c>
      <c r="W3166">
        <f t="shared" si="360"/>
        <v>9549.82333333333</v>
      </c>
      <c r="X3166">
        <f t="shared" si="358"/>
        <v>0.164140340676911</v>
      </c>
      <c r="AH3166" t="str">
        <f t="shared" si="361"/>
        <v>2nd Quality</v>
      </c>
      <c r="AJ3166">
        <f>((T3166-X3166)*2)/2.6</f>
        <v>529.797559539429</v>
      </c>
      <c r="AK3166">
        <f t="shared" si="359"/>
        <v>824614.458387097</v>
      </c>
    </row>
    <row r="3167" spans="1:37">
      <c r="A3167" t="s">
        <v>3233</v>
      </c>
      <c r="B3167">
        <v>18</v>
      </c>
      <c r="C3167" t="s">
        <v>50</v>
      </c>
      <c r="D3167" t="s">
        <v>45</v>
      </c>
      <c r="E3167">
        <v>933</v>
      </c>
      <c r="F3167">
        <v>136</v>
      </c>
      <c r="G3167">
        <v>2</v>
      </c>
      <c r="H3167">
        <v>773.37</v>
      </c>
      <c r="I3167">
        <v>1705.2</v>
      </c>
      <c r="J3167">
        <v>8</v>
      </c>
      <c r="K3167">
        <v>0</v>
      </c>
      <c r="L3167">
        <v>37</v>
      </c>
      <c r="M3167">
        <v>37.9</v>
      </c>
      <c r="N3167" t="s">
        <v>57</v>
      </c>
      <c r="O3167" t="s">
        <v>75</v>
      </c>
      <c r="P3167" t="s">
        <v>66</v>
      </c>
      <c r="R3167">
        <f>SUMIF(A3167:A8166,"C03166",I3167:I8166)</f>
        <v>1705.2</v>
      </c>
      <c r="S3167" s="1">
        <v>99541.38</v>
      </c>
      <c r="T3167">
        <f t="shared" si="363"/>
        <v>213.15</v>
      </c>
      <c r="U3167">
        <f t="shared" si="357"/>
        <v>303.2</v>
      </c>
      <c r="V3167">
        <f t="shared" si="362"/>
        <v>25.2666666666667</v>
      </c>
      <c r="W3167">
        <f t="shared" si="360"/>
        <v>826.523333333333</v>
      </c>
      <c r="X3167">
        <f t="shared" si="358"/>
        <v>1.20640831684705</v>
      </c>
      <c r="AH3167" t="str">
        <f t="shared" si="361"/>
        <v>3rd Quality</v>
      </c>
      <c r="AJ3167">
        <f>((T3167-X3167)*2)/37</f>
        <v>11.4564103612515</v>
      </c>
      <c r="AK3167">
        <f t="shared" si="359"/>
        <v>198868.95</v>
      </c>
    </row>
    <row r="3168" spans="1:37">
      <c r="A3168" t="s">
        <v>3234</v>
      </c>
      <c r="B3168">
        <v>39</v>
      </c>
      <c r="C3168" t="s">
        <v>44</v>
      </c>
      <c r="D3168" t="s">
        <v>45</v>
      </c>
      <c r="E3168">
        <v>1075</v>
      </c>
      <c r="F3168">
        <v>32</v>
      </c>
      <c r="G3168">
        <v>22</v>
      </c>
      <c r="H3168">
        <v>2460.87</v>
      </c>
      <c r="I3168">
        <v>52396.95</v>
      </c>
      <c r="J3168">
        <v>166</v>
      </c>
      <c r="K3168">
        <v>1</v>
      </c>
      <c r="L3168">
        <v>0</v>
      </c>
      <c r="M3168">
        <v>39.1</v>
      </c>
      <c r="N3168" t="s">
        <v>52</v>
      </c>
      <c r="O3168" t="s">
        <v>75</v>
      </c>
      <c r="P3168" t="s">
        <v>48</v>
      </c>
      <c r="R3168">
        <f>SUMIF(A3168:A8167,"C03167",I3168:I8167)</f>
        <v>52396.95</v>
      </c>
      <c r="S3168" s="1">
        <v>12198.65</v>
      </c>
      <c r="T3168">
        <f t="shared" si="363"/>
        <v>315.644277108434</v>
      </c>
      <c r="U3168">
        <f t="shared" si="357"/>
        <v>6490.6</v>
      </c>
      <c r="V3168">
        <f>U3168</f>
        <v>6490.6</v>
      </c>
      <c r="W3168">
        <f t="shared" si="360"/>
        <v>18286.2733333333</v>
      </c>
      <c r="X3168">
        <f t="shared" si="358"/>
        <v>0.43683737865064</v>
      </c>
      <c r="AH3168" t="str">
        <f t="shared" si="361"/>
        <v>2nd Quality</v>
      </c>
      <c r="AJ3168">
        <f>((T3168-X3168)*2)</f>
        <v>630.414879459567</v>
      </c>
      <c r="AK3168">
        <f t="shared" si="359"/>
        <v>339317.597891566</v>
      </c>
    </row>
    <row r="3169" spans="1:37">
      <c r="A3169" t="s">
        <v>3235</v>
      </c>
      <c r="B3169">
        <v>32</v>
      </c>
      <c r="C3169" t="s">
        <v>44</v>
      </c>
      <c r="D3169" t="s">
        <v>45</v>
      </c>
      <c r="E3169">
        <v>962</v>
      </c>
      <c r="F3169">
        <v>5</v>
      </c>
      <c r="G3169">
        <v>15</v>
      </c>
      <c r="H3169">
        <v>3935.56</v>
      </c>
      <c r="I3169">
        <v>52237.28</v>
      </c>
      <c r="J3169">
        <v>133</v>
      </c>
      <c r="K3169">
        <v>0</v>
      </c>
      <c r="L3169">
        <v>1.1</v>
      </c>
      <c r="M3169">
        <v>10</v>
      </c>
      <c r="N3169" t="s">
        <v>61</v>
      </c>
      <c r="O3169" t="s">
        <v>53</v>
      </c>
      <c r="P3169" t="s">
        <v>66</v>
      </c>
      <c r="R3169">
        <f>SUMIF(A3169:A8168,"C03168",I3169:I8168)</f>
        <v>52237.28</v>
      </c>
      <c r="S3169" s="1">
        <v>1406.15</v>
      </c>
      <c r="T3169">
        <f t="shared" si="363"/>
        <v>392.761503759398</v>
      </c>
      <c r="U3169">
        <f t="shared" si="357"/>
        <v>1330</v>
      </c>
      <c r="V3169">
        <f t="shared" si="362"/>
        <v>110.833333333333</v>
      </c>
      <c r="W3169">
        <f t="shared" si="360"/>
        <v>18724.6133333333</v>
      </c>
      <c r="X3169">
        <f t="shared" si="358"/>
        <v>0.244437894480074</v>
      </c>
      <c r="AH3169" t="str">
        <f t="shared" si="361"/>
        <v>1st Quality</v>
      </c>
      <c r="AJ3169">
        <f>((T3169-X3169)*2)/1.1</f>
        <v>713.667392481669</v>
      </c>
      <c r="AK3169">
        <f t="shared" si="359"/>
        <v>377836.566616541</v>
      </c>
    </row>
    <row r="3170" spans="1:37">
      <c r="A3170" t="s">
        <v>3236</v>
      </c>
      <c r="B3170">
        <v>33</v>
      </c>
      <c r="C3170" t="s">
        <v>50</v>
      </c>
      <c r="D3170" t="s">
        <v>60</v>
      </c>
      <c r="E3170">
        <v>1446</v>
      </c>
      <c r="F3170">
        <v>13</v>
      </c>
      <c r="G3170">
        <v>26</v>
      </c>
      <c r="H3170">
        <v>3631.9</v>
      </c>
      <c r="I3170">
        <v>99541.38</v>
      </c>
      <c r="J3170">
        <v>186</v>
      </c>
      <c r="K3170">
        <v>1</v>
      </c>
      <c r="L3170">
        <v>16.6</v>
      </c>
      <c r="M3170">
        <v>11.1</v>
      </c>
      <c r="N3170" t="s">
        <v>63</v>
      </c>
      <c r="O3170" t="s">
        <v>47</v>
      </c>
      <c r="P3170" t="s">
        <v>58</v>
      </c>
      <c r="R3170">
        <f>SUMIF(A3170:A8169,"C03169",I3170:I8169)</f>
        <v>99541.38</v>
      </c>
      <c r="S3170" s="1">
        <v>5646.47</v>
      </c>
      <c r="T3170">
        <f t="shared" si="363"/>
        <v>535.168709677419</v>
      </c>
      <c r="U3170">
        <f t="shared" ref="U3170:U3233" si="364">J3170*M3170</f>
        <v>2064.6</v>
      </c>
      <c r="V3170">
        <f>U3170</f>
        <v>2064.6</v>
      </c>
      <c r="W3170">
        <f t="shared" si="360"/>
        <v>34391.4266666667</v>
      </c>
      <c r="X3170">
        <f t="shared" si="358"/>
        <v>0.398138715272998</v>
      </c>
      <c r="AH3170" t="str">
        <f t="shared" si="361"/>
        <v>1st Quality</v>
      </c>
      <c r="AJ3170">
        <f>((T3170-X3170)*2)/16.6</f>
        <v>64.4301892725477</v>
      </c>
      <c r="AK3170">
        <f t="shared" si="359"/>
        <v>773853.954193549</v>
      </c>
    </row>
    <row r="3171" spans="1:37">
      <c r="A3171" t="s">
        <v>3237</v>
      </c>
      <c r="B3171">
        <v>18</v>
      </c>
      <c r="C3171" t="s">
        <v>44</v>
      </c>
      <c r="D3171" t="s">
        <v>45</v>
      </c>
      <c r="E3171">
        <v>1172</v>
      </c>
      <c r="F3171">
        <v>26</v>
      </c>
      <c r="G3171">
        <v>1</v>
      </c>
      <c r="H3171">
        <v>11673.1</v>
      </c>
      <c r="I3171">
        <v>12198.65</v>
      </c>
      <c r="J3171">
        <v>10</v>
      </c>
      <c r="K3171">
        <v>0</v>
      </c>
      <c r="L3171">
        <v>14.2</v>
      </c>
      <c r="M3171">
        <v>15.9</v>
      </c>
      <c r="N3171" t="s">
        <v>81</v>
      </c>
      <c r="O3171" t="s">
        <v>75</v>
      </c>
      <c r="P3171" t="s">
        <v>66</v>
      </c>
      <c r="R3171">
        <f>SUMIF(A3171:A8170,"C03170",I3171:I8170)</f>
        <v>12198.65</v>
      </c>
      <c r="S3171" s="1">
        <v>7628.85</v>
      </c>
      <c r="T3171">
        <f t="shared" si="363"/>
        <v>1219.865</v>
      </c>
      <c r="U3171">
        <f t="shared" si="364"/>
        <v>159</v>
      </c>
      <c r="V3171">
        <f t="shared" si="362"/>
        <v>13.25</v>
      </c>
      <c r="W3171">
        <f t="shared" si="360"/>
        <v>7957.58333333333</v>
      </c>
      <c r="X3171">
        <f t="shared" si="358"/>
        <v>0.100401778447884</v>
      </c>
      <c r="AH3171" t="str">
        <f t="shared" si="361"/>
        <v>2nd Quality</v>
      </c>
      <c r="AJ3171">
        <f>((T3171-X3171)*2)/14.2</f>
        <v>171.79783073543</v>
      </c>
      <c r="AK3171">
        <f t="shared" si="359"/>
        <v>1429681.78</v>
      </c>
    </row>
    <row r="3172" spans="1:37">
      <c r="A3172" t="s">
        <v>3238</v>
      </c>
      <c r="B3172">
        <v>37</v>
      </c>
      <c r="C3172" t="s">
        <v>44</v>
      </c>
      <c r="D3172" t="s">
        <v>45</v>
      </c>
      <c r="E3172">
        <v>644</v>
      </c>
      <c r="F3172">
        <v>266</v>
      </c>
      <c r="G3172">
        <v>1</v>
      </c>
      <c r="H3172">
        <v>1379.61</v>
      </c>
      <c r="I3172">
        <v>1406.15</v>
      </c>
      <c r="J3172">
        <v>18</v>
      </c>
      <c r="K3172">
        <v>0</v>
      </c>
      <c r="L3172">
        <v>29.3</v>
      </c>
      <c r="M3172">
        <v>10.7</v>
      </c>
      <c r="N3172" t="s">
        <v>52</v>
      </c>
      <c r="O3172" t="s">
        <v>47</v>
      </c>
      <c r="P3172" t="s">
        <v>58</v>
      </c>
      <c r="R3172">
        <f>SUMIF(A3172:A8171,"C03171",I3172:I8171)</f>
        <v>1406.15</v>
      </c>
      <c r="S3172" s="1">
        <v>2859.63</v>
      </c>
      <c r="T3172">
        <f t="shared" si="363"/>
        <v>78.1194444444445</v>
      </c>
      <c r="U3172">
        <f t="shared" si="364"/>
        <v>192.6</v>
      </c>
      <c r="V3172">
        <f t="shared" si="362"/>
        <v>16.05</v>
      </c>
      <c r="W3172">
        <f t="shared" si="360"/>
        <v>928.92</v>
      </c>
      <c r="X3172">
        <f t="shared" si="358"/>
        <v>0.466798588006756</v>
      </c>
      <c r="AH3172" t="str">
        <f t="shared" si="361"/>
        <v>3rd Quality</v>
      </c>
      <c r="AJ3172">
        <f>((T3172-X3172)*2)/29.3</f>
        <v>5.30052190146333</v>
      </c>
      <c r="AK3172">
        <f t="shared" si="359"/>
        <v>50308.9222222222</v>
      </c>
    </row>
    <row r="3173" spans="1:37">
      <c r="A3173" t="s">
        <v>3239</v>
      </c>
      <c r="B3173">
        <v>36</v>
      </c>
      <c r="C3173" t="s">
        <v>44</v>
      </c>
      <c r="D3173" t="s">
        <v>45</v>
      </c>
      <c r="E3173">
        <v>1049</v>
      </c>
      <c r="F3173">
        <v>138</v>
      </c>
      <c r="G3173">
        <v>7</v>
      </c>
      <c r="H3173">
        <v>834.09</v>
      </c>
      <c r="I3173">
        <v>5646.47</v>
      </c>
      <c r="J3173">
        <v>63</v>
      </c>
      <c r="K3173">
        <v>1</v>
      </c>
      <c r="L3173">
        <v>31.1</v>
      </c>
      <c r="M3173">
        <v>60.3</v>
      </c>
      <c r="N3173" t="s">
        <v>63</v>
      </c>
      <c r="O3173" t="s">
        <v>53</v>
      </c>
      <c r="P3173" t="s">
        <v>58</v>
      </c>
      <c r="R3173">
        <f>SUMIF(A3173:A8172,"C03172",I3173:I8172)</f>
        <v>5646.47</v>
      </c>
      <c r="S3173" s="1">
        <v>1952.08</v>
      </c>
      <c r="T3173">
        <f t="shared" si="363"/>
        <v>89.6265079365079</v>
      </c>
      <c r="U3173">
        <f t="shared" si="364"/>
        <v>3798.9</v>
      </c>
      <c r="V3173">
        <f>U3173</f>
        <v>3798.9</v>
      </c>
      <c r="W3173">
        <f t="shared" si="360"/>
        <v>2160.52</v>
      </c>
      <c r="X3173">
        <f t="shared" si="358"/>
        <v>1.25765804649378</v>
      </c>
      <c r="AH3173" t="str">
        <f t="shared" si="361"/>
        <v>3rd Quality</v>
      </c>
      <c r="AJ3173">
        <f>((T3173-X3173)*2)/31.1</f>
        <v>5.68288423729994</v>
      </c>
      <c r="AK3173">
        <f t="shared" si="359"/>
        <v>94018.2068253968</v>
      </c>
    </row>
    <row r="3174" spans="1:37">
      <c r="A3174" t="s">
        <v>3240</v>
      </c>
      <c r="B3174">
        <v>40</v>
      </c>
      <c r="C3174" t="s">
        <v>50</v>
      </c>
      <c r="D3174" t="s">
        <v>45</v>
      </c>
      <c r="E3174">
        <v>769</v>
      </c>
      <c r="F3174">
        <v>155</v>
      </c>
      <c r="G3174">
        <v>8</v>
      </c>
      <c r="H3174">
        <v>995.96</v>
      </c>
      <c r="I3174">
        <v>7628.85</v>
      </c>
      <c r="J3174">
        <v>61</v>
      </c>
      <c r="K3174">
        <v>1</v>
      </c>
      <c r="L3174">
        <v>32.4</v>
      </c>
      <c r="M3174">
        <v>6.4</v>
      </c>
      <c r="N3174" t="s">
        <v>78</v>
      </c>
      <c r="O3174" t="s">
        <v>53</v>
      </c>
      <c r="P3174" t="s">
        <v>58</v>
      </c>
      <c r="R3174">
        <f>SUMIF(A3174:A8173,"C03173",I3174:I8173)</f>
        <v>7628.85</v>
      </c>
      <c r="S3174" s="1">
        <v>90495.18</v>
      </c>
      <c r="T3174">
        <f t="shared" si="363"/>
        <v>125.063114754098</v>
      </c>
      <c r="U3174">
        <f t="shared" si="364"/>
        <v>390.4</v>
      </c>
      <c r="V3174">
        <f>U3174</f>
        <v>390.4</v>
      </c>
      <c r="W3174">
        <f t="shared" si="360"/>
        <v>2875.27</v>
      </c>
      <c r="X3174">
        <f t="shared" si="358"/>
        <v>0.772119362223382</v>
      </c>
      <c r="AH3174" t="str">
        <f t="shared" si="361"/>
        <v>3rd Quality</v>
      </c>
      <c r="AJ3174">
        <f>((T3174-X3174)*2)/32.4</f>
        <v>7.6722836661651</v>
      </c>
      <c r="AK3174">
        <f t="shared" si="359"/>
        <v>96173.5352459016</v>
      </c>
    </row>
    <row r="3175" spans="1:37">
      <c r="A3175" t="s">
        <v>3241</v>
      </c>
      <c r="B3175">
        <v>49</v>
      </c>
      <c r="C3175" t="s">
        <v>50</v>
      </c>
      <c r="D3175" t="s">
        <v>60</v>
      </c>
      <c r="E3175">
        <v>1131</v>
      </c>
      <c r="F3175">
        <v>148</v>
      </c>
      <c r="G3175">
        <v>1</v>
      </c>
      <c r="H3175">
        <v>3058.14</v>
      </c>
      <c r="I3175">
        <v>2859.63</v>
      </c>
      <c r="J3175">
        <v>18</v>
      </c>
      <c r="K3175">
        <v>0</v>
      </c>
      <c r="L3175">
        <v>4</v>
      </c>
      <c r="M3175">
        <v>21.1</v>
      </c>
      <c r="N3175" t="s">
        <v>46</v>
      </c>
      <c r="O3175" t="s">
        <v>47</v>
      </c>
      <c r="P3175" t="s">
        <v>58</v>
      </c>
      <c r="R3175">
        <f>SUMIF(A3175:A8174,"C03174",I3175:I8174)</f>
        <v>2859.63</v>
      </c>
      <c r="S3175" s="1">
        <v>4020.4</v>
      </c>
      <c r="T3175">
        <f t="shared" si="363"/>
        <v>158.868333333333</v>
      </c>
      <c r="U3175">
        <f t="shared" si="364"/>
        <v>379.8</v>
      </c>
      <c r="V3175">
        <f>U3175/12</f>
        <v>31.65</v>
      </c>
      <c r="W3175">
        <f t="shared" si="360"/>
        <v>1972.92333333333</v>
      </c>
      <c r="X3175">
        <f t="shared" si="358"/>
        <v>0.369832643371461</v>
      </c>
      <c r="AH3175" t="str">
        <f t="shared" si="361"/>
        <v>3rd Quality</v>
      </c>
      <c r="AJ3175">
        <f>((T3175-X3175)*2)/4</f>
        <v>79.2492503449808</v>
      </c>
      <c r="AK3175">
        <f t="shared" si="359"/>
        <v>179680.085</v>
      </c>
    </row>
    <row r="3176" spans="1:37">
      <c r="A3176" t="s">
        <v>3242</v>
      </c>
      <c r="B3176">
        <v>18</v>
      </c>
      <c r="C3176" t="s">
        <v>50</v>
      </c>
      <c r="D3176" t="s">
        <v>45</v>
      </c>
      <c r="E3176">
        <v>892</v>
      </c>
      <c r="F3176">
        <v>76</v>
      </c>
      <c r="G3176">
        <v>2</v>
      </c>
      <c r="H3176">
        <v>955.01</v>
      </c>
      <c r="I3176">
        <v>1952.08</v>
      </c>
      <c r="J3176">
        <v>19</v>
      </c>
      <c r="K3176">
        <v>0</v>
      </c>
      <c r="L3176">
        <v>29</v>
      </c>
      <c r="M3176">
        <v>34.1</v>
      </c>
      <c r="N3176" t="s">
        <v>61</v>
      </c>
      <c r="O3176" t="s">
        <v>47</v>
      </c>
      <c r="P3176" t="s">
        <v>66</v>
      </c>
      <c r="R3176">
        <f>SUMIF(A3176:A8175,"C03175",I3176:I8175)</f>
        <v>1952.08</v>
      </c>
      <c r="S3176" s="1">
        <v>9205.56</v>
      </c>
      <c r="T3176">
        <f t="shared" si="363"/>
        <v>102.741052631579</v>
      </c>
      <c r="U3176">
        <f t="shared" si="364"/>
        <v>647.9</v>
      </c>
      <c r="V3176">
        <f t="shared" si="362"/>
        <v>53.9916666666667</v>
      </c>
      <c r="W3176">
        <f t="shared" si="360"/>
        <v>969.363333333333</v>
      </c>
      <c r="X3176">
        <f t="shared" si="358"/>
        <v>0.934021633281327</v>
      </c>
      <c r="AH3176" t="str">
        <f t="shared" si="361"/>
        <v>3rd Quality</v>
      </c>
      <c r="AJ3176">
        <f>((T3176-X3176)*2)/29</f>
        <v>7.02117455160674</v>
      </c>
      <c r="AK3176">
        <f t="shared" si="359"/>
        <v>91645.0189473684</v>
      </c>
    </row>
    <row r="3177" spans="1:37">
      <c r="A3177" t="s">
        <v>3243</v>
      </c>
      <c r="B3177">
        <v>35</v>
      </c>
      <c r="C3177" t="s">
        <v>44</v>
      </c>
      <c r="D3177" t="s">
        <v>60</v>
      </c>
      <c r="E3177">
        <v>608</v>
      </c>
      <c r="F3177">
        <v>16</v>
      </c>
      <c r="G3177">
        <v>37</v>
      </c>
      <c r="H3177">
        <v>2185.57</v>
      </c>
      <c r="I3177">
        <v>90495.18</v>
      </c>
      <c r="J3177">
        <v>268</v>
      </c>
      <c r="K3177">
        <v>4</v>
      </c>
      <c r="L3177">
        <v>12.9</v>
      </c>
      <c r="M3177">
        <v>56.9</v>
      </c>
      <c r="N3177" t="s">
        <v>61</v>
      </c>
      <c r="O3177" t="s">
        <v>53</v>
      </c>
      <c r="P3177" t="s">
        <v>66</v>
      </c>
      <c r="R3177">
        <f>SUMIF(A3177:A8176,"C03176",I3177:I8176)</f>
        <v>90495.18</v>
      </c>
      <c r="S3177" s="1">
        <v>41100.08</v>
      </c>
      <c r="T3177">
        <f t="shared" si="363"/>
        <v>337.668582089552</v>
      </c>
      <c r="U3177">
        <f t="shared" si="364"/>
        <v>15249.2</v>
      </c>
      <c r="V3177">
        <f>U3177</f>
        <v>15249.2</v>
      </c>
      <c r="W3177">
        <f t="shared" si="360"/>
        <v>30893.9166666667</v>
      </c>
      <c r="X3177">
        <f t="shared" si="358"/>
        <v>0.278188298704686</v>
      </c>
      <c r="AH3177" t="str">
        <f t="shared" si="361"/>
        <v>2nd Quality</v>
      </c>
      <c r="AJ3177">
        <f>((T3177-X3177)*2)/12.9</f>
        <v>52.3085881846275</v>
      </c>
      <c r="AK3177">
        <f t="shared" si="359"/>
        <v>205302.497910448</v>
      </c>
    </row>
    <row r="3178" spans="1:37">
      <c r="A3178" t="s">
        <v>3244</v>
      </c>
      <c r="B3178">
        <v>26</v>
      </c>
      <c r="C3178" t="s">
        <v>44</v>
      </c>
      <c r="D3178" t="s">
        <v>51</v>
      </c>
      <c r="E3178">
        <v>614</v>
      </c>
      <c r="F3178">
        <v>240</v>
      </c>
      <c r="G3178">
        <v>2</v>
      </c>
      <c r="H3178">
        <v>1882.17</v>
      </c>
      <c r="I3178">
        <v>4020.4</v>
      </c>
      <c r="J3178">
        <v>35</v>
      </c>
      <c r="K3178">
        <v>0</v>
      </c>
      <c r="L3178">
        <v>13.6</v>
      </c>
      <c r="M3178">
        <v>31.7</v>
      </c>
      <c r="N3178" t="s">
        <v>61</v>
      </c>
      <c r="O3178" t="s">
        <v>75</v>
      </c>
      <c r="P3178" t="s">
        <v>58</v>
      </c>
      <c r="R3178">
        <f>SUMIF(A3178:A8177,"C03177",I3178:I8177)</f>
        <v>4020.4</v>
      </c>
      <c r="S3178" s="1">
        <v>34610.08</v>
      </c>
      <c r="T3178">
        <f t="shared" si="363"/>
        <v>114.868571428571</v>
      </c>
      <c r="U3178">
        <f t="shared" si="364"/>
        <v>1109.5</v>
      </c>
      <c r="V3178">
        <f t="shared" si="362"/>
        <v>92.4583333333333</v>
      </c>
      <c r="W3178">
        <f t="shared" si="360"/>
        <v>1967.85666666667</v>
      </c>
      <c r="X3178">
        <f t="shared" si="358"/>
        <v>0.32621920442893</v>
      </c>
      <c r="AH3178" t="str">
        <f t="shared" si="361"/>
        <v>3rd Quality</v>
      </c>
      <c r="AJ3178">
        <f>((T3178-X3178)*2)/13.6</f>
        <v>16.8444635623738</v>
      </c>
      <c r="AK3178">
        <f t="shared" si="359"/>
        <v>70529.3028571429</v>
      </c>
    </row>
    <row r="3179" spans="1:37">
      <c r="A3179" t="s">
        <v>3245</v>
      </c>
      <c r="B3179">
        <v>53</v>
      </c>
      <c r="C3179" t="s">
        <v>44</v>
      </c>
      <c r="D3179" t="s">
        <v>60</v>
      </c>
      <c r="E3179">
        <v>831</v>
      </c>
      <c r="F3179">
        <v>19</v>
      </c>
      <c r="G3179">
        <v>7</v>
      </c>
      <c r="H3179">
        <v>1267.96</v>
      </c>
      <c r="I3179">
        <v>9205.56</v>
      </c>
      <c r="J3179">
        <v>44</v>
      </c>
      <c r="K3179">
        <v>0</v>
      </c>
      <c r="L3179">
        <v>21.4</v>
      </c>
      <c r="M3179">
        <v>23.8</v>
      </c>
      <c r="N3179" t="s">
        <v>63</v>
      </c>
      <c r="O3179" t="s">
        <v>47</v>
      </c>
      <c r="P3179" t="s">
        <v>66</v>
      </c>
      <c r="R3179">
        <f>SUMIF(A3179:A8178,"C03178",I3179:I8178)</f>
        <v>9205.56</v>
      </c>
      <c r="S3179" s="1">
        <v>1658.35</v>
      </c>
      <c r="T3179">
        <f t="shared" si="363"/>
        <v>209.217272727273</v>
      </c>
      <c r="U3179">
        <f t="shared" si="364"/>
        <v>1047.2</v>
      </c>
      <c r="V3179">
        <f t="shared" si="362"/>
        <v>87.2666666666667</v>
      </c>
      <c r="W3179">
        <f t="shared" si="360"/>
        <v>3491.50666666667</v>
      </c>
      <c r="X3179">
        <f t="shared" si="358"/>
        <v>0.655383450582037</v>
      </c>
      <c r="AH3179" t="str">
        <f t="shared" si="361"/>
        <v>3rd Quality</v>
      </c>
      <c r="AJ3179">
        <f>((T3179-X3179)*2)/21.4</f>
        <v>19.4917653529618</v>
      </c>
      <c r="AK3179">
        <f t="shared" si="359"/>
        <v>173859.553636364</v>
      </c>
    </row>
    <row r="3180" spans="1:37">
      <c r="A3180" t="s">
        <v>3246</v>
      </c>
      <c r="B3180">
        <v>31</v>
      </c>
      <c r="C3180" t="s">
        <v>50</v>
      </c>
      <c r="D3180" t="s">
        <v>45</v>
      </c>
      <c r="E3180">
        <v>896</v>
      </c>
      <c r="F3180">
        <v>8</v>
      </c>
      <c r="G3180">
        <v>27</v>
      </c>
      <c r="H3180">
        <v>1497.25</v>
      </c>
      <c r="I3180">
        <v>41100.08</v>
      </c>
      <c r="J3180">
        <v>88</v>
      </c>
      <c r="K3180">
        <v>0</v>
      </c>
      <c r="L3180">
        <v>17.6</v>
      </c>
      <c r="M3180">
        <v>19.4</v>
      </c>
      <c r="N3180" t="s">
        <v>81</v>
      </c>
      <c r="O3180" t="s">
        <v>47</v>
      </c>
      <c r="P3180" t="s">
        <v>58</v>
      </c>
      <c r="R3180">
        <f>SUMIF(A3180:A8179,"C03179",I3180:I8179)</f>
        <v>41100.08</v>
      </c>
      <c r="S3180" s="1">
        <v>17669.88</v>
      </c>
      <c r="T3180">
        <f t="shared" si="363"/>
        <v>467.046363636364</v>
      </c>
      <c r="U3180">
        <f t="shared" si="364"/>
        <v>1707.2</v>
      </c>
      <c r="V3180">
        <f t="shared" si="362"/>
        <v>142.266666666667</v>
      </c>
      <c r="W3180">
        <f t="shared" si="360"/>
        <v>14199.4433333333</v>
      </c>
      <c r="X3180">
        <f t="shared" si="358"/>
        <v>0.598430455835699</v>
      </c>
      <c r="AH3180" t="str">
        <f t="shared" si="361"/>
        <v>2nd Quality</v>
      </c>
      <c r="AJ3180">
        <f>((T3180-X3180)*2)/17.6</f>
        <v>53.0054469523328</v>
      </c>
      <c r="AK3180">
        <f t="shared" si="359"/>
        <v>418473.541818182</v>
      </c>
    </row>
    <row r="3181" spans="1:37">
      <c r="A3181" t="s">
        <v>3247</v>
      </c>
      <c r="B3181">
        <v>47</v>
      </c>
      <c r="C3181" t="s">
        <v>101</v>
      </c>
      <c r="D3181" t="s">
        <v>60</v>
      </c>
      <c r="E3181">
        <v>1270</v>
      </c>
      <c r="F3181">
        <v>56</v>
      </c>
      <c r="G3181">
        <v>7</v>
      </c>
      <c r="H3181">
        <v>4712.09</v>
      </c>
      <c r="I3181">
        <v>34610.08</v>
      </c>
      <c r="J3181">
        <v>22</v>
      </c>
      <c r="K3181">
        <v>0</v>
      </c>
      <c r="L3181">
        <v>16.2</v>
      </c>
      <c r="M3181">
        <v>3.6</v>
      </c>
      <c r="N3181" t="s">
        <v>46</v>
      </c>
      <c r="O3181" t="s">
        <v>47</v>
      </c>
      <c r="P3181" t="s">
        <v>54</v>
      </c>
      <c r="R3181">
        <f>SUMIF(A3181:A8180,"C03180",I3181:I8180)</f>
        <v>34610.08</v>
      </c>
      <c r="S3181" s="1">
        <v>34641.09</v>
      </c>
      <c r="T3181">
        <f t="shared" si="363"/>
        <v>1573.18545454545</v>
      </c>
      <c r="U3181">
        <f t="shared" si="364"/>
        <v>79.2</v>
      </c>
      <c r="V3181">
        <f t="shared" si="362"/>
        <v>6.6</v>
      </c>
      <c r="W3181">
        <f t="shared" si="360"/>
        <v>13107.7233333333</v>
      </c>
      <c r="X3181">
        <f t="shared" si="358"/>
        <v>0.269519470128966</v>
      </c>
      <c r="AH3181" t="str">
        <f t="shared" si="361"/>
        <v>3rd Quality</v>
      </c>
      <c r="AJ3181">
        <f>((T3181-X3181)*2)/16.2</f>
        <v>194.187152478435</v>
      </c>
      <c r="AK3181">
        <f t="shared" si="359"/>
        <v>1997945.52727273</v>
      </c>
    </row>
    <row r="3182" spans="1:37">
      <c r="A3182" t="s">
        <v>3248</v>
      </c>
      <c r="B3182">
        <v>25</v>
      </c>
      <c r="C3182" t="s">
        <v>44</v>
      </c>
      <c r="D3182" t="s">
        <v>45</v>
      </c>
      <c r="E3182">
        <v>1066</v>
      </c>
      <c r="F3182">
        <v>86</v>
      </c>
      <c r="G3182">
        <v>1</v>
      </c>
      <c r="H3182">
        <v>1657.59</v>
      </c>
      <c r="I3182">
        <v>1658.35</v>
      </c>
      <c r="J3182">
        <v>16</v>
      </c>
      <c r="K3182">
        <v>0</v>
      </c>
      <c r="L3182">
        <v>18.8</v>
      </c>
      <c r="M3182">
        <v>46</v>
      </c>
      <c r="N3182" t="s">
        <v>78</v>
      </c>
      <c r="O3182" t="s">
        <v>53</v>
      </c>
      <c r="P3182" t="s">
        <v>68</v>
      </c>
      <c r="R3182">
        <f>SUMIF(A3182:A8181,"C03181",I3182:I8181)</f>
        <v>1658.35</v>
      </c>
      <c r="S3182" s="1">
        <v>96747.96</v>
      </c>
      <c r="T3182">
        <f t="shared" si="363"/>
        <v>103.646875</v>
      </c>
      <c r="U3182">
        <f t="shared" si="364"/>
        <v>736</v>
      </c>
      <c r="V3182">
        <f t="shared" si="362"/>
        <v>61.3333333333333</v>
      </c>
      <c r="W3182">
        <f t="shared" si="360"/>
        <v>1105.64666666667</v>
      </c>
      <c r="X3182">
        <f t="shared" si="358"/>
        <v>0.643102335318143</v>
      </c>
      <c r="AH3182" t="str">
        <f t="shared" si="361"/>
        <v>3rd Quality</v>
      </c>
      <c r="AJ3182">
        <f>((T3182-X3182)*2)/18.8</f>
        <v>10.9578481558172</v>
      </c>
      <c r="AK3182">
        <f t="shared" si="359"/>
        <v>110487.56875</v>
      </c>
    </row>
    <row r="3183" spans="1:37">
      <c r="A3183" t="s">
        <v>3249</v>
      </c>
      <c r="B3183">
        <v>31</v>
      </c>
      <c r="C3183" t="s">
        <v>44</v>
      </c>
      <c r="D3183" t="s">
        <v>60</v>
      </c>
      <c r="E3183">
        <v>1190</v>
      </c>
      <c r="F3183">
        <v>32</v>
      </c>
      <c r="G3183">
        <v>12</v>
      </c>
      <c r="H3183">
        <v>1359.16</v>
      </c>
      <c r="I3183">
        <v>17669.88</v>
      </c>
      <c r="J3183">
        <v>96</v>
      </c>
      <c r="K3183">
        <v>0</v>
      </c>
      <c r="L3183">
        <v>21.6</v>
      </c>
      <c r="M3183">
        <v>52.8</v>
      </c>
      <c r="N3183" t="s">
        <v>61</v>
      </c>
      <c r="O3183" t="s">
        <v>53</v>
      </c>
      <c r="P3183" t="s">
        <v>48</v>
      </c>
      <c r="R3183">
        <f>SUMIF(A3183:A8182,"C03182",I3183:I8182)</f>
        <v>17669.88</v>
      </c>
      <c r="S3183" s="1">
        <v>75142.17</v>
      </c>
      <c r="T3183">
        <f t="shared" si="363"/>
        <v>184.06125</v>
      </c>
      <c r="U3183">
        <f t="shared" si="364"/>
        <v>5068.8</v>
      </c>
      <c r="V3183">
        <f t="shared" si="362"/>
        <v>422.4</v>
      </c>
      <c r="W3183">
        <f t="shared" si="360"/>
        <v>6343.34666666667</v>
      </c>
      <c r="X3183">
        <f t="shared" si="358"/>
        <v>0.875540775184673</v>
      </c>
      <c r="AH3183" t="str">
        <f t="shared" si="361"/>
        <v>2nd Quality</v>
      </c>
      <c r="AJ3183">
        <f>((T3183-X3183)*2)/21.6</f>
        <v>16.9616397430385</v>
      </c>
      <c r="AK3183">
        <f t="shared" si="359"/>
        <v>219032.8875</v>
      </c>
    </row>
    <row r="3184" spans="1:37">
      <c r="A3184" t="s">
        <v>3250</v>
      </c>
      <c r="B3184">
        <v>18</v>
      </c>
      <c r="C3184" t="s">
        <v>50</v>
      </c>
      <c r="D3184" t="s">
        <v>45</v>
      </c>
      <c r="E3184">
        <v>532</v>
      </c>
      <c r="F3184">
        <v>8</v>
      </c>
      <c r="G3184">
        <v>4</v>
      </c>
      <c r="H3184">
        <v>8493.38</v>
      </c>
      <c r="I3184">
        <v>34641.09</v>
      </c>
      <c r="J3184">
        <v>38</v>
      </c>
      <c r="K3184">
        <v>0</v>
      </c>
      <c r="L3184">
        <v>11.1</v>
      </c>
      <c r="M3184">
        <v>22.1</v>
      </c>
      <c r="N3184" t="s">
        <v>52</v>
      </c>
      <c r="O3184" t="s">
        <v>47</v>
      </c>
      <c r="P3184" t="s">
        <v>66</v>
      </c>
      <c r="R3184">
        <f>SUMIF(A3184:A8183,"C03183",I3184:I8183)</f>
        <v>34641.09</v>
      </c>
      <c r="S3184" s="1">
        <v>46129.14</v>
      </c>
      <c r="T3184">
        <f t="shared" si="363"/>
        <v>911.607631578947</v>
      </c>
      <c r="U3184">
        <f t="shared" si="364"/>
        <v>839.8</v>
      </c>
      <c r="V3184">
        <f t="shared" si="362"/>
        <v>69.9833333333333</v>
      </c>
      <c r="W3184">
        <f t="shared" si="360"/>
        <v>14378.49</v>
      </c>
      <c r="X3184">
        <f t="shared" si="358"/>
        <v>0.0626370184779205</v>
      </c>
      <c r="AH3184" t="str">
        <f t="shared" si="361"/>
        <v>2nd Quality</v>
      </c>
      <c r="AJ3184">
        <f>((T3184-X3184)*2)/11.1</f>
        <v>164.242341362247</v>
      </c>
      <c r="AK3184">
        <f t="shared" si="359"/>
        <v>484975.26</v>
      </c>
    </row>
    <row r="3185" spans="1:37">
      <c r="A3185" t="s">
        <v>3251</v>
      </c>
      <c r="B3185">
        <v>42</v>
      </c>
      <c r="C3185" t="s">
        <v>50</v>
      </c>
      <c r="D3185" t="s">
        <v>45</v>
      </c>
      <c r="E3185">
        <v>568</v>
      </c>
      <c r="F3185">
        <v>20</v>
      </c>
      <c r="G3185">
        <v>23</v>
      </c>
      <c r="H3185">
        <v>4477.84</v>
      </c>
      <c r="I3185">
        <v>96747.96</v>
      </c>
      <c r="J3185">
        <v>99</v>
      </c>
      <c r="K3185">
        <v>2</v>
      </c>
      <c r="L3185">
        <v>6.4</v>
      </c>
      <c r="M3185">
        <v>46.2</v>
      </c>
      <c r="N3185" t="s">
        <v>52</v>
      </c>
      <c r="O3185" t="s">
        <v>47</v>
      </c>
      <c r="P3185" t="s">
        <v>68</v>
      </c>
      <c r="R3185">
        <f>SUMIF(A3185:A8184,"C03184",I3185:I8184)</f>
        <v>96747.96</v>
      </c>
      <c r="S3185" s="1">
        <v>1879.22</v>
      </c>
      <c r="T3185">
        <f t="shared" si="363"/>
        <v>977.252121212121</v>
      </c>
      <c r="U3185">
        <f t="shared" si="364"/>
        <v>4573.8</v>
      </c>
      <c r="V3185">
        <f>U3185</f>
        <v>4573.8</v>
      </c>
      <c r="W3185">
        <f t="shared" si="360"/>
        <v>33742.2666666667</v>
      </c>
      <c r="X3185">
        <f t="shared" si="358"/>
        <v>0.126846872599289</v>
      </c>
      <c r="AH3185" t="str">
        <f t="shared" si="361"/>
        <v>2nd Quality</v>
      </c>
      <c r="AJ3185">
        <f>((T3185-X3185)*2)/6.4</f>
        <v>305.351648231101</v>
      </c>
      <c r="AK3185">
        <f t="shared" si="359"/>
        <v>555079.204848485</v>
      </c>
    </row>
    <row r="3186" spans="1:37">
      <c r="A3186" t="s">
        <v>3252</v>
      </c>
      <c r="B3186">
        <v>18</v>
      </c>
      <c r="C3186" t="s">
        <v>50</v>
      </c>
      <c r="D3186" t="s">
        <v>60</v>
      </c>
      <c r="E3186">
        <v>410</v>
      </c>
      <c r="F3186">
        <v>43</v>
      </c>
      <c r="G3186">
        <v>33</v>
      </c>
      <c r="H3186">
        <v>2242.96</v>
      </c>
      <c r="I3186">
        <v>75142.17</v>
      </c>
      <c r="J3186">
        <v>238</v>
      </c>
      <c r="K3186">
        <v>3</v>
      </c>
      <c r="L3186">
        <v>16.3</v>
      </c>
      <c r="M3186">
        <v>58.5</v>
      </c>
      <c r="N3186" t="s">
        <v>61</v>
      </c>
      <c r="O3186" t="s">
        <v>47</v>
      </c>
      <c r="P3186" t="s">
        <v>58</v>
      </c>
      <c r="R3186">
        <f>SUMIF(A3186:A8185,"C03185",I3186:I8185)</f>
        <v>75142.17</v>
      </c>
      <c r="S3186" s="1">
        <v>2893.93</v>
      </c>
      <c r="T3186">
        <f t="shared" si="363"/>
        <v>315.723403361345</v>
      </c>
      <c r="U3186">
        <f t="shared" si="364"/>
        <v>13923</v>
      </c>
      <c r="V3186">
        <f>U3186</f>
        <v>13923</v>
      </c>
      <c r="W3186">
        <f t="shared" si="360"/>
        <v>25795.3766666667</v>
      </c>
      <c r="X3186">
        <f t="shared" si="358"/>
        <v>0.182794164853586</v>
      </c>
      <c r="AH3186" t="str">
        <f t="shared" si="361"/>
        <v>3rd Quality</v>
      </c>
      <c r="AJ3186">
        <f>((T3186-X3186)*2)/16.3</f>
        <v>38.7166391652137</v>
      </c>
      <c r="AK3186">
        <f t="shared" si="359"/>
        <v>129446.595378151</v>
      </c>
    </row>
    <row r="3187" spans="1:37">
      <c r="A3187" t="s">
        <v>3253</v>
      </c>
      <c r="B3187">
        <v>33</v>
      </c>
      <c r="C3187" t="s">
        <v>50</v>
      </c>
      <c r="D3187" t="s">
        <v>60</v>
      </c>
      <c r="E3187">
        <v>439</v>
      </c>
      <c r="F3187">
        <v>24</v>
      </c>
      <c r="G3187">
        <v>26</v>
      </c>
      <c r="H3187">
        <v>1889.66</v>
      </c>
      <c r="I3187">
        <v>46129.14</v>
      </c>
      <c r="J3187">
        <v>56</v>
      </c>
      <c r="K3187">
        <v>3</v>
      </c>
      <c r="L3187">
        <v>5.3</v>
      </c>
      <c r="M3187">
        <v>42.9</v>
      </c>
      <c r="N3187" t="s">
        <v>81</v>
      </c>
      <c r="O3187" t="s">
        <v>53</v>
      </c>
      <c r="P3187" t="s">
        <v>58</v>
      </c>
      <c r="R3187">
        <f>SUMIF(A3187:A8186,"C03186",I3187:I8186)</f>
        <v>46129.14</v>
      </c>
      <c r="S3187" s="1">
        <v>69321.12</v>
      </c>
      <c r="T3187">
        <f t="shared" si="363"/>
        <v>823.734642857143</v>
      </c>
      <c r="U3187">
        <f t="shared" si="364"/>
        <v>2402.4</v>
      </c>
      <c r="V3187">
        <f>U3187</f>
        <v>2402.4</v>
      </c>
      <c r="W3187">
        <f t="shared" si="360"/>
        <v>16006.6</v>
      </c>
      <c r="X3187">
        <f t="shared" si="358"/>
        <v>0.232316924737784</v>
      </c>
      <c r="AH3187" t="str">
        <f t="shared" si="361"/>
        <v>3rd Quality</v>
      </c>
      <c r="AJ3187">
        <f>((T3187-X3187)*2)/5.3</f>
        <v>310.755594691474</v>
      </c>
      <c r="AK3187">
        <f t="shared" si="359"/>
        <v>361619.508214286</v>
      </c>
    </row>
    <row r="3188" spans="1:37">
      <c r="A3188" t="s">
        <v>3254</v>
      </c>
      <c r="B3188">
        <v>43</v>
      </c>
      <c r="C3188" t="s">
        <v>44</v>
      </c>
      <c r="D3188" t="s">
        <v>51</v>
      </c>
      <c r="E3188">
        <v>529</v>
      </c>
      <c r="F3188">
        <v>57</v>
      </c>
      <c r="G3188">
        <v>3</v>
      </c>
      <c r="H3188">
        <v>621.09</v>
      </c>
      <c r="I3188">
        <v>1879.22</v>
      </c>
      <c r="J3188">
        <v>32</v>
      </c>
      <c r="K3188">
        <v>0</v>
      </c>
      <c r="L3188">
        <v>34.3</v>
      </c>
      <c r="M3188">
        <v>57.2</v>
      </c>
      <c r="N3188" t="s">
        <v>52</v>
      </c>
      <c r="O3188" t="s">
        <v>75</v>
      </c>
      <c r="P3188" t="s">
        <v>48</v>
      </c>
      <c r="R3188">
        <f>SUMIF(A3188:A8187,"C03187",I3188:I8187)</f>
        <v>1879.22</v>
      </c>
      <c r="S3188" s="1">
        <v>10362.66</v>
      </c>
      <c r="T3188">
        <f t="shared" si="363"/>
        <v>58.725625</v>
      </c>
      <c r="U3188">
        <f t="shared" si="364"/>
        <v>1830.4</v>
      </c>
      <c r="V3188">
        <f t="shared" si="362"/>
        <v>152.533333333333</v>
      </c>
      <c r="W3188">
        <f t="shared" si="360"/>
        <v>833.77</v>
      </c>
      <c r="X3188">
        <f t="shared" si="358"/>
        <v>0.851728412951424</v>
      </c>
      <c r="AH3188" t="str">
        <f t="shared" si="361"/>
        <v>3rd Quality</v>
      </c>
      <c r="AJ3188">
        <f>((T3188-X3188)*2)/34.3</f>
        <v>3.37457122956551</v>
      </c>
      <c r="AK3188">
        <f t="shared" si="359"/>
        <v>31065.855625</v>
      </c>
    </row>
    <row r="3189" spans="1:37">
      <c r="A3189" t="s">
        <v>3255</v>
      </c>
      <c r="B3189">
        <v>36</v>
      </c>
      <c r="C3189" t="s">
        <v>44</v>
      </c>
      <c r="D3189" t="s">
        <v>60</v>
      </c>
      <c r="E3189">
        <v>1082</v>
      </c>
      <c r="F3189">
        <v>127</v>
      </c>
      <c r="G3189">
        <v>2</v>
      </c>
      <c r="H3189">
        <v>1348.39</v>
      </c>
      <c r="I3189">
        <v>2893.93</v>
      </c>
      <c r="J3189">
        <v>21</v>
      </c>
      <c r="K3189">
        <v>0</v>
      </c>
      <c r="L3189">
        <v>16.9</v>
      </c>
      <c r="M3189">
        <v>29.2</v>
      </c>
      <c r="N3189" t="s">
        <v>52</v>
      </c>
      <c r="O3189" t="s">
        <v>47</v>
      </c>
      <c r="P3189" t="s">
        <v>68</v>
      </c>
      <c r="R3189">
        <f>SUMIF(A3189:A8188,"C03188",I3189:I8188)</f>
        <v>2893.93</v>
      </c>
      <c r="S3189" s="1">
        <v>32914.36</v>
      </c>
      <c r="T3189">
        <f t="shared" si="363"/>
        <v>137.80619047619</v>
      </c>
      <c r="U3189">
        <f t="shared" si="364"/>
        <v>613.2</v>
      </c>
      <c r="V3189">
        <f t="shared" si="362"/>
        <v>51.1</v>
      </c>
      <c r="W3189">
        <f t="shared" si="360"/>
        <v>1414.44</v>
      </c>
      <c r="X3189">
        <f t="shared" si="358"/>
        <v>0.802438463649241</v>
      </c>
      <c r="AH3189" t="str">
        <f t="shared" si="361"/>
        <v>3rd Quality</v>
      </c>
      <c r="AJ3189">
        <f>((T3189-X3189)*2)/16.9</f>
        <v>16.213461776632</v>
      </c>
      <c r="AK3189">
        <f t="shared" si="359"/>
        <v>149106.298095238</v>
      </c>
    </row>
    <row r="3190" spans="1:37">
      <c r="A3190" t="s">
        <v>3256</v>
      </c>
      <c r="B3190">
        <v>18</v>
      </c>
      <c r="C3190" t="s">
        <v>44</v>
      </c>
      <c r="D3190" t="s">
        <v>51</v>
      </c>
      <c r="E3190">
        <v>868</v>
      </c>
      <c r="F3190">
        <v>19</v>
      </c>
      <c r="G3190">
        <v>21</v>
      </c>
      <c r="H3190">
        <v>3130.06</v>
      </c>
      <c r="I3190">
        <v>69321.12</v>
      </c>
      <c r="J3190">
        <v>76</v>
      </c>
      <c r="K3190">
        <v>0</v>
      </c>
      <c r="L3190">
        <v>4.7</v>
      </c>
      <c r="M3190">
        <v>39.6</v>
      </c>
      <c r="N3190" t="s">
        <v>78</v>
      </c>
      <c r="O3190" t="s">
        <v>75</v>
      </c>
      <c r="P3190" t="s">
        <v>58</v>
      </c>
      <c r="R3190">
        <f>SUMIF(A3190:A8189,"C03189",I3190:I8189)</f>
        <v>69321.12</v>
      </c>
      <c r="S3190" s="1">
        <v>27414.09</v>
      </c>
      <c r="T3190">
        <f t="shared" si="363"/>
        <v>912.12</v>
      </c>
      <c r="U3190">
        <f t="shared" si="364"/>
        <v>3009.6</v>
      </c>
      <c r="V3190">
        <f t="shared" si="362"/>
        <v>250.8</v>
      </c>
      <c r="W3190">
        <f t="shared" si="360"/>
        <v>24150.7266666667</v>
      </c>
      <c r="X3190">
        <f t="shared" si="358"/>
        <v>0.277310978064318</v>
      </c>
      <c r="AH3190" t="str">
        <f t="shared" si="361"/>
        <v>2nd Quality</v>
      </c>
      <c r="AJ3190">
        <f>((T3190-X3190)*2)/4.7</f>
        <v>388.018165541249</v>
      </c>
      <c r="AK3190">
        <f t="shared" si="359"/>
        <v>791720.16</v>
      </c>
    </row>
    <row r="3191" spans="1:37">
      <c r="A3191" t="s">
        <v>3257</v>
      </c>
      <c r="B3191">
        <v>30</v>
      </c>
      <c r="C3191" t="s">
        <v>44</v>
      </c>
      <c r="D3191" t="s">
        <v>51</v>
      </c>
      <c r="E3191">
        <v>854</v>
      </c>
      <c r="F3191">
        <v>63</v>
      </c>
      <c r="G3191">
        <v>11</v>
      </c>
      <c r="H3191">
        <v>997.01</v>
      </c>
      <c r="I3191">
        <v>10362.66</v>
      </c>
      <c r="J3191">
        <v>51</v>
      </c>
      <c r="K3191">
        <v>0</v>
      </c>
      <c r="L3191">
        <v>24.5</v>
      </c>
      <c r="M3191">
        <v>58.9</v>
      </c>
      <c r="N3191" t="s">
        <v>57</v>
      </c>
      <c r="O3191" t="s">
        <v>75</v>
      </c>
      <c r="P3191" t="s">
        <v>58</v>
      </c>
      <c r="R3191">
        <f>SUMIF(A3191:A8190,"C03190",I3191:I8190)</f>
        <v>10362.66</v>
      </c>
      <c r="S3191" s="1">
        <v>41209.75</v>
      </c>
      <c r="T3191">
        <f t="shared" si="363"/>
        <v>203.189411764706</v>
      </c>
      <c r="U3191">
        <f t="shared" si="364"/>
        <v>3003.9</v>
      </c>
      <c r="V3191">
        <f t="shared" si="362"/>
        <v>250.325</v>
      </c>
      <c r="W3191">
        <f t="shared" si="360"/>
        <v>3786.89</v>
      </c>
      <c r="X3191">
        <f t="shared" si="358"/>
        <v>0.856561117742049</v>
      </c>
      <c r="AH3191" t="str">
        <f t="shared" si="361"/>
        <v>3rd Quality</v>
      </c>
      <c r="AJ3191">
        <f>((T3191-X3191)*2)/24.5</f>
        <v>16.5169673997522</v>
      </c>
      <c r="AK3191">
        <f t="shared" si="359"/>
        <v>173523.757647059</v>
      </c>
    </row>
    <row r="3192" spans="1:37">
      <c r="A3192" t="s">
        <v>3258</v>
      </c>
      <c r="B3192">
        <v>47</v>
      </c>
      <c r="C3192" t="s">
        <v>44</v>
      </c>
      <c r="D3192" t="s">
        <v>45</v>
      </c>
      <c r="E3192">
        <v>1176</v>
      </c>
      <c r="F3192">
        <v>26</v>
      </c>
      <c r="G3192">
        <v>22</v>
      </c>
      <c r="H3192">
        <v>1418.07</v>
      </c>
      <c r="I3192">
        <v>32914.36</v>
      </c>
      <c r="J3192">
        <v>162</v>
      </c>
      <c r="K3192">
        <v>0</v>
      </c>
      <c r="L3192">
        <v>6.3</v>
      </c>
      <c r="M3192">
        <v>51.3</v>
      </c>
      <c r="N3192" t="s">
        <v>57</v>
      </c>
      <c r="O3192" t="s">
        <v>47</v>
      </c>
      <c r="P3192" t="s">
        <v>58</v>
      </c>
      <c r="R3192">
        <f>SUMIF(A3192:A8191,"C03191",I3192:I8191)</f>
        <v>32914.36</v>
      </c>
      <c r="S3192" s="1">
        <v>3702.15</v>
      </c>
      <c r="T3192">
        <f t="shared" si="363"/>
        <v>203.175061728395</v>
      </c>
      <c r="U3192">
        <f t="shared" si="364"/>
        <v>8310.6</v>
      </c>
      <c r="V3192">
        <f t="shared" si="362"/>
        <v>692.55</v>
      </c>
      <c r="W3192">
        <f t="shared" si="360"/>
        <v>11444.4766666667</v>
      </c>
      <c r="X3192">
        <f t="shared" ref="X3192:X3255" si="365">E3192/H3192</f>
        <v>0.829296156043073</v>
      </c>
      <c r="AH3192" t="str">
        <f t="shared" si="361"/>
        <v>3rd Quality</v>
      </c>
      <c r="AJ3192">
        <f>((T3192-X3192)*2)/6.3</f>
        <v>64.2367509753498</v>
      </c>
      <c r="AK3192">
        <f t="shared" si="359"/>
        <v>238933.872592593</v>
      </c>
    </row>
    <row r="3193" spans="1:37">
      <c r="A3193" t="s">
        <v>3259</v>
      </c>
      <c r="B3193">
        <v>40</v>
      </c>
      <c r="C3193" t="s">
        <v>50</v>
      </c>
      <c r="D3193" t="s">
        <v>51</v>
      </c>
      <c r="E3193">
        <v>817</v>
      </c>
      <c r="F3193">
        <v>9</v>
      </c>
      <c r="G3193">
        <v>25</v>
      </c>
      <c r="H3193">
        <v>1205.4</v>
      </c>
      <c r="I3193">
        <v>27414.09</v>
      </c>
      <c r="J3193">
        <v>159</v>
      </c>
      <c r="K3193">
        <v>1</v>
      </c>
      <c r="L3193">
        <v>16</v>
      </c>
      <c r="M3193">
        <v>34.8</v>
      </c>
      <c r="N3193" t="s">
        <v>63</v>
      </c>
      <c r="O3193" t="s">
        <v>47</v>
      </c>
      <c r="P3193" t="s">
        <v>58</v>
      </c>
      <c r="R3193">
        <f>SUMIF(A3193:A8192,"C03192",I3193:I8192)</f>
        <v>27414.09</v>
      </c>
      <c r="S3193" s="1">
        <v>36467.66</v>
      </c>
      <c r="T3193">
        <f t="shared" si="363"/>
        <v>172.415660377358</v>
      </c>
      <c r="U3193">
        <f t="shared" si="364"/>
        <v>5533.2</v>
      </c>
      <c r="V3193">
        <f>U3193</f>
        <v>5533.2</v>
      </c>
      <c r="W3193">
        <f t="shared" si="360"/>
        <v>9540.16333333333</v>
      </c>
      <c r="X3193">
        <f t="shared" si="365"/>
        <v>0.677783308445329</v>
      </c>
      <c r="AH3193" t="str">
        <f t="shared" si="361"/>
        <v>2nd Quality</v>
      </c>
      <c r="AJ3193">
        <f>((T3193-X3193)*2)/16</f>
        <v>21.4672346336141</v>
      </c>
      <c r="AK3193">
        <f t="shared" si="359"/>
        <v>140863.594528302</v>
      </c>
    </row>
    <row r="3194" spans="1:37">
      <c r="A3194" t="s">
        <v>3260</v>
      </c>
      <c r="B3194">
        <v>31</v>
      </c>
      <c r="C3194" t="s">
        <v>44</v>
      </c>
      <c r="D3194" t="s">
        <v>45</v>
      </c>
      <c r="E3194">
        <v>377</v>
      </c>
      <c r="F3194">
        <v>10</v>
      </c>
      <c r="G3194">
        <v>4</v>
      </c>
      <c r="H3194">
        <v>9955.17</v>
      </c>
      <c r="I3194">
        <v>41209.75</v>
      </c>
      <c r="J3194">
        <v>31</v>
      </c>
      <c r="K3194">
        <v>0</v>
      </c>
      <c r="L3194">
        <v>0</v>
      </c>
      <c r="M3194">
        <v>38.2</v>
      </c>
      <c r="N3194" t="s">
        <v>46</v>
      </c>
      <c r="O3194" t="s">
        <v>47</v>
      </c>
      <c r="P3194" t="s">
        <v>58</v>
      </c>
      <c r="R3194">
        <f>SUMIF(A3194:A8193,"C03193",I3194:I8193)</f>
        <v>41209.75</v>
      </c>
      <c r="S3194" s="1">
        <v>26050.28</v>
      </c>
      <c r="T3194">
        <f t="shared" si="363"/>
        <v>1329.34677419355</v>
      </c>
      <c r="U3194">
        <f t="shared" si="364"/>
        <v>1184.2</v>
      </c>
      <c r="V3194">
        <f t="shared" si="362"/>
        <v>98.6833333333333</v>
      </c>
      <c r="W3194">
        <f t="shared" si="360"/>
        <v>17055.3066666667</v>
      </c>
      <c r="X3194">
        <f t="shared" si="365"/>
        <v>0.0378697701797157</v>
      </c>
      <c r="AH3194" t="str">
        <f t="shared" si="361"/>
        <v>3rd Quality</v>
      </c>
      <c r="AJ3194">
        <f>((T3194-X3194)*2)</f>
        <v>2658.61780884674</v>
      </c>
      <c r="AK3194">
        <f t="shared" si="359"/>
        <v>501163.733870968</v>
      </c>
    </row>
    <row r="3195" spans="1:37">
      <c r="A3195" t="s">
        <v>3261</v>
      </c>
      <c r="B3195">
        <v>22</v>
      </c>
      <c r="C3195" t="s">
        <v>50</v>
      </c>
      <c r="D3195" t="s">
        <v>60</v>
      </c>
      <c r="E3195">
        <v>397</v>
      </c>
      <c r="F3195">
        <v>89</v>
      </c>
      <c r="G3195">
        <v>7</v>
      </c>
      <c r="H3195">
        <v>553.47</v>
      </c>
      <c r="I3195">
        <v>3702.15</v>
      </c>
      <c r="J3195">
        <v>33</v>
      </c>
      <c r="K3195">
        <v>0</v>
      </c>
      <c r="L3195">
        <v>30.6</v>
      </c>
      <c r="M3195">
        <v>40.7</v>
      </c>
      <c r="N3195" t="s">
        <v>46</v>
      </c>
      <c r="O3195" t="s">
        <v>47</v>
      </c>
      <c r="P3195" t="s">
        <v>58</v>
      </c>
      <c r="R3195">
        <f>SUMIF(A3195:A8194,"C03194",I3195:I8194)</f>
        <v>3702.15</v>
      </c>
      <c r="S3195" s="1">
        <v>15587.34</v>
      </c>
      <c r="T3195">
        <f t="shared" si="363"/>
        <v>112.186363636364</v>
      </c>
      <c r="U3195">
        <f t="shared" si="364"/>
        <v>1343.1</v>
      </c>
      <c r="V3195">
        <f t="shared" si="362"/>
        <v>111.925</v>
      </c>
      <c r="W3195">
        <f t="shared" si="360"/>
        <v>1418.87333333333</v>
      </c>
      <c r="X3195">
        <f t="shared" si="365"/>
        <v>0.717292716859089</v>
      </c>
      <c r="AH3195" t="str">
        <f t="shared" si="361"/>
        <v>3rd Quality</v>
      </c>
      <c r="AJ3195">
        <f>((T3195-X3195)*2)/30.6</f>
        <v>7.28556019081731</v>
      </c>
      <c r="AK3195">
        <f t="shared" si="359"/>
        <v>44537.9863636364</v>
      </c>
    </row>
    <row r="3196" spans="1:37">
      <c r="A3196" t="s">
        <v>3262</v>
      </c>
      <c r="B3196">
        <v>38</v>
      </c>
      <c r="C3196" t="s">
        <v>44</v>
      </c>
      <c r="D3196" t="s">
        <v>45</v>
      </c>
      <c r="E3196">
        <v>565</v>
      </c>
      <c r="F3196">
        <v>25</v>
      </c>
      <c r="G3196">
        <v>8</v>
      </c>
      <c r="H3196">
        <v>4433.8</v>
      </c>
      <c r="I3196">
        <v>36467.66</v>
      </c>
      <c r="J3196">
        <v>68</v>
      </c>
      <c r="K3196">
        <v>0</v>
      </c>
      <c r="L3196">
        <v>0.9</v>
      </c>
      <c r="M3196">
        <v>9.8</v>
      </c>
      <c r="N3196" t="s">
        <v>78</v>
      </c>
      <c r="O3196" t="s">
        <v>53</v>
      </c>
      <c r="P3196" t="s">
        <v>58</v>
      </c>
      <c r="R3196">
        <f>SUMIF(A3196:A8195,"C03195",I3196:I8195)</f>
        <v>36467.66</v>
      </c>
      <c r="S3196" s="1">
        <v>90517.14</v>
      </c>
      <c r="T3196">
        <f t="shared" si="363"/>
        <v>536.289117647059</v>
      </c>
      <c r="U3196">
        <f t="shared" si="364"/>
        <v>666.4</v>
      </c>
      <c r="V3196">
        <f t="shared" si="362"/>
        <v>55.5333333333333</v>
      </c>
      <c r="W3196">
        <f t="shared" si="360"/>
        <v>13634.1533333333</v>
      </c>
      <c r="X3196">
        <f t="shared" si="365"/>
        <v>0.127430195317786</v>
      </c>
      <c r="AH3196" t="str">
        <f t="shared" si="361"/>
        <v>2nd Quality</v>
      </c>
      <c r="AJ3196">
        <f>((T3196-X3196)*2)/0.9</f>
        <v>1191.47041655943</v>
      </c>
      <c r="AK3196">
        <f t="shared" si="359"/>
        <v>303003.351470588</v>
      </c>
    </row>
    <row r="3197" spans="1:37">
      <c r="A3197" t="s">
        <v>3263</v>
      </c>
      <c r="B3197">
        <v>29</v>
      </c>
      <c r="C3197" t="s">
        <v>44</v>
      </c>
      <c r="D3197" t="s">
        <v>45</v>
      </c>
      <c r="E3197">
        <v>786</v>
      </c>
      <c r="F3197">
        <v>132</v>
      </c>
      <c r="G3197">
        <v>14</v>
      </c>
      <c r="H3197">
        <v>1711.86</v>
      </c>
      <c r="I3197">
        <v>26050.28</v>
      </c>
      <c r="J3197">
        <v>32</v>
      </c>
      <c r="K3197">
        <v>0</v>
      </c>
      <c r="L3197">
        <v>30.4</v>
      </c>
      <c r="M3197">
        <v>22.1</v>
      </c>
      <c r="N3197" t="s">
        <v>61</v>
      </c>
      <c r="O3197" t="s">
        <v>47</v>
      </c>
      <c r="P3197" t="s">
        <v>68</v>
      </c>
      <c r="R3197">
        <f>SUMIF(A3197:A8196,"C03196",I3197:I8196)</f>
        <v>26050.28</v>
      </c>
      <c r="S3197" s="1">
        <v>73991.2</v>
      </c>
      <c r="T3197">
        <f t="shared" si="363"/>
        <v>814.07125</v>
      </c>
      <c r="U3197">
        <f t="shared" si="364"/>
        <v>707.2</v>
      </c>
      <c r="V3197">
        <f t="shared" si="362"/>
        <v>58.9333333333333</v>
      </c>
      <c r="W3197">
        <f t="shared" si="360"/>
        <v>9254.38</v>
      </c>
      <c r="X3197">
        <f t="shared" si="365"/>
        <v>0.459149696821002</v>
      </c>
      <c r="AH3197" t="str">
        <f t="shared" si="361"/>
        <v>2nd Quality</v>
      </c>
      <c r="AJ3197">
        <f>((T3197-X3197)*2)/30.4</f>
        <v>53.5271118620512</v>
      </c>
      <c r="AK3197">
        <f t="shared" si="359"/>
        <v>639860.0025</v>
      </c>
    </row>
    <row r="3198" spans="1:37">
      <c r="A3198" t="s">
        <v>3264</v>
      </c>
      <c r="B3198">
        <v>23</v>
      </c>
      <c r="C3198" t="s">
        <v>50</v>
      </c>
      <c r="D3198" t="s">
        <v>60</v>
      </c>
      <c r="E3198">
        <v>1333</v>
      </c>
      <c r="F3198">
        <v>44</v>
      </c>
      <c r="G3198">
        <v>1</v>
      </c>
      <c r="H3198">
        <v>17089.44</v>
      </c>
      <c r="I3198">
        <v>15587.34</v>
      </c>
      <c r="J3198">
        <v>8</v>
      </c>
      <c r="K3198">
        <v>0</v>
      </c>
      <c r="L3198">
        <v>11</v>
      </c>
      <c r="M3198">
        <v>8.5</v>
      </c>
      <c r="N3198" t="s">
        <v>63</v>
      </c>
      <c r="O3198" t="s">
        <v>53</v>
      </c>
      <c r="P3198" t="s">
        <v>68</v>
      </c>
      <c r="R3198">
        <f>SUMIF(A3198:A8197,"C03197",I3198:I8197)</f>
        <v>15587.34</v>
      </c>
      <c r="S3198" s="1">
        <v>4010.19</v>
      </c>
      <c r="T3198">
        <f t="shared" si="363"/>
        <v>1948.4175</v>
      </c>
      <c r="U3198">
        <f t="shared" si="364"/>
        <v>68</v>
      </c>
      <c r="V3198">
        <f t="shared" si="362"/>
        <v>5.66666666666667</v>
      </c>
      <c r="W3198">
        <f t="shared" si="360"/>
        <v>10892.5933333333</v>
      </c>
      <c r="X3198">
        <f t="shared" si="365"/>
        <v>0.0780013856510219</v>
      </c>
      <c r="AH3198" t="str">
        <f t="shared" si="361"/>
        <v>2nd Quality</v>
      </c>
      <c r="AJ3198">
        <f>((T3198-X3198)*2)/11</f>
        <v>354.243545202609</v>
      </c>
      <c r="AK3198">
        <f t="shared" si="359"/>
        <v>2597240.5275</v>
      </c>
    </row>
    <row r="3199" spans="1:37">
      <c r="A3199" t="s">
        <v>3265</v>
      </c>
      <c r="B3199">
        <v>31</v>
      </c>
      <c r="C3199" t="s">
        <v>50</v>
      </c>
      <c r="D3199" t="s">
        <v>51</v>
      </c>
      <c r="E3199">
        <v>564</v>
      </c>
      <c r="F3199">
        <v>1</v>
      </c>
      <c r="G3199">
        <v>28</v>
      </c>
      <c r="H3199">
        <v>3087.18</v>
      </c>
      <c r="I3199">
        <v>90517.14</v>
      </c>
      <c r="J3199">
        <v>146</v>
      </c>
      <c r="K3199">
        <v>0</v>
      </c>
      <c r="L3199">
        <v>8.7</v>
      </c>
      <c r="M3199">
        <v>19.9</v>
      </c>
      <c r="N3199" t="s">
        <v>78</v>
      </c>
      <c r="O3199" t="s">
        <v>47</v>
      </c>
      <c r="P3199" t="s">
        <v>66</v>
      </c>
      <c r="R3199">
        <f>SUMIF(A3199:A8198,"C03198",I3199:I8198)</f>
        <v>90517.14</v>
      </c>
      <c r="S3199" s="1">
        <v>785.34</v>
      </c>
      <c r="T3199">
        <f t="shared" si="363"/>
        <v>619.980410958904</v>
      </c>
      <c r="U3199">
        <f t="shared" si="364"/>
        <v>2905.4</v>
      </c>
      <c r="V3199">
        <f t="shared" si="362"/>
        <v>242.116666666667</v>
      </c>
      <c r="W3199">
        <f t="shared" si="360"/>
        <v>31201.7733333333</v>
      </c>
      <c r="X3199">
        <f t="shared" si="365"/>
        <v>0.18269099955299</v>
      </c>
      <c r="AH3199" t="str">
        <f t="shared" si="361"/>
        <v>2nd Quality</v>
      </c>
      <c r="AJ3199">
        <f>((T3199-X3199)*2)/8.7</f>
        <v>142.482234473414</v>
      </c>
      <c r="AK3199">
        <f t="shared" si="359"/>
        <v>349668.951780822</v>
      </c>
    </row>
    <row r="3200" spans="1:37">
      <c r="A3200" t="s">
        <v>3266</v>
      </c>
      <c r="B3200">
        <v>41</v>
      </c>
      <c r="C3200" t="s">
        <v>44</v>
      </c>
      <c r="D3200" t="s">
        <v>45</v>
      </c>
      <c r="E3200">
        <v>1171</v>
      </c>
      <c r="F3200">
        <v>15</v>
      </c>
      <c r="G3200">
        <v>20</v>
      </c>
      <c r="H3200">
        <v>3543.65</v>
      </c>
      <c r="I3200">
        <v>73991.2</v>
      </c>
      <c r="J3200">
        <v>149</v>
      </c>
      <c r="K3200">
        <v>1</v>
      </c>
      <c r="L3200">
        <v>8.9</v>
      </c>
      <c r="M3200">
        <v>17.1</v>
      </c>
      <c r="N3200" t="s">
        <v>78</v>
      </c>
      <c r="O3200" t="s">
        <v>75</v>
      </c>
      <c r="P3200" t="s">
        <v>58</v>
      </c>
      <c r="R3200">
        <f>SUMIF(A3200:A8199,"C03199",I3200:I8199)</f>
        <v>73991.2</v>
      </c>
      <c r="S3200" s="1">
        <v>2373.15</v>
      </c>
      <c r="T3200">
        <f t="shared" si="363"/>
        <v>496.585234899329</v>
      </c>
      <c r="U3200">
        <f t="shared" si="364"/>
        <v>2547.9</v>
      </c>
      <c r="V3200">
        <f>U3200</f>
        <v>2547.9</v>
      </c>
      <c r="W3200">
        <f t="shared" si="360"/>
        <v>25845.2833333333</v>
      </c>
      <c r="X3200">
        <f t="shared" si="365"/>
        <v>0.330450241982137</v>
      </c>
      <c r="AH3200" t="str">
        <f t="shared" si="361"/>
        <v>2nd Quality</v>
      </c>
      <c r="AJ3200">
        <f>((T3200-X3200)*2)/8.9</f>
        <v>111.517929136482</v>
      </c>
      <c r="AK3200">
        <f t="shared" si="359"/>
        <v>581501.310067114</v>
      </c>
    </row>
    <row r="3201" spans="1:37">
      <c r="A3201" t="s">
        <v>3267</v>
      </c>
      <c r="B3201">
        <v>26</v>
      </c>
      <c r="C3201" t="s">
        <v>50</v>
      </c>
      <c r="D3201" t="s">
        <v>45</v>
      </c>
      <c r="E3201">
        <v>407</v>
      </c>
      <c r="F3201">
        <v>365</v>
      </c>
      <c r="G3201">
        <v>2</v>
      </c>
      <c r="H3201">
        <v>1888.64</v>
      </c>
      <c r="I3201">
        <v>4010.19</v>
      </c>
      <c r="J3201">
        <v>15</v>
      </c>
      <c r="K3201">
        <v>0</v>
      </c>
      <c r="L3201">
        <v>28.8</v>
      </c>
      <c r="M3201">
        <v>19.8</v>
      </c>
      <c r="N3201" t="s">
        <v>61</v>
      </c>
      <c r="O3201" t="s">
        <v>47</v>
      </c>
      <c r="P3201" t="s">
        <v>58</v>
      </c>
      <c r="R3201">
        <f>SUMIF(A3201:A8200,"C03200",I3201:I8200)</f>
        <v>4010.19</v>
      </c>
      <c r="S3201" s="1">
        <v>2485.44</v>
      </c>
      <c r="T3201">
        <f t="shared" si="363"/>
        <v>267.346</v>
      </c>
      <c r="U3201">
        <f t="shared" si="364"/>
        <v>297</v>
      </c>
      <c r="V3201">
        <f t="shared" si="362"/>
        <v>24.75</v>
      </c>
      <c r="W3201">
        <f t="shared" si="360"/>
        <v>1966.61</v>
      </c>
      <c r="X3201">
        <f t="shared" si="365"/>
        <v>0.215498983395459</v>
      </c>
      <c r="AH3201" t="str">
        <f t="shared" si="361"/>
        <v>3rd Quality</v>
      </c>
      <c r="AJ3201">
        <f>((T3201-X3201)*2)/28.8</f>
        <v>18.5507292372642</v>
      </c>
      <c r="AK3201">
        <f t="shared" si="359"/>
        <v>108809.822</v>
      </c>
    </row>
    <row r="3202" spans="1:37">
      <c r="A3202" t="s">
        <v>3268</v>
      </c>
      <c r="B3202">
        <v>33</v>
      </c>
      <c r="C3202" t="s">
        <v>44</v>
      </c>
      <c r="D3202" t="s">
        <v>45</v>
      </c>
      <c r="E3202">
        <v>488</v>
      </c>
      <c r="F3202">
        <v>169</v>
      </c>
      <c r="G3202">
        <v>2</v>
      </c>
      <c r="H3202">
        <v>352.92</v>
      </c>
      <c r="I3202">
        <v>785.34</v>
      </c>
      <c r="J3202">
        <v>13</v>
      </c>
      <c r="K3202">
        <v>0</v>
      </c>
      <c r="L3202">
        <v>34.3</v>
      </c>
      <c r="M3202">
        <v>19.5</v>
      </c>
      <c r="N3202" t="s">
        <v>61</v>
      </c>
      <c r="O3202" t="s">
        <v>75</v>
      </c>
      <c r="P3202" t="s">
        <v>58</v>
      </c>
      <c r="R3202">
        <f>SUMIF(A3202:A8201,"C03201",I3202:I8201)</f>
        <v>785.34</v>
      </c>
      <c r="S3202" s="1">
        <v>39979.94</v>
      </c>
      <c r="T3202">
        <f t="shared" si="363"/>
        <v>60.4107692307692</v>
      </c>
      <c r="U3202">
        <f t="shared" si="364"/>
        <v>253.5</v>
      </c>
      <c r="V3202">
        <f t="shared" si="362"/>
        <v>21.125</v>
      </c>
      <c r="W3202">
        <f t="shared" si="360"/>
        <v>379.753333333333</v>
      </c>
      <c r="X3202">
        <f t="shared" si="365"/>
        <v>1.38274963164457</v>
      </c>
      <c r="AH3202" t="str">
        <f t="shared" si="361"/>
        <v>3rd Quality</v>
      </c>
      <c r="AJ3202">
        <f>((T3202-X3202)*2)/34.3</f>
        <v>3.44186703201893</v>
      </c>
      <c r="AK3202">
        <f t="shared" si="359"/>
        <v>29480.4553846154</v>
      </c>
    </row>
    <row r="3203" spans="1:37">
      <c r="A3203" t="s">
        <v>3269</v>
      </c>
      <c r="B3203">
        <v>30</v>
      </c>
      <c r="C3203" t="s">
        <v>44</v>
      </c>
      <c r="D3203" t="s">
        <v>51</v>
      </c>
      <c r="E3203">
        <v>805</v>
      </c>
      <c r="F3203">
        <v>362</v>
      </c>
      <c r="G3203">
        <v>1</v>
      </c>
      <c r="H3203">
        <v>2382.9</v>
      </c>
      <c r="I3203">
        <v>2373.15</v>
      </c>
      <c r="J3203">
        <v>18</v>
      </c>
      <c r="K3203">
        <v>0</v>
      </c>
      <c r="L3203">
        <v>11.7</v>
      </c>
      <c r="M3203">
        <v>11.1</v>
      </c>
      <c r="N3203" t="s">
        <v>78</v>
      </c>
      <c r="O3203" t="s">
        <v>53</v>
      </c>
      <c r="P3203" t="s">
        <v>58</v>
      </c>
      <c r="R3203">
        <f>SUMIF(A3203:A8202,"C03202",I3203:I8202)</f>
        <v>2373.15</v>
      </c>
      <c r="S3203" s="1">
        <v>2910.41</v>
      </c>
      <c r="T3203">
        <f t="shared" si="363"/>
        <v>131.841666666667</v>
      </c>
      <c r="U3203">
        <f t="shared" si="364"/>
        <v>199.8</v>
      </c>
      <c r="V3203">
        <f t="shared" si="362"/>
        <v>16.65</v>
      </c>
      <c r="W3203">
        <f t="shared" si="360"/>
        <v>1585.68333333333</v>
      </c>
      <c r="X3203">
        <f t="shared" si="365"/>
        <v>0.337823660245919</v>
      </c>
      <c r="AH3203" t="str">
        <f t="shared" si="361"/>
        <v>3rd Quality</v>
      </c>
      <c r="AJ3203">
        <f>((T3203-X3203)*2)/11.7</f>
        <v>22.479289402807</v>
      </c>
      <c r="AK3203">
        <f t="shared" ref="AK3203:AK3266" si="366">I3203/J3203*E3203</f>
        <v>106132.541666667</v>
      </c>
    </row>
    <row r="3204" spans="1:37">
      <c r="A3204" t="s">
        <v>3270</v>
      </c>
      <c r="B3204">
        <v>20</v>
      </c>
      <c r="C3204" t="s">
        <v>56</v>
      </c>
      <c r="D3204" t="s">
        <v>60</v>
      </c>
      <c r="E3204">
        <v>1064</v>
      </c>
      <c r="F3204">
        <v>237</v>
      </c>
      <c r="G3204">
        <v>1</v>
      </c>
      <c r="H3204">
        <v>2723.13</v>
      </c>
      <c r="I3204">
        <v>2485.44</v>
      </c>
      <c r="J3204">
        <v>16</v>
      </c>
      <c r="K3204">
        <v>0</v>
      </c>
      <c r="L3204">
        <v>23.5</v>
      </c>
      <c r="M3204">
        <v>21.6</v>
      </c>
      <c r="N3204" t="s">
        <v>78</v>
      </c>
      <c r="O3204" t="s">
        <v>47</v>
      </c>
      <c r="P3204" t="s">
        <v>58</v>
      </c>
      <c r="R3204">
        <f>SUMIF(A3204:A8203,"C03203",I3204:I8203)</f>
        <v>2485.44</v>
      </c>
      <c r="S3204" s="1">
        <v>12254.58</v>
      </c>
      <c r="T3204">
        <f t="shared" si="363"/>
        <v>155.34</v>
      </c>
      <c r="U3204">
        <f t="shared" si="364"/>
        <v>345.6</v>
      </c>
      <c r="V3204">
        <f t="shared" si="362"/>
        <v>28.8</v>
      </c>
      <c r="W3204">
        <f t="shared" si="360"/>
        <v>1736.52333333333</v>
      </c>
      <c r="X3204">
        <f t="shared" si="365"/>
        <v>0.390726847414556</v>
      </c>
      <c r="AH3204" t="str">
        <f t="shared" si="361"/>
        <v>3rd Quality</v>
      </c>
      <c r="AJ3204">
        <f>((T3204-X3204)*2)/23.5</f>
        <v>13.1871721831988</v>
      </c>
      <c r="AK3204">
        <f t="shared" si="366"/>
        <v>165281.76</v>
      </c>
    </row>
    <row r="3205" spans="1:37">
      <c r="A3205" t="s">
        <v>3271</v>
      </c>
      <c r="B3205">
        <v>30</v>
      </c>
      <c r="C3205" t="s">
        <v>50</v>
      </c>
      <c r="D3205" t="s">
        <v>45</v>
      </c>
      <c r="E3205">
        <v>1269</v>
      </c>
      <c r="F3205">
        <v>24</v>
      </c>
      <c r="G3205">
        <v>2</v>
      </c>
      <c r="H3205">
        <v>19092.12</v>
      </c>
      <c r="I3205">
        <v>39979.94</v>
      </c>
      <c r="J3205">
        <v>14</v>
      </c>
      <c r="K3205">
        <v>0</v>
      </c>
      <c r="L3205">
        <v>2.1</v>
      </c>
      <c r="M3205">
        <v>25</v>
      </c>
      <c r="N3205" t="s">
        <v>81</v>
      </c>
      <c r="O3205" t="s">
        <v>75</v>
      </c>
      <c r="P3205" t="s">
        <v>68</v>
      </c>
      <c r="R3205">
        <f>SUMIF(A3205:A8204,"C03204",I3205:I8204)</f>
        <v>39979.94</v>
      </c>
      <c r="S3205" s="1">
        <v>126267.06</v>
      </c>
      <c r="T3205">
        <f t="shared" si="363"/>
        <v>2855.71</v>
      </c>
      <c r="U3205">
        <f t="shared" si="364"/>
        <v>350</v>
      </c>
      <c r="V3205">
        <f t="shared" si="362"/>
        <v>29.1666666666667</v>
      </c>
      <c r="W3205">
        <f t="shared" si="360"/>
        <v>19691.02</v>
      </c>
      <c r="X3205">
        <f t="shared" si="365"/>
        <v>0.0664672126510833</v>
      </c>
      <c r="AH3205" t="str">
        <f t="shared" si="361"/>
        <v>1st Quality</v>
      </c>
      <c r="AJ3205">
        <f>((T3205-X3205)*2)/2.1</f>
        <v>2719.66050741652</v>
      </c>
      <c r="AK3205">
        <f t="shared" si="366"/>
        <v>3623895.99</v>
      </c>
    </row>
    <row r="3206" spans="1:37">
      <c r="A3206" t="s">
        <v>3272</v>
      </c>
      <c r="B3206">
        <v>34</v>
      </c>
      <c r="C3206" t="s">
        <v>50</v>
      </c>
      <c r="D3206" t="s">
        <v>60</v>
      </c>
      <c r="E3206">
        <v>1177</v>
      </c>
      <c r="F3206">
        <v>71</v>
      </c>
      <c r="G3206">
        <v>2</v>
      </c>
      <c r="H3206">
        <v>1439.55</v>
      </c>
      <c r="I3206">
        <v>2910.41</v>
      </c>
      <c r="J3206">
        <v>23</v>
      </c>
      <c r="K3206">
        <v>0</v>
      </c>
      <c r="L3206">
        <v>18.1</v>
      </c>
      <c r="M3206">
        <v>28.2</v>
      </c>
      <c r="N3206" t="s">
        <v>57</v>
      </c>
      <c r="O3206" t="s">
        <v>47</v>
      </c>
      <c r="P3206" t="s">
        <v>58</v>
      </c>
      <c r="R3206">
        <f>SUMIF(A3206:A8205,"C03205",I3206:I8205)</f>
        <v>2910.41</v>
      </c>
      <c r="S3206" s="1">
        <v>118447.91</v>
      </c>
      <c r="T3206">
        <f t="shared" si="363"/>
        <v>126.539565217391</v>
      </c>
      <c r="U3206">
        <f t="shared" si="364"/>
        <v>648.6</v>
      </c>
      <c r="V3206">
        <f t="shared" si="362"/>
        <v>54.05</v>
      </c>
      <c r="W3206">
        <f t="shared" si="360"/>
        <v>1450.32</v>
      </c>
      <c r="X3206">
        <f t="shared" si="365"/>
        <v>0.817616616303706</v>
      </c>
      <c r="AH3206" t="str">
        <f t="shared" si="361"/>
        <v>3rd Quality</v>
      </c>
      <c r="AJ3206">
        <f>((T3206-X3206)*2)/18.1</f>
        <v>13.8919280222196</v>
      </c>
      <c r="AK3206">
        <f t="shared" si="366"/>
        <v>148937.06826087</v>
      </c>
    </row>
    <row r="3207" spans="1:37">
      <c r="A3207" t="s">
        <v>3273</v>
      </c>
      <c r="B3207">
        <v>35</v>
      </c>
      <c r="C3207" t="s">
        <v>44</v>
      </c>
      <c r="D3207" t="s">
        <v>60</v>
      </c>
      <c r="E3207">
        <v>1342</v>
      </c>
      <c r="F3207">
        <v>97</v>
      </c>
      <c r="G3207">
        <v>13</v>
      </c>
      <c r="H3207">
        <v>877.01</v>
      </c>
      <c r="I3207">
        <v>12254.58</v>
      </c>
      <c r="J3207">
        <v>74</v>
      </c>
      <c r="K3207">
        <v>0</v>
      </c>
      <c r="L3207">
        <v>7.3</v>
      </c>
      <c r="M3207">
        <v>5.8</v>
      </c>
      <c r="N3207" t="s">
        <v>46</v>
      </c>
      <c r="O3207" t="s">
        <v>75</v>
      </c>
      <c r="P3207" t="s">
        <v>48</v>
      </c>
      <c r="R3207">
        <f>SUMIF(A3207:A8206,"C03206",I3207:I8206)</f>
        <v>12254.58</v>
      </c>
      <c r="S3207" s="1">
        <v>73974.23</v>
      </c>
      <c r="T3207">
        <f t="shared" si="363"/>
        <v>165.602432432432</v>
      </c>
      <c r="U3207">
        <f t="shared" si="364"/>
        <v>429.2</v>
      </c>
      <c r="V3207">
        <f t="shared" si="362"/>
        <v>35.7666666666667</v>
      </c>
      <c r="W3207">
        <f t="shared" si="360"/>
        <v>4377.53</v>
      </c>
      <c r="X3207">
        <f t="shared" si="365"/>
        <v>1.53019919955303</v>
      </c>
      <c r="AH3207" t="str">
        <f t="shared" si="361"/>
        <v>3rd Quality</v>
      </c>
      <c r="AJ3207">
        <f>((T3207-X3207)*2)/7.3</f>
        <v>44.9512967761312</v>
      </c>
      <c r="AK3207">
        <f t="shared" si="366"/>
        <v>222238.464324324</v>
      </c>
    </row>
    <row r="3208" spans="1:37">
      <c r="A3208" t="s">
        <v>3274</v>
      </c>
      <c r="B3208">
        <v>46</v>
      </c>
      <c r="C3208" t="s">
        <v>50</v>
      </c>
      <c r="D3208" t="s">
        <v>60</v>
      </c>
      <c r="E3208">
        <v>842</v>
      </c>
      <c r="F3208">
        <v>14</v>
      </c>
      <c r="G3208">
        <v>22</v>
      </c>
      <c r="H3208">
        <v>5362.35</v>
      </c>
      <c r="I3208">
        <v>126267.06</v>
      </c>
      <c r="J3208">
        <v>141</v>
      </c>
      <c r="K3208">
        <v>3</v>
      </c>
      <c r="L3208">
        <v>14.7</v>
      </c>
      <c r="M3208">
        <v>30.8</v>
      </c>
      <c r="N3208" t="s">
        <v>57</v>
      </c>
      <c r="O3208" t="s">
        <v>53</v>
      </c>
      <c r="P3208" t="s">
        <v>68</v>
      </c>
      <c r="R3208">
        <f>SUMIF(A3208:A8207,"C03207",I3208:I8207)</f>
        <v>126267.06</v>
      </c>
      <c r="S3208" s="1">
        <v>59707.97</v>
      </c>
      <c r="T3208">
        <f t="shared" si="363"/>
        <v>895.511063829787</v>
      </c>
      <c r="U3208">
        <f t="shared" si="364"/>
        <v>4342.8</v>
      </c>
      <c r="V3208">
        <f>U3208</f>
        <v>4342.8</v>
      </c>
      <c r="W3208">
        <f t="shared" si="360"/>
        <v>43876.8033333333</v>
      </c>
      <c r="X3208">
        <f t="shared" si="365"/>
        <v>0.157020709203987</v>
      </c>
      <c r="AH3208" t="str">
        <f t="shared" si="361"/>
        <v>3rd Quality</v>
      </c>
      <c r="AJ3208">
        <f>((T3208-X3208)*2)/14.7</f>
        <v>121.816876615045</v>
      </c>
      <c r="AK3208">
        <f t="shared" si="366"/>
        <v>754020.315744681</v>
      </c>
    </row>
    <row r="3209" spans="1:37">
      <c r="A3209" t="s">
        <v>3275</v>
      </c>
      <c r="B3209">
        <v>36</v>
      </c>
      <c r="C3209" t="s">
        <v>50</v>
      </c>
      <c r="D3209" t="s">
        <v>51</v>
      </c>
      <c r="E3209">
        <v>629</v>
      </c>
      <c r="F3209">
        <v>6</v>
      </c>
      <c r="G3209">
        <v>29</v>
      </c>
      <c r="H3209">
        <v>3868</v>
      </c>
      <c r="I3209">
        <v>118447.91</v>
      </c>
      <c r="J3209">
        <v>130</v>
      </c>
      <c r="K3209">
        <v>1</v>
      </c>
      <c r="L3209">
        <v>4.3</v>
      </c>
      <c r="M3209">
        <v>45.1</v>
      </c>
      <c r="N3209" t="s">
        <v>63</v>
      </c>
      <c r="O3209" t="s">
        <v>53</v>
      </c>
      <c r="P3209" t="s">
        <v>58</v>
      </c>
      <c r="R3209">
        <f>SUMIF(A3209:A8208,"C03208",I3209:I8208)</f>
        <v>118447.91</v>
      </c>
      <c r="S3209" s="1">
        <v>11523.42</v>
      </c>
      <c r="T3209">
        <f t="shared" si="363"/>
        <v>911.137769230769</v>
      </c>
      <c r="U3209">
        <f t="shared" si="364"/>
        <v>5863</v>
      </c>
      <c r="V3209">
        <f>U3209</f>
        <v>5863</v>
      </c>
      <c r="W3209">
        <f t="shared" ref="W3209:W3272" si="367">(H3209+I3209+1)/3</f>
        <v>40772.3033333333</v>
      </c>
      <c r="X3209">
        <f t="shared" si="365"/>
        <v>0.162616339193382</v>
      </c>
      <c r="AH3209" t="str">
        <f t="shared" si="361"/>
        <v>2nd Quality</v>
      </c>
      <c r="AJ3209">
        <f>((T3209-X3209)*2)/4.3</f>
        <v>423.709373437942</v>
      </c>
      <c r="AK3209">
        <f t="shared" si="366"/>
        <v>573105.656846154</v>
      </c>
    </row>
    <row r="3210" spans="1:37">
      <c r="A3210" t="s">
        <v>3276</v>
      </c>
      <c r="B3210">
        <v>22</v>
      </c>
      <c r="C3210" t="s">
        <v>50</v>
      </c>
      <c r="D3210" t="s">
        <v>45</v>
      </c>
      <c r="E3210">
        <v>828</v>
      </c>
      <c r="F3210">
        <v>10</v>
      </c>
      <c r="G3210">
        <v>17</v>
      </c>
      <c r="H3210">
        <v>4461.67</v>
      </c>
      <c r="I3210">
        <v>73974.23</v>
      </c>
      <c r="J3210">
        <v>62</v>
      </c>
      <c r="K3210">
        <v>3</v>
      </c>
      <c r="L3210">
        <v>7.5</v>
      </c>
      <c r="M3210">
        <v>14.3</v>
      </c>
      <c r="N3210" t="s">
        <v>78</v>
      </c>
      <c r="O3210" t="s">
        <v>47</v>
      </c>
      <c r="P3210" t="s">
        <v>58</v>
      </c>
      <c r="R3210">
        <f>SUMIF(A3210:A8209,"C03209",I3210:I8209)</f>
        <v>73974.23</v>
      </c>
      <c r="S3210" s="1">
        <v>2243.43</v>
      </c>
      <c r="T3210">
        <f t="shared" si="363"/>
        <v>1193.13274193548</v>
      </c>
      <c r="U3210">
        <f t="shared" si="364"/>
        <v>886.6</v>
      </c>
      <c r="V3210">
        <f>U3210</f>
        <v>886.6</v>
      </c>
      <c r="W3210">
        <f t="shared" si="367"/>
        <v>26145.6333333333</v>
      </c>
      <c r="X3210">
        <f t="shared" si="365"/>
        <v>0.185580735464523</v>
      </c>
      <c r="AH3210" t="str">
        <f t="shared" si="361"/>
        <v>2nd Quality</v>
      </c>
      <c r="AJ3210">
        <f>((T3210-X3210)*2)/7.5</f>
        <v>318.119242986671</v>
      </c>
      <c r="AK3210">
        <f t="shared" si="366"/>
        <v>987913.910322581</v>
      </c>
    </row>
    <row r="3211" spans="1:37">
      <c r="A3211" t="s">
        <v>3277</v>
      </c>
      <c r="B3211">
        <v>40</v>
      </c>
      <c r="C3211" t="s">
        <v>44</v>
      </c>
      <c r="D3211" t="s">
        <v>45</v>
      </c>
      <c r="E3211">
        <v>669</v>
      </c>
      <c r="F3211">
        <v>3</v>
      </c>
      <c r="G3211">
        <v>24</v>
      </c>
      <c r="H3211">
        <v>2502.43</v>
      </c>
      <c r="I3211">
        <v>59707.97</v>
      </c>
      <c r="J3211">
        <v>103</v>
      </c>
      <c r="K3211">
        <v>1</v>
      </c>
      <c r="L3211">
        <v>0</v>
      </c>
      <c r="M3211">
        <v>55.9</v>
      </c>
      <c r="N3211" t="s">
        <v>46</v>
      </c>
      <c r="O3211" t="s">
        <v>47</v>
      </c>
      <c r="P3211" t="s">
        <v>58</v>
      </c>
      <c r="R3211">
        <f>SUMIF(A3211:A8210,"C03210",I3211:I8210)</f>
        <v>59707.97</v>
      </c>
      <c r="S3211" s="1">
        <v>4329.71</v>
      </c>
      <c r="T3211">
        <f t="shared" si="363"/>
        <v>579.689029126214</v>
      </c>
      <c r="U3211">
        <f t="shared" si="364"/>
        <v>5757.7</v>
      </c>
      <c r="V3211">
        <f>U3211</f>
        <v>5757.7</v>
      </c>
      <c r="W3211">
        <f t="shared" si="367"/>
        <v>20737.1333333333</v>
      </c>
      <c r="X3211">
        <f t="shared" si="365"/>
        <v>0.267340145378692</v>
      </c>
      <c r="AH3211" t="str">
        <f t="shared" si="361"/>
        <v>2nd Quality</v>
      </c>
      <c r="AJ3211">
        <f>((T3211-X3211)*2)</f>
        <v>1158.84337796167</v>
      </c>
      <c r="AK3211">
        <f t="shared" si="366"/>
        <v>387811.960485437</v>
      </c>
    </row>
    <row r="3212" spans="1:37">
      <c r="A3212" t="s">
        <v>3278</v>
      </c>
      <c r="B3212">
        <v>27</v>
      </c>
      <c r="C3212" t="s">
        <v>44</v>
      </c>
      <c r="D3212" t="s">
        <v>45</v>
      </c>
      <c r="E3212">
        <v>757</v>
      </c>
      <c r="F3212">
        <v>37</v>
      </c>
      <c r="G3212">
        <v>7</v>
      </c>
      <c r="H3212">
        <v>1496.75</v>
      </c>
      <c r="I3212">
        <v>11523.42</v>
      </c>
      <c r="J3212">
        <v>69</v>
      </c>
      <c r="K3212">
        <v>0</v>
      </c>
      <c r="L3212">
        <v>23.3</v>
      </c>
      <c r="M3212">
        <v>50.5</v>
      </c>
      <c r="N3212" t="s">
        <v>78</v>
      </c>
      <c r="O3212" t="s">
        <v>53</v>
      </c>
      <c r="P3212" t="s">
        <v>58</v>
      </c>
      <c r="R3212">
        <f>SUMIF(A3212:A8211,"C03211",I3212:I8211)</f>
        <v>11523.42</v>
      </c>
      <c r="S3212" s="1">
        <v>52141.21</v>
      </c>
      <c r="T3212">
        <f t="shared" si="363"/>
        <v>167.006086956522</v>
      </c>
      <c r="U3212">
        <f t="shared" si="364"/>
        <v>3484.5</v>
      </c>
      <c r="V3212">
        <f t="shared" si="362"/>
        <v>290.375</v>
      </c>
      <c r="W3212">
        <f t="shared" si="367"/>
        <v>4340.39</v>
      </c>
      <c r="X3212">
        <f t="shared" si="365"/>
        <v>0.505762485385001</v>
      </c>
      <c r="AH3212" t="str">
        <f t="shared" si="361"/>
        <v>3rd Quality</v>
      </c>
      <c r="AJ3212">
        <f>((T3212-X3212)*2)/23.3</f>
        <v>14.291873345162</v>
      </c>
      <c r="AK3212">
        <f t="shared" si="366"/>
        <v>126423.607826087</v>
      </c>
    </row>
    <row r="3213" spans="1:37">
      <c r="A3213" t="s">
        <v>3279</v>
      </c>
      <c r="B3213">
        <v>23</v>
      </c>
      <c r="C3213" t="s">
        <v>44</v>
      </c>
      <c r="D3213" t="s">
        <v>60</v>
      </c>
      <c r="E3213">
        <v>477</v>
      </c>
      <c r="F3213">
        <v>207</v>
      </c>
      <c r="G3213">
        <v>4</v>
      </c>
      <c r="H3213">
        <v>569.61</v>
      </c>
      <c r="I3213">
        <v>2243.43</v>
      </c>
      <c r="J3213">
        <v>34</v>
      </c>
      <c r="K3213">
        <v>0</v>
      </c>
      <c r="L3213">
        <v>29.5</v>
      </c>
      <c r="M3213">
        <v>19.5</v>
      </c>
      <c r="N3213" t="s">
        <v>78</v>
      </c>
      <c r="O3213" t="s">
        <v>47</v>
      </c>
      <c r="P3213" t="s">
        <v>58</v>
      </c>
      <c r="R3213">
        <f>SUMIF(A3213:A8212,"C03212",I3213:I8212)</f>
        <v>2243.43</v>
      </c>
      <c r="S3213" s="1">
        <v>141553.42</v>
      </c>
      <c r="T3213">
        <f t="shared" si="363"/>
        <v>65.9832352941176</v>
      </c>
      <c r="U3213">
        <f t="shared" si="364"/>
        <v>663</v>
      </c>
      <c r="V3213">
        <f t="shared" si="362"/>
        <v>55.25</v>
      </c>
      <c r="W3213">
        <f t="shared" si="367"/>
        <v>938.013333333333</v>
      </c>
      <c r="X3213">
        <f t="shared" si="365"/>
        <v>0.837415073471322</v>
      </c>
      <c r="AH3213" t="str">
        <f t="shared" si="361"/>
        <v>3rd Quality</v>
      </c>
      <c r="AJ3213">
        <f>((T3213-X3213)*2)/29.5</f>
        <v>4.41666577767093</v>
      </c>
      <c r="AK3213">
        <f t="shared" si="366"/>
        <v>31474.0032352941</v>
      </c>
    </row>
    <row r="3214" spans="1:37">
      <c r="A3214" t="s">
        <v>3280</v>
      </c>
      <c r="B3214">
        <v>52</v>
      </c>
      <c r="C3214" t="s">
        <v>50</v>
      </c>
      <c r="D3214" t="s">
        <v>45</v>
      </c>
      <c r="E3214">
        <v>1207</v>
      </c>
      <c r="F3214">
        <v>144</v>
      </c>
      <c r="G3214">
        <v>5</v>
      </c>
      <c r="H3214">
        <v>848.31</v>
      </c>
      <c r="I3214">
        <v>4329.71</v>
      </c>
      <c r="J3214">
        <v>48</v>
      </c>
      <c r="K3214">
        <v>0</v>
      </c>
      <c r="L3214">
        <v>20.1</v>
      </c>
      <c r="M3214">
        <v>44.6</v>
      </c>
      <c r="N3214" t="s">
        <v>63</v>
      </c>
      <c r="O3214" t="s">
        <v>47</v>
      </c>
      <c r="P3214" t="s">
        <v>58</v>
      </c>
      <c r="R3214">
        <f>SUMIF(A3214:A8213,"C03213",I3214:I8213)</f>
        <v>4329.71</v>
      </c>
      <c r="S3214" s="1">
        <v>2229.46</v>
      </c>
      <c r="T3214">
        <f t="shared" si="363"/>
        <v>90.2022916666667</v>
      </c>
      <c r="U3214">
        <f t="shared" si="364"/>
        <v>2140.8</v>
      </c>
      <c r="V3214">
        <f t="shared" si="362"/>
        <v>178.4</v>
      </c>
      <c r="W3214">
        <f t="shared" si="367"/>
        <v>1726.34</v>
      </c>
      <c r="X3214">
        <f t="shared" si="365"/>
        <v>1.4228289186736</v>
      </c>
      <c r="AH3214" t="str">
        <f t="shared" ref="AH3214:AH3277" si="368">IF(AND(W3214&gt;=12550,B3214&lt;=33,E3214&gt;=915),"1st Quality",IF(AND(W3214&gt;=6275,B3214&lt;=43,E3214&gt;=457),"2nd Quality","3rd Quality"))</f>
        <v>3rd Quality</v>
      </c>
      <c r="AJ3214">
        <f>((T3214-X3214)*2)/20.1</f>
        <v>8.83377738786001</v>
      </c>
      <c r="AK3214">
        <f t="shared" si="366"/>
        <v>108874.166041667</v>
      </c>
    </row>
    <row r="3215" spans="1:37">
      <c r="A3215" t="s">
        <v>3281</v>
      </c>
      <c r="B3215">
        <v>37</v>
      </c>
      <c r="C3215" t="s">
        <v>50</v>
      </c>
      <c r="D3215" t="s">
        <v>60</v>
      </c>
      <c r="E3215">
        <v>1362</v>
      </c>
      <c r="F3215">
        <v>58</v>
      </c>
      <c r="G3215">
        <v>6</v>
      </c>
      <c r="H3215">
        <v>8323.6</v>
      </c>
      <c r="I3215">
        <v>52141.21</v>
      </c>
      <c r="J3215">
        <v>42</v>
      </c>
      <c r="K3215">
        <v>1</v>
      </c>
      <c r="L3215">
        <v>6.2</v>
      </c>
      <c r="M3215">
        <v>20.3</v>
      </c>
      <c r="N3215" t="s">
        <v>63</v>
      </c>
      <c r="O3215" t="s">
        <v>53</v>
      </c>
      <c r="P3215" t="s">
        <v>58</v>
      </c>
      <c r="R3215">
        <f>SUMIF(A3215:A8214,"C03214",I3215:I8214)</f>
        <v>52141.21</v>
      </c>
      <c r="S3215" s="1">
        <v>3159.23</v>
      </c>
      <c r="T3215">
        <f t="shared" si="363"/>
        <v>1241.45738095238</v>
      </c>
      <c r="U3215">
        <f t="shared" si="364"/>
        <v>852.6</v>
      </c>
      <c r="V3215">
        <f>U3215</f>
        <v>852.6</v>
      </c>
      <c r="W3215">
        <f t="shared" si="367"/>
        <v>20155.27</v>
      </c>
      <c r="X3215">
        <f t="shared" si="365"/>
        <v>0.163631121149503</v>
      </c>
      <c r="AH3215" t="str">
        <f t="shared" si="368"/>
        <v>2nd Quality</v>
      </c>
      <c r="AJ3215">
        <f>((T3215-X3215)*2)/6.2</f>
        <v>400.417338655236</v>
      </c>
      <c r="AK3215">
        <f t="shared" si="366"/>
        <v>1690864.95285714</v>
      </c>
    </row>
    <row r="3216" spans="1:37">
      <c r="A3216" t="s">
        <v>3282</v>
      </c>
      <c r="B3216">
        <v>31</v>
      </c>
      <c r="C3216" t="s">
        <v>44</v>
      </c>
      <c r="D3216" t="s">
        <v>60</v>
      </c>
      <c r="E3216">
        <v>474</v>
      </c>
      <c r="F3216">
        <v>19</v>
      </c>
      <c r="G3216">
        <v>20</v>
      </c>
      <c r="H3216">
        <v>7796.71</v>
      </c>
      <c r="I3216">
        <v>141553.42</v>
      </c>
      <c r="J3216">
        <v>170</v>
      </c>
      <c r="K3216">
        <v>3</v>
      </c>
      <c r="L3216">
        <v>7.1</v>
      </c>
      <c r="M3216">
        <v>52.9</v>
      </c>
      <c r="N3216" t="s">
        <v>63</v>
      </c>
      <c r="O3216" t="s">
        <v>47</v>
      </c>
      <c r="P3216" t="s">
        <v>54</v>
      </c>
      <c r="R3216">
        <f>SUMIF(A3216:A8215,"C03215",I3216:I8215)</f>
        <v>141553.42</v>
      </c>
      <c r="S3216" s="1">
        <v>85634.99</v>
      </c>
      <c r="T3216">
        <f t="shared" si="363"/>
        <v>832.667176470588</v>
      </c>
      <c r="U3216">
        <f t="shared" si="364"/>
        <v>8993</v>
      </c>
      <c r="V3216">
        <f>U3216</f>
        <v>8993</v>
      </c>
      <c r="W3216">
        <f t="shared" si="367"/>
        <v>49783.71</v>
      </c>
      <c r="X3216">
        <f t="shared" si="365"/>
        <v>0.0607948737352037</v>
      </c>
      <c r="AH3216" t="str">
        <f t="shared" si="368"/>
        <v>2nd Quality</v>
      </c>
      <c r="AJ3216">
        <f>((T3216-X3216)*2)/7.1</f>
        <v>234.537008900522</v>
      </c>
      <c r="AK3216">
        <f t="shared" si="366"/>
        <v>394684.241647059</v>
      </c>
    </row>
    <row r="3217" spans="1:37">
      <c r="A3217" t="s">
        <v>3283</v>
      </c>
      <c r="B3217">
        <v>28</v>
      </c>
      <c r="C3217" t="s">
        <v>50</v>
      </c>
      <c r="D3217" t="s">
        <v>51</v>
      </c>
      <c r="E3217">
        <v>441</v>
      </c>
      <c r="F3217">
        <v>123</v>
      </c>
      <c r="G3217">
        <v>2</v>
      </c>
      <c r="H3217">
        <v>1047.03</v>
      </c>
      <c r="I3217">
        <v>2229.46</v>
      </c>
      <c r="J3217">
        <v>12</v>
      </c>
      <c r="K3217">
        <v>0</v>
      </c>
      <c r="L3217">
        <v>37.6</v>
      </c>
      <c r="M3217">
        <v>9.9</v>
      </c>
      <c r="N3217" t="s">
        <v>78</v>
      </c>
      <c r="O3217" t="s">
        <v>53</v>
      </c>
      <c r="P3217" t="s">
        <v>58</v>
      </c>
      <c r="R3217">
        <f>SUMIF(A3217:A8216,"C03216",I3217:I8216)</f>
        <v>2229.46</v>
      </c>
      <c r="S3217" s="1">
        <v>11047.47</v>
      </c>
      <c r="T3217">
        <f t="shared" si="363"/>
        <v>185.788333333333</v>
      </c>
      <c r="U3217">
        <f t="shared" si="364"/>
        <v>118.8</v>
      </c>
      <c r="V3217">
        <f t="shared" si="362"/>
        <v>9.9</v>
      </c>
      <c r="W3217">
        <f t="shared" si="367"/>
        <v>1092.49666666667</v>
      </c>
      <c r="X3217">
        <f t="shared" si="365"/>
        <v>0.421191369874789</v>
      </c>
      <c r="AH3217" t="str">
        <f t="shared" si="368"/>
        <v>3rd Quality</v>
      </c>
      <c r="AJ3217">
        <f>((T3217-X3217)*2)/37.6</f>
        <v>9.85995435975842</v>
      </c>
      <c r="AK3217">
        <f t="shared" si="366"/>
        <v>81932.655</v>
      </c>
    </row>
    <row r="3218" spans="1:37">
      <c r="A3218" t="s">
        <v>3284</v>
      </c>
      <c r="B3218">
        <v>43</v>
      </c>
      <c r="C3218" t="s">
        <v>44</v>
      </c>
      <c r="D3218" t="s">
        <v>51</v>
      </c>
      <c r="E3218">
        <v>1246</v>
      </c>
      <c r="F3218">
        <v>30</v>
      </c>
      <c r="G3218">
        <v>6</v>
      </c>
      <c r="H3218">
        <v>595.91</v>
      </c>
      <c r="I3218">
        <v>3159.23</v>
      </c>
      <c r="J3218">
        <v>52</v>
      </c>
      <c r="K3218">
        <v>2</v>
      </c>
      <c r="L3218">
        <v>17</v>
      </c>
      <c r="M3218">
        <v>17.8</v>
      </c>
      <c r="N3218" t="s">
        <v>61</v>
      </c>
      <c r="O3218" t="s">
        <v>47</v>
      </c>
      <c r="P3218" t="s">
        <v>58</v>
      </c>
      <c r="R3218">
        <f>SUMIF(A3218:A8217,"C03217",I3218:I8217)</f>
        <v>3159.23</v>
      </c>
      <c r="S3218" s="1">
        <v>9339.09</v>
      </c>
      <c r="T3218">
        <f t="shared" si="363"/>
        <v>60.7544230769231</v>
      </c>
      <c r="U3218">
        <f t="shared" si="364"/>
        <v>925.6</v>
      </c>
      <c r="V3218">
        <f>U3218</f>
        <v>925.6</v>
      </c>
      <c r="W3218">
        <f t="shared" si="367"/>
        <v>1252.04666666667</v>
      </c>
      <c r="X3218">
        <f t="shared" si="365"/>
        <v>2.09091976976389</v>
      </c>
      <c r="AH3218" t="str">
        <f t="shared" si="368"/>
        <v>3rd Quality</v>
      </c>
      <c r="AJ3218">
        <f>((T3218-X3218)*2)/17</f>
        <v>6.90158862437167</v>
      </c>
      <c r="AK3218">
        <f t="shared" si="366"/>
        <v>75700.0111538461</v>
      </c>
    </row>
    <row r="3219" spans="1:37">
      <c r="A3219" t="s">
        <v>3285</v>
      </c>
      <c r="B3219">
        <v>50</v>
      </c>
      <c r="C3219" t="s">
        <v>44</v>
      </c>
      <c r="D3219" t="s">
        <v>45</v>
      </c>
      <c r="E3219">
        <v>1392</v>
      </c>
      <c r="F3219">
        <v>7</v>
      </c>
      <c r="G3219">
        <v>24</v>
      </c>
      <c r="H3219">
        <v>3198.11</v>
      </c>
      <c r="I3219">
        <v>85634.99</v>
      </c>
      <c r="J3219">
        <v>105</v>
      </c>
      <c r="K3219">
        <v>1</v>
      </c>
      <c r="L3219">
        <v>12.4</v>
      </c>
      <c r="M3219">
        <v>20.1</v>
      </c>
      <c r="N3219" t="s">
        <v>57</v>
      </c>
      <c r="O3219" t="s">
        <v>47</v>
      </c>
      <c r="P3219" t="s">
        <v>58</v>
      </c>
      <c r="R3219">
        <f>SUMIF(A3219:A8218,"C03218",I3219:I8218)</f>
        <v>85634.99</v>
      </c>
      <c r="S3219" s="1">
        <v>8535.76</v>
      </c>
      <c r="T3219">
        <f t="shared" si="363"/>
        <v>815.571333333333</v>
      </c>
      <c r="U3219">
        <f t="shared" si="364"/>
        <v>2110.5</v>
      </c>
      <c r="V3219">
        <f>U3219</f>
        <v>2110.5</v>
      </c>
      <c r="W3219">
        <f t="shared" si="367"/>
        <v>29611.3666666667</v>
      </c>
      <c r="X3219">
        <f t="shared" si="365"/>
        <v>0.435257073709159</v>
      </c>
      <c r="AH3219" t="str">
        <f t="shared" si="368"/>
        <v>3rd Quality</v>
      </c>
      <c r="AJ3219">
        <f>((T3219-X3219)*2)/12.4</f>
        <v>131.473560687036</v>
      </c>
      <c r="AK3219">
        <f t="shared" si="366"/>
        <v>1135275.296</v>
      </c>
    </row>
    <row r="3220" spans="1:37">
      <c r="A3220" t="s">
        <v>3286</v>
      </c>
      <c r="B3220">
        <v>45</v>
      </c>
      <c r="C3220" t="s">
        <v>50</v>
      </c>
      <c r="D3220" t="s">
        <v>45</v>
      </c>
      <c r="E3220">
        <v>387</v>
      </c>
      <c r="F3220">
        <v>92</v>
      </c>
      <c r="G3220">
        <v>7</v>
      </c>
      <c r="H3220">
        <v>1552.72</v>
      </c>
      <c r="I3220">
        <v>11047.47</v>
      </c>
      <c r="J3220">
        <v>28</v>
      </c>
      <c r="K3220">
        <v>0</v>
      </c>
      <c r="L3220">
        <v>11.7</v>
      </c>
      <c r="M3220">
        <v>28.2</v>
      </c>
      <c r="N3220" t="s">
        <v>78</v>
      </c>
      <c r="O3220" t="s">
        <v>47</v>
      </c>
      <c r="P3220" t="s">
        <v>58</v>
      </c>
      <c r="R3220">
        <f>SUMIF(A3220:A8219,"C03219",I3220:I8219)</f>
        <v>11047.47</v>
      </c>
      <c r="S3220" s="1">
        <v>1182.85</v>
      </c>
      <c r="T3220">
        <f t="shared" si="363"/>
        <v>394.5525</v>
      </c>
      <c r="U3220">
        <f t="shared" si="364"/>
        <v>789.6</v>
      </c>
      <c r="V3220">
        <f t="shared" ref="V3218:V3281" si="369">U3220/12</f>
        <v>65.8</v>
      </c>
      <c r="W3220">
        <f t="shared" si="367"/>
        <v>4200.39666666667</v>
      </c>
      <c r="X3220">
        <f t="shared" si="365"/>
        <v>0.249240043278891</v>
      </c>
      <c r="AH3220" t="str">
        <f t="shared" si="368"/>
        <v>3rd Quality</v>
      </c>
      <c r="AJ3220">
        <f>((T3220-X3220)*2)/11.7</f>
        <v>67.4022666592686</v>
      </c>
      <c r="AK3220">
        <f t="shared" si="366"/>
        <v>152691.8175</v>
      </c>
    </row>
    <row r="3221" spans="1:37">
      <c r="A3221" t="s">
        <v>3287</v>
      </c>
      <c r="B3221">
        <v>44</v>
      </c>
      <c r="C3221" t="s">
        <v>44</v>
      </c>
      <c r="D3221" t="s">
        <v>60</v>
      </c>
      <c r="E3221">
        <v>1069</v>
      </c>
      <c r="F3221">
        <v>51</v>
      </c>
      <c r="G3221">
        <v>9</v>
      </c>
      <c r="H3221">
        <v>1127.5</v>
      </c>
      <c r="I3221">
        <v>9339.09</v>
      </c>
      <c r="J3221">
        <v>42</v>
      </c>
      <c r="K3221">
        <v>1</v>
      </c>
      <c r="L3221">
        <v>22.6</v>
      </c>
      <c r="M3221">
        <v>46.6</v>
      </c>
      <c r="N3221" t="s">
        <v>61</v>
      </c>
      <c r="O3221" t="s">
        <v>47</v>
      </c>
      <c r="P3221" t="s">
        <v>58</v>
      </c>
      <c r="R3221">
        <f>SUMIF(A3221:A8220,"C03220",I3221:I8220)</f>
        <v>9339.09</v>
      </c>
      <c r="S3221" s="1">
        <v>3288.45</v>
      </c>
      <c r="T3221">
        <f t="shared" si="363"/>
        <v>222.359285714286</v>
      </c>
      <c r="U3221">
        <f t="shared" si="364"/>
        <v>1957.2</v>
      </c>
      <c r="V3221">
        <f>U3221</f>
        <v>1957.2</v>
      </c>
      <c r="W3221">
        <f t="shared" si="367"/>
        <v>3489.19666666667</v>
      </c>
      <c r="X3221">
        <f t="shared" si="365"/>
        <v>0.948115299334812</v>
      </c>
      <c r="AH3221" t="str">
        <f t="shared" si="368"/>
        <v>3rd Quality</v>
      </c>
      <c r="AJ3221">
        <f>((T3221-X3221)*2)/22.6</f>
        <v>19.5939088862789</v>
      </c>
      <c r="AK3221">
        <f t="shared" si="366"/>
        <v>237702.076428571</v>
      </c>
    </row>
    <row r="3222" spans="1:37">
      <c r="A3222" t="s">
        <v>3288</v>
      </c>
      <c r="B3222">
        <v>38</v>
      </c>
      <c r="C3222" t="s">
        <v>50</v>
      </c>
      <c r="D3222" t="s">
        <v>60</v>
      </c>
      <c r="E3222">
        <v>822</v>
      </c>
      <c r="F3222">
        <v>48</v>
      </c>
      <c r="G3222">
        <v>9</v>
      </c>
      <c r="H3222">
        <v>887.86</v>
      </c>
      <c r="I3222">
        <v>8535.76</v>
      </c>
      <c r="J3222">
        <v>64</v>
      </c>
      <c r="K3222">
        <v>0</v>
      </c>
      <c r="L3222">
        <v>24.5</v>
      </c>
      <c r="M3222">
        <v>4.9</v>
      </c>
      <c r="N3222" t="s">
        <v>52</v>
      </c>
      <c r="O3222" t="s">
        <v>75</v>
      </c>
      <c r="P3222" t="s">
        <v>58</v>
      </c>
      <c r="R3222">
        <f>SUMIF(A3222:A8221,"C03221",I3222:I8221)</f>
        <v>8535.76</v>
      </c>
      <c r="S3222" s="1">
        <v>941.3</v>
      </c>
      <c r="T3222">
        <f t="shared" ref="T3222:T3285" si="370">I3222/J3222</f>
        <v>133.37125</v>
      </c>
      <c r="U3222">
        <f t="shared" si="364"/>
        <v>313.6</v>
      </c>
      <c r="V3222">
        <f t="shared" si="369"/>
        <v>26.1333333333333</v>
      </c>
      <c r="W3222">
        <f t="shared" si="367"/>
        <v>3141.54</v>
      </c>
      <c r="X3222">
        <f t="shared" si="365"/>
        <v>0.925821638546618</v>
      </c>
      <c r="AH3222" t="str">
        <f t="shared" si="368"/>
        <v>3rd Quality</v>
      </c>
      <c r="AJ3222">
        <f>((T3222-X3222)*2)/24.5</f>
        <v>10.8118717029758</v>
      </c>
      <c r="AK3222">
        <f t="shared" si="366"/>
        <v>109631.1675</v>
      </c>
    </row>
    <row r="3223" spans="1:37">
      <c r="A3223" t="s">
        <v>3289</v>
      </c>
      <c r="B3223">
        <v>18</v>
      </c>
      <c r="C3223" t="s">
        <v>50</v>
      </c>
      <c r="D3223" t="s">
        <v>51</v>
      </c>
      <c r="E3223">
        <v>1228</v>
      </c>
      <c r="F3223">
        <v>133</v>
      </c>
      <c r="G3223">
        <v>1</v>
      </c>
      <c r="H3223">
        <v>1092.51</v>
      </c>
      <c r="I3223">
        <v>1182.85</v>
      </c>
      <c r="J3223">
        <v>14</v>
      </c>
      <c r="K3223">
        <v>0</v>
      </c>
      <c r="L3223">
        <v>31.9</v>
      </c>
      <c r="M3223">
        <v>41.7</v>
      </c>
      <c r="N3223" t="s">
        <v>63</v>
      </c>
      <c r="O3223" t="s">
        <v>47</v>
      </c>
      <c r="P3223" t="s">
        <v>68</v>
      </c>
      <c r="R3223">
        <f>SUMIF(A3223:A8222,"C03222",I3223:I8222)</f>
        <v>1182.85</v>
      </c>
      <c r="S3223" s="1">
        <v>56242.75</v>
      </c>
      <c r="T3223">
        <f t="shared" si="370"/>
        <v>84.4892857142857</v>
      </c>
      <c r="U3223">
        <f t="shared" si="364"/>
        <v>583.8</v>
      </c>
      <c r="V3223">
        <f t="shared" si="369"/>
        <v>48.65</v>
      </c>
      <c r="W3223">
        <f t="shared" si="367"/>
        <v>758.786666666667</v>
      </c>
      <c r="X3223">
        <f t="shared" si="365"/>
        <v>1.12401717146754</v>
      </c>
      <c r="AH3223" t="str">
        <f t="shared" si="368"/>
        <v>3rd Quality</v>
      </c>
      <c r="AJ3223">
        <f>((T3223-X3223)*2)/31.9</f>
        <v>5.2266626045654</v>
      </c>
      <c r="AK3223">
        <f t="shared" si="366"/>
        <v>103752.842857143</v>
      </c>
    </row>
    <row r="3224" spans="1:37">
      <c r="A3224" t="s">
        <v>3290</v>
      </c>
      <c r="B3224">
        <v>29</v>
      </c>
      <c r="C3224" t="s">
        <v>44</v>
      </c>
      <c r="D3224" t="s">
        <v>60</v>
      </c>
      <c r="E3224">
        <v>932</v>
      </c>
      <c r="F3224">
        <v>73</v>
      </c>
      <c r="G3224">
        <v>6</v>
      </c>
      <c r="H3224">
        <v>589.87</v>
      </c>
      <c r="I3224">
        <v>3288.45</v>
      </c>
      <c r="J3224">
        <v>52</v>
      </c>
      <c r="K3224">
        <v>0</v>
      </c>
      <c r="L3224">
        <v>28.2</v>
      </c>
      <c r="M3224">
        <v>36.3</v>
      </c>
      <c r="N3224" t="s">
        <v>81</v>
      </c>
      <c r="O3224" t="s">
        <v>47</v>
      </c>
      <c r="P3224" t="s">
        <v>68</v>
      </c>
      <c r="R3224">
        <f>SUMIF(A3224:A8223,"C03223",I3224:I8223)</f>
        <v>3288.45</v>
      </c>
      <c r="S3224" s="1">
        <v>1434.66</v>
      </c>
      <c r="T3224">
        <f t="shared" si="370"/>
        <v>63.2394230769231</v>
      </c>
      <c r="U3224">
        <f t="shared" si="364"/>
        <v>1887.6</v>
      </c>
      <c r="V3224">
        <f t="shared" si="369"/>
        <v>157.3</v>
      </c>
      <c r="W3224">
        <f t="shared" si="367"/>
        <v>1293.10666666667</v>
      </c>
      <c r="X3224">
        <f t="shared" si="365"/>
        <v>1.58000915455948</v>
      </c>
      <c r="AH3224" t="str">
        <f t="shared" si="368"/>
        <v>3rd Quality</v>
      </c>
      <c r="AJ3224">
        <f>((T3224-X3224)*2)/28.2</f>
        <v>4.37300807960026</v>
      </c>
      <c r="AK3224">
        <f t="shared" si="366"/>
        <v>58939.1423076923</v>
      </c>
    </row>
    <row r="3225" spans="1:37">
      <c r="A3225" t="s">
        <v>3291</v>
      </c>
      <c r="B3225">
        <v>40</v>
      </c>
      <c r="C3225" t="s">
        <v>44</v>
      </c>
      <c r="D3225" t="s">
        <v>45</v>
      </c>
      <c r="E3225">
        <v>610</v>
      </c>
      <c r="F3225">
        <v>121</v>
      </c>
      <c r="G3225">
        <v>1</v>
      </c>
      <c r="H3225">
        <v>1057.76</v>
      </c>
      <c r="I3225">
        <v>941.3</v>
      </c>
      <c r="J3225">
        <v>15</v>
      </c>
      <c r="K3225">
        <v>0</v>
      </c>
      <c r="L3225">
        <v>41.1</v>
      </c>
      <c r="M3225">
        <v>18.9</v>
      </c>
      <c r="N3225" t="s">
        <v>52</v>
      </c>
      <c r="O3225" t="s">
        <v>53</v>
      </c>
      <c r="P3225" t="s">
        <v>58</v>
      </c>
      <c r="R3225">
        <f>SUMIF(A3225:A8224,"C03224",I3225:I8224)</f>
        <v>941.3</v>
      </c>
      <c r="S3225" s="1">
        <v>2250.15</v>
      </c>
      <c r="T3225">
        <f t="shared" si="370"/>
        <v>62.7533333333333</v>
      </c>
      <c r="U3225">
        <f t="shared" si="364"/>
        <v>283.5</v>
      </c>
      <c r="V3225">
        <f t="shared" si="369"/>
        <v>23.625</v>
      </c>
      <c r="W3225">
        <f t="shared" si="367"/>
        <v>666.686666666667</v>
      </c>
      <c r="X3225">
        <f t="shared" si="365"/>
        <v>0.576690364543942</v>
      </c>
      <c r="AH3225" t="str">
        <f t="shared" si="368"/>
        <v>3rd Quality</v>
      </c>
      <c r="AJ3225">
        <f>((T3225-X3225)*2)/41.1</f>
        <v>3.02562739507491</v>
      </c>
      <c r="AK3225">
        <f t="shared" si="366"/>
        <v>38279.5333333333</v>
      </c>
    </row>
    <row r="3226" spans="1:37">
      <c r="A3226" t="s">
        <v>3292</v>
      </c>
      <c r="B3226">
        <v>28</v>
      </c>
      <c r="C3226" t="s">
        <v>50</v>
      </c>
      <c r="D3226" t="s">
        <v>60</v>
      </c>
      <c r="E3226">
        <v>686</v>
      </c>
      <c r="F3226">
        <v>5</v>
      </c>
      <c r="G3226">
        <v>26</v>
      </c>
      <c r="H3226">
        <v>2150.54</v>
      </c>
      <c r="I3226">
        <v>56242.75</v>
      </c>
      <c r="J3226">
        <v>137</v>
      </c>
      <c r="K3226">
        <v>4</v>
      </c>
      <c r="L3226">
        <v>6.5</v>
      </c>
      <c r="M3226">
        <v>56.7</v>
      </c>
      <c r="N3226" t="s">
        <v>52</v>
      </c>
      <c r="O3226" t="s">
        <v>75</v>
      </c>
      <c r="P3226" t="s">
        <v>48</v>
      </c>
      <c r="R3226">
        <f>SUMIF(A3226:A8225,"C03225",I3226:I8225)</f>
        <v>56242.75</v>
      </c>
      <c r="S3226" s="1">
        <v>86035.16</v>
      </c>
      <c r="T3226">
        <f t="shared" si="370"/>
        <v>410.53102189781</v>
      </c>
      <c r="U3226">
        <f t="shared" si="364"/>
        <v>7767.9</v>
      </c>
      <c r="V3226">
        <f>U3226</f>
        <v>7767.9</v>
      </c>
      <c r="W3226">
        <f t="shared" si="367"/>
        <v>19464.7633333333</v>
      </c>
      <c r="X3226">
        <f t="shared" si="365"/>
        <v>0.318989649111386</v>
      </c>
      <c r="AH3226" t="str">
        <f t="shared" si="368"/>
        <v>2nd Quality</v>
      </c>
      <c r="AJ3226">
        <f>((T3226-X3226)*2)/6.5</f>
        <v>126.219086845753</v>
      </c>
      <c r="AK3226">
        <f t="shared" si="366"/>
        <v>281624.281021898</v>
      </c>
    </row>
    <row r="3227" spans="1:37">
      <c r="A3227" t="s">
        <v>3293</v>
      </c>
      <c r="B3227">
        <v>25</v>
      </c>
      <c r="C3227" t="s">
        <v>44</v>
      </c>
      <c r="D3227" t="s">
        <v>60</v>
      </c>
      <c r="E3227">
        <v>1032</v>
      </c>
      <c r="F3227">
        <v>63</v>
      </c>
      <c r="G3227">
        <v>2</v>
      </c>
      <c r="H3227">
        <v>693.92</v>
      </c>
      <c r="I3227">
        <v>1434.66</v>
      </c>
      <c r="J3227">
        <v>22</v>
      </c>
      <c r="K3227">
        <v>0</v>
      </c>
      <c r="L3227">
        <v>32.4</v>
      </c>
      <c r="M3227">
        <v>37.7</v>
      </c>
      <c r="N3227" t="s">
        <v>81</v>
      </c>
      <c r="O3227" t="s">
        <v>47</v>
      </c>
      <c r="P3227" t="s">
        <v>58</v>
      </c>
      <c r="R3227">
        <f>SUMIF(A3227:A8226,"C03226",I3227:I8226)</f>
        <v>1434.66</v>
      </c>
      <c r="S3227" s="1">
        <v>19350.01</v>
      </c>
      <c r="T3227">
        <f t="shared" si="370"/>
        <v>65.2118181818182</v>
      </c>
      <c r="U3227">
        <f t="shared" si="364"/>
        <v>829.4</v>
      </c>
      <c r="V3227">
        <f t="shared" si="369"/>
        <v>69.1166666666667</v>
      </c>
      <c r="W3227">
        <f t="shared" si="367"/>
        <v>709.86</v>
      </c>
      <c r="X3227">
        <f t="shared" si="365"/>
        <v>1.48720313580816</v>
      </c>
      <c r="AH3227" t="str">
        <f t="shared" si="368"/>
        <v>3rd Quality</v>
      </c>
      <c r="AJ3227">
        <f>((T3227-X3227)*2)/32.4</f>
        <v>3.93361821271667</v>
      </c>
      <c r="AK3227">
        <f t="shared" si="366"/>
        <v>67298.5963636364</v>
      </c>
    </row>
    <row r="3228" spans="1:37">
      <c r="A3228" t="s">
        <v>3294</v>
      </c>
      <c r="B3228">
        <v>31</v>
      </c>
      <c r="C3228" t="s">
        <v>44</v>
      </c>
      <c r="D3228" t="s">
        <v>60</v>
      </c>
      <c r="E3228">
        <v>652</v>
      </c>
      <c r="F3228">
        <v>148</v>
      </c>
      <c r="G3228">
        <v>2</v>
      </c>
      <c r="H3228">
        <v>1222.4</v>
      </c>
      <c r="I3228">
        <v>2250.15</v>
      </c>
      <c r="J3228">
        <v>19</v>
      </c>
      <c r="K3228">
        <v>0</v>
      </c>
      <c r="L3228">
        <v>26.8</v>
      </c>
      <c r="M3228">
        <v>50.6</v>
      </c>
      <c r="N3228" t="s">
        <v>63</v>
      </c>
      <c r="O3228" t="s">
        <v>47</v>
      </c>
      <c r="P3228" t="s">
        <v>58</v>
      </c>
      <c r="R3228">
        <f>SUMIF(A3228:A8227,"C03227",I3228:I8227)</f>
        <v>2250.15</v>
      </c>
      <c r="S3228" s="1">
        <v>17414.7</v>
      </c>
      <c r="T3228">
        <f t="shared" si="370"/>
        <v>118.428947368421</v>
      </c>
      <c r="U3228">
        <f t="shared" si="364"/>
        <v>961.4</v>
      </c>
      <c r="V3228">
        <f t="shared" si="369"/>
        <v>80.1166666666667</v>
      </c>
      <c r="W3228">
        <f t="shared" si="367"/>
        <v>1157.85</v>
      </c>
      <c r="X3228">
        <f t="shared" si="365"/>
        <v>0.533376963350785</v>
      </c>
      <c r="AH3228" t="str">
        <f t="shared" si="368"/>
        <v>3rd Quality</v>
      </c>
      <c r="AJ3228">
        <f>((T3228-X3228)*2)/26.8</f>
        <v>8.79817689590076</v>
      </c>
      <c r="AK3228">
        <f t="shared" si="366"/>
        <v>77215.6736842105</v>
      </c>
    </row>
    <row r="3229" spans="1:37">
      <c r="A3229" t="s">
        <v>3295</v>
      </c>
      <c r="B3229">
        <v>20</v>
      </c>
      <c r="C3229" t="s">
        <v>44</v>
      </c>
      <c r="D3229" t="s">
        <v>60</v>
      </c>
      <c r="E3229">
        <v>488</v>
      </c>
      <c r="F3229">
        <v>14</v>
      </c>
      <c r="G3229">
        <v>22</v>
      </c>
      <c r="H3229">
        <v>3853.71</v>
      </c>
      <c r="I3229">
        <v>86035.16</v>
      </c>
      <c r="J3229">
        <v>96</v>
      </c>
      <c r="K3229">
        <v>0</v>
      </c>
      <c r="L3229">
        <v>3.1</v>
      </c>
      <c r="M3229">
        <v>27.6</v>
      </c>
      <c r="N3229" t="s">
        <v>46</v>
      </c>
      <c r="O3229" t="s">
        <v>47</v>
      </c>
      <c r="P3229" t="s">
        <v>68</v>
      </c>
      <c r="R3229">
        <f>SUMIF(A3229:A8228,"C03228",I3229:I8228)</f>
        <v>86035.16</v>
      </c>
      <c r="S3229" s="1">
        <v>16534.89</v>
      </c>
      <c r="T3229">
        <f t="shared" si="370"/>
        <v>896.199583333333</v>
      </c>
      <c r="U3229">
        <f t="shared" si="364"/>
        <v>2649.6</v>
      </c>
      <c r="V3229">
        <f t="shared" si="369"/>
        <v>220.8</v>
      </c>
      <c r="W3229">
        <f t="shared" si="367"/>
        <v>29963.29</v>
      </c>
      <c r="X3229">
        <f t="shared" si="365"/>
        <v>0.12663122030459</v>
      </c>
      <c r="AH3229" t="str">
        <f t="shared" si="368"/>
        <v>2nd Quality</v>
      </c>
      <c r="AJ3229">
        <f>((T3229-X3229)*2)/3.1</f>
        <v>578.111582008405</v>
      </c>
      <c r="AK3229">
        <f t="shared" si="366"/>
        <v>437345.396666667</v>
      </c>
    </row>
    <row r="3230" spans="1:37">
      <c r="A3230" t="s">
        <v>3296</v>
      </c>
      <c r="B3230">
        <v>18</v>
      </c>
      <c r="C3230" t="s">
        <v>44</v>
      </c>
      <c r="D3230" t="s">
        <v>60</v>
      </c>
      <c r="E3230">
        <v>950</v>
      </c>
      <c r="F3230">
        <v>48</v>
      </c>
      <c r="G3230">
        <v>2</v>
      </c>
      <c r="H3230">
        <v>9614.11</v>
      </c>
      <c r="I3230">
        <v>19350.01</v>
      </c>
      <c r="J3230">
        <v>11</v>
      </c>
      <c r="K3230">
        <v>0</v>
      </c>
      <c r="L3230">
        <v>0</v>
      </c>
      <c r="M3230">
        <v>5.9</v>
      </c>
      <c r="N3230" t="s">
        <v>46</v>
      </c>
      <c r="O3230" t="s">
        <v>47</v>
      </c>
      <c r="P3230" t="s">
        <v>54</v>
      </c>
      <c r="R3230">
        <f>SUMIF(A3230:A8229,"C03229",I3230:I8229)</f>
        <v>19350.01</v>
      </c>
      <c r="S3230" s="1">
        <v>43190.53</v>
      </c>
      <c r="T3230">
        <f t="shared" si="370"/>
        <v>1759.09181818182</v>
      </c>
      <c r="U3230">
        <f t="shared" si="364"/>
        <v>64.9</v>
      </c>
      <c r="V3230">
        <f t="shared" si="369"/>
        <v>5.40833333333333</v>
      </c>
      <c r="W3230">
        <f t="shared" si="367"/>
        <v>9655.04</v>
      </c>
      <c r="X3230">
        <f t="shared" si="365"/>
        <v>0.0988130986643589</v>
      </c>
      <c r="AH3230" t="str">
        <f t="shared" si="368"/>
        <v>2nd Quality</v>
      </c>
      <c r="AJ3230">
        <f>((T3230-X3230)*2)</f>
        <v>3517.98601016631</v>
      </c>
      <c r="AK3230">
        <f t="shared" si="366"/>
        <v>1671137.22727273</v>
      </c>
    </row>
    <row r="3231" spans="1:37">
      <c r="A3231" t="s">
        <v>3297</v>
      </c>
      <c r="B3231">
        <v>32</v>
      </c>
      <c r="C3231" t="s">
        <v>44</v>
      </c>
      <c r="D3231" t="s">
        <v>45</v>
      </c>
      <c r="E3231">
        <v>1088</v>
      </c>
      <c r="F3231">
        <v>63</v>
      </c>
      <c r="G3231">
        <v>12</v>
      </c>
      <c r="H3231">
        <v>1334.75</v>
      </c>
      <c r="I3231">
        <v>17414.7</v>
      </c>
      <c r="J3231">
        <v>92</v>
      </c>
      <c r="K3231">
        <v>0</v>
      </c>
      <c r="L3231">
        <v>15.6</v>
      </c>
      <c r="M3231">
        <v>47.9</v>
      </c>
      <c r="N3231" t="s">
        <v>63</v>
      </c>
      <c r="O3231" t="s">
        <v>47</v>
      </c>
      <c r="P3231" t="s">
        <v>66</v>
      </c>
      <c r="R3231">
        <f>SUMIF(A3231:A8230,"C03230",I3231:I8230)</f>
        <v>17414.7</v>
      </c>
      <c r="S3231" s="1">
        <v>39226.26</v>
      </c>
      <c r="T3231">
        <f t="shared" si="370"/>
        <v>189.290217391304</v>
      </c>
      <c r="U3231">
        <f t="shared" si="364"/>
        <v>4406.8</v>
      </c>
      <c r="V3231">
        <f t="shared" si="369"/>
        <v>367.233333333333</v>
      </c>
      <c r="W3231">
        <f t="shared" si="367"/>
        <v>6250.15</v>
      </c>
      <c r="X3231">
        <f t="shared" si="365"/>
        <v>0.815133920209777</v>
      </c>
      <c r="AH3231" t="str">
        <f t="shared" si="368"/>
        <v>3rd Quality</v>
      </c>
      <c r="AJ3231">
        <f>((T3231-X3231)*2)/15.6</f>
        <v>24.1634722398839</v>
      </c>
      <c r="AK3231">
        <f t="shared" si="366"/>
        <v>205947.756521739</v>
      </c>
    </row>
    <row r="3232" spans="1:37">
      <c r="A3232" t="s">
        <v>3298</v>
      </c>
      <c r="B3232">
        <v>39</v>
      </c>
      <c r="C3232" t="s">
        <v>44</v>
      </c>
      <c r="D3232" t="s">
        <v>45</v>
      </c>
      <c r="E3232">
        <v>1241</v>
      </c>
      <c r="F3232">
        <v>28</v>
      </c>
      <c r="G3232">
        <v>11</v>
      </c>
      <c r="H3232">
        <v>1397.26</v>
      </c>
      <c r="I3232">
        <v>16534.89</v>
      </c>
      <c r="J3232">
        <v>87</v>
      </c>
      <c r="K3232">
        <v>0</v>
      </c>
      <c r="L3232">
        <v>26.2</v>
      </c>
      <c r="M3232">
        <v>22.7</v>
      </c>
      <c r="N3232" t="s">
        <v>52</v>
      </c>
      <c r="O3232" t="s">
        <v>47</v>
      </c>
      <c r="P3232" t="s">
        <v>66</v>
      </c>
      <c r="R3232">
        <f>SUMIF(A3232:A8231,"C03231",I3232:I8231)</f>
        <v>16534.89</v>
      </c>
      <c r="S3232" s="1">
        <v>115286.42</v>
      </c>
      <c r="T3232">
        <f t="shared" si="370"/>
        <v>190.056206896552</v>
      </c>
      <c r="U3232">
        <f t="shared" si="364"/>
        <v>1974.9</v>
      </c>
      <c r="V3232">
        <f t="shared" si="369"/>
        <v>164.575</v>
      </c>
      <c r="W3232">
        <f t="shared" si="367"/>
        <v>5977.71666666667</v>
      </c>
      <c r="X3232">
        <f t="shared" si="365"/>
        <v>0.888166840817028</v>
      </c>
      <c r="AH3232" t="str">
        <f t="shared" si="368"/>
        <v>3rd Quality</v>
      </c>
      <c r="AJ3232">
        <f>((T3232-X3232)*2)/26.2</f>
        <v>14.4403084012011</v>
      </c>
      <c r="AK3232">
        <f t="shared" si="366"/>
        <v>235859.752758621</v>
      </c>
    </row>
    <row r="3233" spans="1:37">
      <c r="A3233" t="s">
        <v>3299</v>
      </c>
      <c r="B3233">
        <v>35</v>
      </c>
      <c r="C3233" t="s">
        <v>50</v>
      </c>
      <c r="D3233" t="s">
        <v>60</v>
      </c>
      <c r="E3233">
        <v>1024</v>
      </c>
      <c r="F3233">
        <v>10</v>
      </c>
      <c r="G3233">
        <v>20</v>
      </c>
      <c r="H3233">
        <v>2368.76</v>
      </c>
      <c r="I3233">
        <v>43190.53</v>
      </c>
      <c r="J3233">
        <v>70</v>
      </c>
      <c r="K3233">
        <v>2</v>
      </c>
      <c r="L3233">
        <v>18.3</v>
      </c>
      <c r="M3233">
        <v>31.9</v>
      </c>
      <c r="N3233" t="s">
        <v>78</v>
      </c>
      <c r="O3233" t="s">
        <v>53</v>
      </c>
      <c r="P3233" t="s">
        <v>58</v>
      </c>
      <c r="R3233">
        <f>SUMIF(A3233:A8232,"C03232",I3233:I8232)</f>
        <v>43190.53</v>
      </c>
      <c r="S3233" s="1">
        <v>113544.01</v>
      </c>
      <c r="T3233">
        <f t="shared" si="370"/>
        <v>617.007571428571</v>
      </c>
      <c r="U3233">
        <f t="shared" si="364"/>
        <v>2233</v>
      </c>
      <c r="V3233">
        <f>U3233</f>
        <v>2233</v>
      </c>
      <c r="W3233">
        <f t="shared" si="367"/>
        <v>15186.7633333333</v>
      </c>
      <c r="X3233">
        <f t="shared" si="365"/>
        <v>0.432293689525321</v>
      </c>
      <c r="AH3233" t="str">
        <f t="shared" si="368"/>
        <v>2nd Quality</v>
      </c>
      <c r="AJ3233">
        <f>((T3233-X3233)*2)/18.3</f>
        <v>67.3852762556334</v>
      </c>
      <c r="AK3233">
        <f t="shared" si="366"/>
        <v>631815.753142857</v>
      </c>
    </row>
    <row r="3234" spans="1:37">
      <c r="A3234" t="s">
        <v>3300</v>
      </c>
      <c r="B3234">
        <v>55</v>
      </c>
      <c r="C3234" t="s">
        <v>101</v>
      </c>
      <c r="D3234" t="s">
        <v>60</v>
      </c>
      <c r="E3234">
        <v>808</v>
      </c>
      <c r="F3234">
        <v>45</v>
      </c>
      <c r="G3234">
        <v>7</v>
      </c>
      <c r="H3234">
        <v>5338.51</v>
      </c>
      <c r="I3234">
        <v>39226.26</v>
      </c>
      <c r="J3234">
        <v>68</v>
      </c>
      <c r="K3234">
        <v>0</v>
      </c>
      <c r="L3234">
        <v>10.2</v>
      </c>
      <c r="M3234">
        <v>17</v>
      </c>
      <c r="N3234" t="s">
        <v>61</v>
      </c>
      <c r="O3234" t="s">
        <v>47</v>
      </c>
      <c r="P3234" t="s">
        <v>66</v>
      </c>
      <c r="R3234">
        <f>SUMIF(A3234:A8233,"C03233",I3234:I8233)</f>
        <v>39226.26</v>
      </c>
      <c r="S3234" s="1">
        <v>88792.32</v>
      </c>
      <c r="T3234">
        <f t="shared" si="370"/>
        <v>576.856764705882</v>
      </c>
      <c r="U3234">
        <f t="shared" ref="U3234:U3297" si="371">J3234*M3234</f>
        <v>1156</v>
      </c>
      <c r="V3234">
        <f t="shared" si="369"/>
        <v>96.3333333333333</v>
      </c>
      <c r="W3234">
        <f t="shared" si="367"/>
        <v>14855.2566666667</v>
      </c>
      <c r="X3234">
        <f t="shared" si="365"/>
        <v>0.1513530929042</v>
      </c>
      <c r="AH3234" t="str">
        <f t="shared" si="368"/>
        <v>3rd Quality</v>
      </c>
      <c r="AJ3234">
        <f>((T3234-X3234)*2)/10.2</f>
        <v>113.079492473133</v>
      </c>
      <c r="AK3234">
        <f t="shared" si="366"/>
        <v>466100.265882353</v>
      </c>
    </row>
    <row r="3235" spans="1:37">
      <c r="A3235" t="s">
        <v>3301</v>
      </c>
      <c r="B3235">
        <v>43</v>
      </c>
      <c r="C3235" t="s">
        <v>44</v>
      </c>
      <c r="D3235" t="s">
        <v>60</v>
      </c>
      <c r="E3235">
        <v>1268</v>
      </c>
      <c r="F3235">
        <v>5</v>
      </c>
      <c r="G3235">
        <v>29</v>
      </c>
      <c r="H3235">
        <v>3972.66</v>
      </c>
      <c r="I3235">
        <v>115286.42</v>
      </c>
      <c r="J3235">
        <v>177</v>
      </c>
      <c r="K3235">
        <v>3</v>
      </c>
      <c r="L3235">
        <v>6.7</v>
      </c>
      <c r="M3235">
        <v>46.8</v>
      </c>
      <c r="N3235" t="s">
        <v>46</v>
      </c>
      <c r="O3235" t="s">
        <v>47</v>
      </c>
      <c r="P3235" t="s">
        <v>68</v>
      </c>
      <c r="R3235">
        <f>SUMIF(A3235:A8234,"C03234",I3235:I8234)</f>
        <v>115286.42</v>
      </c>
      <c r="S3235" s="1">
        <v>3967.35</v>
      </c>
      <c r="T3235">
        <f t="shared" si="370"/>
        <v>651.335706214689</v>
      </c>
      <c r="U3235">
        <f t="shared" si="371"/>
        <v>8283.6</v>
      </c>
      <c r="V3235">
        <f>U3235</f>
        <v>8283.6</v>
      </c>
      <c r="W3235">
        <f t="shared" si="367"/>
        <v>39753.36</v>
      </c>
      <c r="X3235">
        <f t="shared" si="365"/>
        <v>0.319181606278916</v>
      </c>
      <c r="AH3235" t="str">
        <f t="shared" si="368"/>
        <v>2nd Quality</v>
      </c>
      <c r="AJ3235">
        <f>((T3235-X3235)*2)/6.7</f>
        <v>194.333290927884</v>
      </c>
      <c r="AK3235">
        <f t="shared" si="366"/>
        <v>825893.675480226</v>
      </c>
    </row>
    <row r="3236" spans="1:37">
      <c r="A3236" t="s">
        <v>3302</v>
      </c>
      <c r="B3236">
        <v>38</v>
      </c>
      <c r="C3236" t="s">
        <v>44</v>
      </c>
      <c r="D3236" t="s">
        <v>60</v>
      </c>
      <c r="E3236">
        <v>868</v>
      </c>
      <c r="F3236">
        <v>1</v>
      </c>
      <c r="G3236">
        <v>20</v>
      </c>
      <c r="H3236">
        <v>5723.55</v>
      </c>
      <c r="I3236">
        <v>113544.01</v>
      </c>
      <c r="J3236">
        <v>111</v>
      </c>
      <c r="K3236">
        <v>0</v>
      </c>
      <c r="L3236">
        <v>4.6</v>
      </c>
      <c r="M3236">
        <v>16.4</v>
      </c>
      <c r="N3236" t="s">
        <v>52</v>
      </c>
      <c r="O3236" t="s">
        <v>47</v>
      </c>
      <c r="P3236" t="s">
        <v>54</v>
      </c>
      <c r="R3236">
        <f>SUMIF(A3236:A8235,"C03235",I3236:I8235)</f>
        <v>113544.01</v>
      </c>
      <c r="S3236" s="1">
        <v>9282.81</v>
      </c>
      <c r="T3236">
        <f t="shared" si="370"/>
        <v>1022.91900900901</v>
      </c>
      <c r="U3236">
        <f t="shared" si="371"/>
        <v>1820.4</v>
      </c>
      <c r="V3236">
        <f t="shared" si="369"/>
        <v>151.7</v>
      </c>
      <c r="W3236">
        <f t="shared" si="367"/>
        <v>39756.1866666667</v>
      </c>
      <c r="X3236">
        <f t="shared" si="365"/>
        <v>0.151654130740537</v>
      </c>
      <c r="AH3236" t="str">
        <f t="shared" si="368"/>
        <v>2nd Quality</v>
      </c>
      <c r="AJ3236">
        <f>((T3236-X3236)*2)/4.6</f>
        <v>444.681458642726</v>
      </c>
      <c r="AK3236">
        <f t="shared" si="366"/>
        <v>887893.69981982</v>
      </c>
    </row>
    <row r="3237" spans="1:37">
      <c r="A3237" t="s">
        <v>3303</v>
      </c>
      <c r="B3237">
        <v>44</v>
      </c>
      <c r="C3237" t="s">
        <v>50</v>
      </c>
      <c r="D3237" t="s">
        <v>45</v>
      </c>
      <c r="E3237">
        <v>1073</v>
      </c>
      <c r="F3237">
        <v>2</v>
      </c>
      <c r="G3237">
        <v>24</v>
      </c>
      <c r="H3237">
        <v>4025.94</v>
      </c>
      <c r="I3237">
        <v>88792.32</v>
      </c>
      <c r="J3237">
        <v>200</v>
      </c>
      <c r="K3237">
        <v>2</v>
      </c>
      <c r="L3237">
        <v>10.1</v>
      </c>
      <c r="M3237">
        <v>25.1</v>
      </c>
      <c r="N3237" t="s">
        <v>52</v>
      </c>
      <c r="O3237" t="s">
        <v>47</v>
      </c>
      <c r="P3237" t="s">
        <v>54</v>
      </c>
      <c r="R3237">
        <f>SUMIF(A3237:A8236,"C03236",I3237:I8236)</f>
        <v>88792.32</v>
      </c>
      <c r="S3237" s="1">
        <v>7003.59</v>
      </c>
      <c r="T3237">
        <f t="shared" si="370"/>
        <v>443.9616</v>
      </c>
      <c r="U3237">
        <f t="shared" si="371"/>
        <v>5020</v>
      </c>
      <c r="V3237">
        <f>U3237</f>
        <v>5020</v>
      </c>
      <c r="W3237">
        <f t="shared" si="367"/>
        <v>30939.7533333333</v>
      </c>
      <c r="X3237">
        <f t="shared" si="365"/>
        <v>0.266521607376166</v>
      </c>
      <c r="AH3237" t="str">
        <f t="shared" si="368"/>
        <v>3rd Quality</v>
      </c>
      <c r="AJ3237">
        <f>((T3237-X3237)*2)/10.1</f>
        <v>87.8604115628958</v>
      </c>
      <c r="AK3237">
        <f t="shared" si="366"/>
        <v>476370.7968</v>
      </c>
    </row>
    <row r="3238" spans="1:37">
      <c r="A3238" t="s">
        <v>3304</v>
      </c>
      <c r="B3238">
        <v>18</v>
      </c>
      <c r="C3238" t="s">
        <v>44</v>
      </c>
      <c r="D3238" t="s">
        <v>45</v>
      </c>
      <c r="E3238">
        <v>1353</v>
      </c>
      <c r="F3238">
        <v>136</v>
      </c>
      <c r="G3238">
        <v>2</v>
      </c>
      <c r="H3238">
        <v>1872.39</v>
      </c>
      <c r="I3238">
        <v>3967.35</v>
      </c>
      <c r="J3238">
        <v>19</v>
      </c>
      <c r="K3238">
        <v>0</v>
      </c>
      <c r="L3238">
        <v>9.7</v>
      </c>
      <c r="M3238">
        <v>18.9</v>
      </c>
      <c r="N3238" t="s">
        <v>57</v>
      </c>
      <c r="O3238" t="s">
        <v>47</v>
      </c>
      <c r="P3238" t="s">
        <v>68</v>
      </c>
      <c r="R3238">
        <f>SUMIF(A3238:A8237,"C03237",I3238:I8237)</f>
        <v>3967.35</v>
      </c>
      <c r="S3238" s="1">
        <v>10065.38</v>
      </c>
      <c r="T3238">
        <f t="shared" si="370"/>
        <v>208.807894736842</v>
      </c>
      <c r="U3238">
        <f t="shared" si="371"/>
        <v>359.1</v>
      </c>
      <c r="V3238">
        <f t="shared" si="369"/>
        <v>29.925</v>
      </c>
      <c r="W3238">
        <f t="shared" si="367"/>
        <v>1946.91333333333</v>
      </c>
      <c r="X3238">
        <f t="shared" si="365"/>
        <v>0.722605867367375</v>
      </c>
      <c r="AH3238" t="str">
        <f t="shared" si="368"/>
        <v>3rd Quality</v>
      </c>
      <c r="AJ3238">
        <f>((T3238-X3238)*2)/9.7</f>
        <v>42.9041832720566</v>
      </c>
      <c r="AK3238">
        <f t="shared" si="366"/>
        <v>282517.081578947</v>
      </c>
    </row>
    <row r="3239" spans="1:37">
      <c r="A3239" t="s">
        <v>3305</v>
      </c>
      <c r="B3239">
        <v>18</v>
      </c>
      <c r="C3239" t="s">
        <v>50</v>
      </c>
      <c r="D3239" t="s">
        <v>60</v>
      </c>
      <c r="E3239">
        <v>1429</v>
      </c>
      <c r="F3239">
        <v>28</v>
      </c>
      <c r="G3239">
        <v>10</v>
      </c>
      <c r="H3239">
        <v>852.88</v>
      </c>
      <c r="I3239">
        <v>9282.81</v>
      </c>
      <c r="J3239">
        <v>80</v>
      </c>
      <c r="K3239">
        <v>0</v>
      </c>
      <c r="L3239">
        <v>28.2</v>
      </c>
      <c r="M3239">
        <v>32.6</v>
      </c>
      <c r="N3239" t="s">
        <v>81</v>
      </c>
      <c r="O3239" t="s">
        <v>75</v>
      </c>
      <c r="P3239" t="s">
        <v>68</v>
      </c>
      <c r="R3239">
        <f>SUMIF(A3239:A8238,"C03238",I3239:I8238)</f>
        <v>9282.81</v>
      </c>
      <c r="S3239" s="1">
        <v>4657.55</v>
      </c>
      <c r="T3239">
        <f t="shared" si="370"/>
        <v>116.035125</v>
      </c>
      <c r="U3239">
        <f t="shared" si="371"/>
        <v>2608</v>
      </c>
      <c r="V3239">
        <f t="shared" si="369"/>
        <v>217.333333333333</v>
      </c>
      <c r="W3239">
        <f t="shared" si="367"/>
        <v>3378.89666666667</v>
      </c>
      <c r="X3239">
        <f t="shared" si="365"/>
        <v>1.67549948410093</v>
      </c>
      <c r="AH3239" t="str">
        <f t="shared" si="368"/>
        <v>3rd Quality</v>
      </c>
      <c r="AJ3239">
        <f>((T3239-X3239)*2)/28.2</f>
        <v>8.11061173871625</v>
      </c>
      <c r="AK3239">
        <f t="shared" si="366"/>
        <v>165814.193625</v>
      </c>
    </row>
    <row r="3240" spans="1:37">
      <c r="A3240" t="s">
        <v>3306</v>
      </c>
      <c r="B3240">
        <v>38</v>
      </c>
      <c r="C3240" t="s">
        <v>44</v>
      </c>
      <c r="D3240" t="s">
        <v>60</v>
      </c>
      <c r="E3240">
        <v>854</v>
      </c>
      <c r="F3240">
        <v>45</v>
      </c>
      <c r="G3240">
        <v>4</v>
      </c>
      <c r="H3240">
        <v>1884.06</v>
      </c>
      <c r="I3240">
        <v>7003.59</v>
      </c>
      <c r="J3240">
        <v>28</v>
      </c>
      <c r="K3240">
        <v>0</v>
      </c>
      <c r="L3240">
        <v>24.6</v>
      </c>
      <c r="M3240">
        <v>35.4</v>
      </c>
      <c r="N3240" t="s">
        <v>57</v>
      </c>
      <c r="O3240" t="s">
        <v>47</v>
      </c>
      <c r="P3240" t="s">
        <v>58</v>
      </c>
      <c r="R3240">
        <f>SUMIF(A3240:A8239,"C03239",I3240:I8239)</f>
        <v>7003.59</v>
      </c>
      <c r="S3240" s="1">
        <v>47091.5</v>
      </c>
      <c r="T3240">
        <f t="shared" si="370"/>
        <v>250.128214285714</v>
      </c>
      <c r="U3240">
        <f t="shared" si="371"/>
        <v>991.2</v>
      </c>
      <c r="V3240">
        <f t="shared" si="369"/>
        <v>82.6</v>
      </c>
      <c r="W3240">
        <f t="shared" si="367"/>
        <v>2962.88333333333</v>
      </c>
      <c r="X3240">
        <f t="shared" si="365"/>
        <v>0.45327643493307</v>
      </c>
      <c r="AH3240" t="str">
        <f t="shared" si="368"/>
        <v>3rd Quality</v>
      </c>
      <c r="AJ3240">
        <f>((T3240-X3240)*2)/24.6</f>
        <v>20.2987754350228</v>
      </c>
      <c r="AK3240">
        <f t="shared" si="366"/>
        <v>213609.495</v>
      </c>
    </row>
    <row r="3241" spans="1:37">
      <c r="A3241" t="s">
        <v>3307</v>
      </c>
      <c r="B3241">
        <v>49</v>
      </c>
      <c r="C3241" t="s">
        <v>44</v>
      </c>
      <c r="D3241" t="s">
        <v>60</v>
      </c>
      <c r="E3241">
        <v>904</v>
      </c>
      <c r="F3241">
        <v>72</v>
      </c>
      <c r="G3241">
        <v>7</v>
      </c>
      <c r="H3241">
        <v>1620.99</v>
      </c>
      <c r="I3241">
        <v>10065.38</v>
      </c>
      <c r="J3241">
        <v>27</v>
      </c>
      <c r="K3241">
        <v>0</v>
      </c>
      <c r="L3241">
        <v>15.2</v>
      </c>
      <c r="M3241">
        <v>50.8</v>
      </c>
      <c r="N3241" t="s">
        <v>81</v>
      </c>
      <c r="O3241" t="s">
        <v>47</v>
      </c>
      <c r="P3241" t="s">
        <v>68</v>
      </c>
      <c r="R3241">
        <f>SUMIF(A3241:A8240,"C03240",I3241:I8240)</f>
        <v>10065.38</v>
      </c>
      <c r="S3241" s="1">
        <v>9717.64</v>
      </c>
      <c r="T3241">
        <f t="shared" si="370"/>
        <v>372.791851851852</v>
      </c>
      <c r="U3241">
        <f t="shared" si="371"/>
        <v>1371.6</v>
      </c>
      <c r="V3241">
        <f t="shared" si="369"/>
        <v>114.3</v>
      </c>
      <c r="W3241">
        <f t="shared" si="367"/>
        <v>3895.79</v>
      </c>
      <c r="X3241">
        <f t="shared" si="365"/>
        <v>0.557683884539695</v>
      </c>
      <c r="AH3241" t="str">
        <f t="shared" si="368"/>
        <v>3rd Quality</v>
      </c>
      <c r="AJ3241">
        <f>((T3241-X3241)*2)/15.2</f>
        <v>48.978179995699</v>
      </c>
      <c r="AK3241">
        <f t="shared" si="366"/>
        <v>337003.834074074</v>
      </c>
    </row>
    <row r="3242" spans="1:37">
      <c r="A3242" t="s">
        <v>3308</v>
      </c>
      <c r="B3242">
        <v>18</v>
      </c>
      <c r="C3242" t="s">
        <v>50</v>
      </c>
      <c r="D3242" t="s">
        <v>60</v>
      </c>
      <c r="E3242">
        <v>1318</v>
      </c>
      <c r="F3242">
        <v>174</v>
      </c>
      <c r="G3242">
        <v>2</v>
      </c>
      <c r="H3242">
        <v>2269.33</v>
      </c>
      <c r="I3242">
        <v>4657.55</v>
      </c>
      <c r="J3242">
        <v>13</v>
      </c>
      <c r="K3242">
        <v>0</v>
      </c>
      <c r="L3242">
        <v>27.4</v>
      </c>
      <c r="M3242">
        <v>8.7</v>
      </c>
      <c r="N3242" t="s">
        <v>52</v>
      </c>
      <c r="O3242" t="s">
        <v>47</v>
      </c>
      <c r="P3242" t="s">
        <v>58</v>
      </c>
      <c r="R3242">
        <f>SUMIF(A3242:A8241,"C03241",I3242:I8241)</f>
        <v>4657.55</v>
      </c>
      <c r="S3242" s="1">
        <v>7482.37</v>
      </c>
      <c r="T3242">
        <f t="shared" si="370"/>
        <v>358.273076923077</v>
      </c>
      <c r="U3242">
        <f t="shared" si="371"/>
        <v>113.1</v>
      </c>
      <c r="V3242">
        <f t="shared" si="369"/>
        <v>9.425</v>
      </c>
      <c r="W3242">
        <f t="shared" si="367"/>
        <v>2309.29333333333</v>
      </c>
      <c r="X3242">
        <f t="shared" si="365"/>
        <v>0.580788162144774</v>
      </c>
      <c r="AH3242" t="str">
        <f t="shared" si="368"/>
        <v>3rd Quality</v>
      </c>
      <c r="AJ3242">
        <f>((T3242-X3242)*2)/27.4</f>
        <v>26.1089261869294</v>
      </c>
      <c r="AK3242">
        <f t="shared" si="366"/>
        <v>472203.915384615</v>
      </c>
    </row>
    <row r="3243" spans="1:37">
      <c r="A3243" t="s">
        <v>3309</v>
      </c>
      <c r="B3243">
        <v>18</v>
      </c>
      <c r="C3243" t="s">
        <v>50</v>
      </c>
      <c r="D3243" t="s">
        <v>51</v>
      </c>
      <c r="E3243">
        <v>972</v>
      </c>
      <c r="F3243">
        <v>18</v>
      </c>
      <c r="G3243">
        <v>3</v>
      </c>
      <c r="H3243">
        <v>14071.77</v>
      </c>
      <c r="I3243">
        <v>47091.5</v>
      </c>
      <c r="J3243">
        <v>17</v>
      </c>
      <c r="K3243">
        <v>0</v>
      </c>
      <c r="L3243">
        <v>0</v>
      </c>
      <c r="M3243">
        <v>49.4</v>
      </c>
      <c r="N3243" t="s">
        <v>63</v>
      </c>
      <c r="O3243" t="s">
        <v>47</v>
      </c>
      <c r="P3243" t="s">
        <v>68</v>
      </c>
      <c r="R3243">
        <f>SUMIF(A3243:A8242,"C03242",I3243:I8242)</f>
        <v>47091.5</v>
      </c>
      <c r="S3243" s="1">
        <v>51268.14</v>
      </c>
      <c r="T3243">
        <f t="shared" si="370"/>
        <v>2770.08823529412</v>
      </c>
      <c r="U3243">
        <f t="shared" si="371"/>
        <v>839.8</v>
      </c>
      <c r="V3243">
        <f t="shared" si="369"/>
        <v>69.9833333333333</v>
      </c>
      <c r="W3243">
        <f t="shared" si="367"/>
        <v>20388.09</v>
      </c>
      <c r="X3243">
        <f t="shared" si="365"/>
        <v>0.069074466111939</v>
      </c>
      <c r="AH3243" t="str">
        <f t="shared" si="368"/>
        <v>1st Quality</v>
      </c>
      <c r="AJ3243">
        <f>((T3243-X3243)*2)</f>
        <v>5540.03832165602</v>
      </c>
      <c r="AK3243">
        <f t="shared" si="366"/>
        <v>2692525.76470588</v>
      </c>
    </row>
    <row r="3244" spans="1:37">
      <c r="A3244" t="s">
        <v>3310</v>
      </c>
      <c r="B3244">
        <v>42</v>
      </c>
      <c r="C3244" t="s">
        <v>44</v>
      </c>
      <c r="D3244" t="s">
        <v>60</v>
      </c>
      <c r="E3244">
        <v>1192</v>
      </c>
      <c r="F3244">
        <v>72</v>
      </c>
      <c r="G3244">
        <v>3</v>
      </c>
      <c r="H3244">
        <v>3105.92</v>
      </c>
      <c r="I3244">
        <v>9717.64</v>
      </c>
      <c r="J3244">
        <v>17</v>
      </c>
      <c r="K3244">
        <v>0</v>
      </c>
      <c r="L3244">
        <v>17.4</v>
      </c>
      <c r="M3244">
        <v>5.3</v>
      </c>
      <c r="N3244" t="s">
        <v>61</v>
      </c>
      <c r="O3244" t="s">
        <v>75</v>
      </c>
      <c r="P3244" t="s">
        <v>68</v>
      </c>
      <c r="R3244">
        <f>SUMIF(A3244:A8243,"C03243",I3244:I8243)</f>
        <v>9717.64</v>
      </c>
      <c r="S3244" s="1">
        <v>20283.98</v>
      </c>
      <c r="T3244">
        <f t="shared" si="370"/>
        <v>571.625882352941</v>
      </c>
      <c r="U3244">
        <f t="shared" si="371"/>
        <v>90.1</v>
      </c>
      <c r="V3244">
        <f t="shared" si="369"/>
        <v>7.50833333333333</v>
      </c>
      <c r="W3244">
        <f t="shared" si="367"/>
        <v>4274.85333333333</v>
      </c>
      <c r="X3244">
        <f t="shared" si="365"/>
        <v>0.383783226869977</v>
      </c>
      <c r="AH3244" t="str">
        <f t="shared" si="368"/>
        <v>3rd Quality</v>
      </c>
      <c r="AJ3244">
        <f>((T3244-X3244)*2)/17.4</f>
        <v>65.6600113938013</v>
      </c>
      <c r="AK3244">
        <f t="shared" si="366"/>
        <v>681378.051764706</v>
      </c>
    </row>
    <row r="3245" spans="1:37">
      <c r="A3245" t="s">
        <v>3311</v>
      </c>
      <c r="B3245">
        <v>34</v>
      </c>
      <c r="C3245" t="s">
        <v>50</v>
      </c>
      <c r="D3245" t="s">
        <v>45</v>
      </c>
      <c r="E3245">
        <v>452</v>
      </c>
      <c r="F3245">
        <v>19</v>
      </c>
      <c r="G3245">
        <v>9</v>
      </c>
      <c r="H3245">
        <v>883.83</v>
      </c>
      <c r="I3245">
        <v>7482.37</v>
      </c>
      <c r="J3245">
        <v>45</v>
      </c>
      <c r="K3245">
        <v>1</v>
      </c>
      <c r="L3245">
        <v>27.8</v>
      </c>
      <c r="M3245">
        <v>16.7</v>
      </c>
      <c r="N3245" t="s">
        <v>81</v>
      </c>
      <c r="O3245" t="s">
        <v>47</v>
      </c>
      <c r="P3245" t="s">
        <v>48</v>
      </c>
      <c r="R3245">
        <f>SUMIF(A3245:A8244,"C03244",I3245:I8244)</f>
        <v>7482.37</v>
      </c>
      <c r="S3245" s="1">
        <v>16201.46</v>
      </c>
      <c r="T3245">
        <f t="shared" si="370"/>
        <v>166.274888888889</v>
      </c>
      <c r="U3245">
        <f t="shared" si="371"/>
        <v>751.5</v>
      </c>
      <c r="V3245">
        <f>U3245</f>
        <v>751.5</v>
      </c>
      <c r="W3245">
        <f t="shared" si="367"/>
        <v>2789.06666666667</v>
      </c>
      <c r="X3245">
        <f t="shared" si="365"/>
        <v>0.51141056538022</v>
      </c>
      <c r="AH3245" t="str">
        <f t="shared" si="368"/>
        <v>3rd Quality</v>
      </c>
      <c r="AJ3245">
        <f>((T3245-X3245)*2)/27.8</f>
        <v>11.9254300952165</v>
      </c>
      <c r="AK3245">
        <f t="shared" si="366"/>
        <v>75156.2497777778</v>
      </c>
    </row>
    <row r="3246" spans="1:37">
      <c r="A3246" t="s">
        <v>3312</v>
      </c>
      <c r="B3246">
        <v>35</v>
      </c>
      <c r="C3246" t="s">
        <v>50</v>
      </c>
      <c r="D3246" t="s">
        <v>60</v>
      </c>
      <c r="E3246">
        <v>1268</v>
      </c>
      <c r="F3246">
        <v>5</v>
      </c>
      <c r="G3246">
        <v>24</v>
      </c>
      <c r="H3246">
        <v>1960.77</v>
      </c>
      <c r="I3246">
        <v>51268.14</v>
      </c>
      <c r="J3246">
        <v>105</v>
      </c>
      <c r="K3246">
        <v>0</v>
      </c>
      <c r="L3246">
        <v>14.1</v>
      </c>
      <c r="M3246">
        <v>29</v>
      </c>
      <c r="N3246" t="s">
        <v>78</v>
      </c>
      <c r="O3246" t="s">
        <v>47</v>
      </c>
      <c r="P3246" t="s">
        <v>68</v>
      </c>
      <c r="R3246">
        <f>SUMIF(A3246:A8245,"C03245",I3246:I8245)</f>
        <v>51268.14</v>
      </c>
      <c r="S3246" s="1">
        <v>1502.89</v>
      </c>
      <c r="T3246">
        <f t="shared" si="370"/>
        <v>488.268</v>
      </c>
      <c r="U3246">
        <f t="shared" si="371"/>
        <v>3045</v>
      </c>
      <c r="V3246">
        <f t="shared" si="369"/>
        <v>253.75</v>
      </c>
      <c r="W3246">
        <f t="shared" si="367"/>
        <v>17743.3033333333</v>
      </c>
      <c r="X3246">
        <f t="shared" si="365"/>
        <v>0.646684720798462</v>
      </c>
      <c r="AH3246" t="str">
        <f t="shared" si="368"/>
        <v>2nd Quality</v>
      </c>
      <c r="AJ3246">
        <f>((T3246-X3246)*2)/14.1</f>
        <v>69.1661440112343</v>
      </c>
      <c r="AK3246">
        <f t="shared" si="366"/>
        <v>619123.824</v>
      </c>
    </row>
    <row r="3247" spans="1:37">
      <c r="A3247" t="s">
        <v>3313</v>
      </c>
      <c r="B3247">
        <v>28</v>
      </c>
      <c r="C3247" t="s">
        <v>44</v>
      </c>
      <c r="D3247" t="s">
        <v>60</v>
      </c>
      <c r="E3247">
        <v>488</v>
      </c>
      <c r="F3247">
        <v>32</v>
      </c>
      <c r="G3247">
        <v>2</v>
      </c>
      <c r="H3247">
        <v>10050.18</v>
      </c>
      <c r="I3247">
        <v>20283.98</v>
      </c>
      <c r="J3247">
        <v>11</v>
      </c>
      <c r="K3247">
        <v>0</v>
      </c>
      <c r="L3247">
        <v>1.6</v>
      </c>
      <c r="M3247">
        <v>23.5</v>
      </c>
      <c r="N3247" t="s">
        <v>57</v>
      </c>
      <c r="O3247" t="s">
        <v>47</v>
      </c>
      <c r="P3247" t="s">
        <v>58</v>
      </c>
      <c r="R3247">
        <f>SUMIF(A3247:A8246,"C03246",I3247:I8246)</f>
        <v>20283.98</v>
      </c>
      <c r="S3247" s="1">
        <v>2417.77</v>
      </c>
      <c r="T3247">
        <f t="shared" si="370"/>
        <v>1843.99818181818</v>
      </c>
      <c r="U3247">
        <f t="shared" si="371"/>
        <v>258.5</v>
      </c>
      <c r="V3247">
        <f t="shared" si="369"/>
        <v>21.5416666666667</v>
      </c>
      <c r="W3247">
        <f t="shared" si="367"/>
        <v>10111.72</v>
      </c>
      <c r="X3247">
        <f t="shared" si="365"/>
        <v>0.0485563442644808</v>
      </c>
      <c r="AH3247" t="str">
        <f t="shared" si="368"/>
        <v>2nd Quality</v>
      </c>
      <c r="AJ3247">
        <f>((T3247-X3247)*2)/1.6</f>
        <v>2304.93703184239</v>
      </c>
      <c r="AK3247">
        <f t="shared" si="366"/>
        <v>899871.112727273</v>
      </c>
    </row>
    <row r="3248" spans="1:37">
      <c r="A3248" t="s">
        <v>3314</v>
      </c>
      <c r="B3248">
        <v>24</v>
      </c>
      <c r="C3248" t="s">
        <v>44</v>
      </c>
      <c r="D3248" t="s">
        <v>60</v>
      </c>
      <c r="E3248">
        <v>794</v>
      </c>
      <c r="F3248">
        <v>19</v>
      </c>
      <c r="G3248">
        <v>17</v>
      </c>
      <c r="H3248">
        <v>950.8</v>
      </c>
      <c r="I3248">
        <v>16201.46</v>
      </c>
      <c r="J3248">
        <v>77</v>
      </c>
      <c r="K3248">
        <v>0</v>
      </c>
      <c r="L3248">
        <v>19.1</v>
      </c>
      <c r="M3248">
        <v>11.5</v>
      </c>
      <c r="N3248" t="s">
        <v>61</v>
      </c>
      <c r="O3248" t="s">
        <v>47</v>
      </c>
      <c r="P3248" t="s">
        <v>58</v>
      </c>
      <c r="R3248">
        <f>SUMIF(A3248:A8247,"C03247",I3248:I8247)</f>
        <v>16201.46</v>
      </c>
      <c r="S3248" s="1">
        <v>8437.95</v>
      </c>
      <c r="T3248">
        <f t="shared" si="370"/>
        <v>210.408571428571</v>
      </c>
      <c r="U3248">
        <f t="shared" si="371"/>
        <v>885.5</v>
      </c>
      <c r="V3248">
        <f t="shared" si="369"/>
        <v>73.7916666666667</v>
      </c>
      <c r="W3248">
        <f t="shared" si="367"/>
        <v>5717.75333333333</v>
      </c>
      <c r="X3248">
        <f t="shared" si="365"/>
        <v>0.835086243163652</v>
      </c>
      <c r="AH3248" t="str">
        <f t="shared" si="368"/>
        <v>3rd Quality</v>
      </c>
      <c r="AJ3248">
        <f>((T3248-X3248)*2)/19.1</f>
        <v>21.9448675586814</v>
      </c>
      <c r="AK3248">
        <f t="shared" si="366"/>
        <v>167064.405714286</v>
      </c>
    </row>
    <row r="3249" spans="1:37">
      <c r="A3249" t="s">
        <v>3315</v>
      </c>
      <c r="B3249">
        <v>28</v>
      </c>
      <c r="C3249" t="s">
        <v>44</v>
      </c>
      <c r="D3249" t="s">
        <v>60</v>
      </c>
      <c r="E3249">
        <v>559</v>
      </c>
      <c r="F3249">
        <v>72</v>
      </c>
      <c r="G3249">
        <v>3</v>
      </c>
      <c r="H3249">
        <v>560.52</v>
      </c>
      <c r="I3249">
        <v>1502.89</v>
      </c>
      <c r="J3249">
        <v>22</v>
      </c>
      <c r="K3249">
        <v>0</v>
      </c>
      <c r="L3249">
        <v>22.3</v>
      </c>
      <c r="M3249">
        <v>16.9</v>
      </c>
      <c r="N3249" t="s">
        <v>78</v>
      </c>
      <c r="O3249" t="s">
        <v>47</v>
      </c>
      <c r="P3249" t="s">
        <v>58</v>
      </c>
      <c r="R3249">
        <f>SUMIF(A3249:A8248,"C03248",I3249:I8248)</f>
        <v>1502.89</v>
      </c>
      <c r="S3249" s="1">
        <v>1817.48</v>
      </c>
      <c r="T3249">
        <f t="shared" si="370"/>
        <v>68.3131818181818</v>
      </c>
      <c r="U3249">
        <f t="shared" si="371"/>
        <v>371.8</v>
      </c>
      <c r="V3249">
        <f t="shared" si="369"/>
        <v>30.9833333333333</v>
      </c>
      <c r="W3249">
        <f t="shared" si="367"/>
        <v>688.136666666667</v>
      </c>
      <c r="X3249">
        <f t="shared" si="365"/>
        <v>0.99728823235567</v>
      </c>
      <c r="AH3249" t="str">
        <f t="shared" si="368"/>
        <v>3rd Quality</v>
      </c>
      <c r="AJ3249">
        <f>((T3249-X3249)*2)/22.3</f>
        <v>6.03729987316826</v>
      </c>
      <c r="AK3249">
        <f t="shared" si="366"/>
        <v>38187.0686363636</v>
      </c>
    </row>
    <row r="3250" spans="1:37">
      <c r="A3250" t="s">
        <v>3316</v>
      </c>
      <c r="B3250">
        <v>32</v>
      </c>
      <c r="C3250" t="s">
        <v>44</v>
      </c>
      <c r="D3250" t="s">
        <v>51</v>
      </c>
      <c r="E3250">
        <v>1383</v>
      </c>
      <c r="F3250">
        <v>147</v>
      </c>
      <c r="G3250">
        <v>1</v>
      </c>
      <c r="H3250">
        <v>2702.74</v>
      </c>
      <c r="I3250">
        <v>2417.77</v>
      </c>
      <c r="J3250">
        <v>14</v>
      </c>
      <c r="K3250">
        <v>0</v>
      </c>
      <c r="L3250">
        <v>18.5</v>
      </c>
      <c r="M3250">
        <v>10.3</v>
      </c>
      <c r="N3250" t="s">
        <v>61</v>
      </c>
      <c r="O3250" t="s">
        <v>75</v>
      </c>
      <c r="P3250" t="s">
        <v>66</v>
      </c>
      <c r="R3250">
        <f>SUMIF(A3250:A8249,"C03249",I3250:I8249)</f>
        <v>2417.77</v>
      </c>
      <c r="S3250" s="1">
        <v>32527.82</v>
      </c>
      <c r="T3250">
        <f t="shared" si="370"/>
        <v>172.697857142857</v>
      </c>
      <c r="U3250">
        <f t="shared" si="371"/>
        <v>144.2</v>
      </c>
      <c r="V3250">
        <f t="shared" si="369"/>
        <v>12.0166666666667</v>
      </c>
      <c r="W3250">
        <f t="shared" si="367"/>
        <v>1707.17</v>
      </c>
      <c r="X3250">
        <f t="shared" si="365"/>
        <v>0.511702938499449</v>
      </c>
      <c r="AH3250" t="str">
        <f t="shared" si="368"/>
        <v>3rd Quality</v>
      </c>
      <c r="AJ3250">
        <f>((T3250-X3250)*2)/18.5</f>
        <v>18.6147193734441</v>
      </c>
      <c r="AK3250">
        <f t="shared" si="366"/>
        <v>238841.136428571</v>
      </c>
    </row>
    <row r="3251" spans="1:37">
      <c r="A3251" t="s">
        <v>3317</v>
      </c>
      <c r="B3251">
        <v>18</v>
      </c>
      <c r="C3251" t="s">
        <v>101</v>
      </c>
      <c r="D3251" t="s">
        <v>45</v>
      </c>
      <c r="E3251">
        <v>499</v>
      </c>
      <c r="F3251">
        <v>35</v>
      </c>
      <c r="G3251">
        <v>9</v>
      </c>
      <c r="H3251">
        <v>920.04</v>
      </c>
      <c r="I3251">
        <v>8437.95</v>
      </c>
      <c r="J3251">
        <v>52</v>
      </c>
      <c r="K3251">
        <v>0</v>
      </c>
      <c r="L3251">
        <v>27.7</v>
      </c>
      <c r="M3251">
        <v>20.1</v>
      </c>
      <c r="N3251" t="s">
        <v>57</v>
      </c>
      <c r="O3251" t="s">
        <v>47</v>
      </c>
      <c r="P3251" t="s">
        <v>48</v>
      </c>
      <c r="R3251">
        <f>SUMIF(A3251:A8250,"C03250",I3251:I8250)</f>
        <v>8437.95</v>
      </c>
      <c r="S3251" s="1">
        <v>9174</v>
      </c>
      <c r="T3251">
        <f t="shared" si="370"/>
        <v>162.268269230769</v>
      </c>
      <c r="U3251">
        <f t="shared" si="371"/>
        <v>1045.2</v>
      </c>
      <c r="V3251">
        <f t="shared" si="369"/>
        <v>87.1</v>
      </c>
      <c r="W3251">
        <f t="shared" si="367"/>
        <v>3119.66333333333</v>
      </c>
      <c r="X3251">
        <f t="shared" si="365"/>
        <v>0.542367723142472</v>
      </c>
      <c r="AH3251" t="str">
        <f t="shared" si="368"/>
        <v>3rd Quality</v>
      </c>
      <c r="AJ3251">
        <f>((T3251-X3251)*2)/27.7</f>
        <v>11.6769603976626</v>
      </c>
      <c r="AK3251">
        <f t="shared" si="366"/>
        <v>80971.8663461539</v>
      </c>
    </row>
    <row r="3252" spans="1:37">
      <c r="A3252" t="s">
        <v>3318</v>
      </c>
      <c r="B3252">
        <v>18</v>
      </c>
      <c r="C3252" t="s">
        <v>44</v>
      </c>
      <c r="D3252" t="s">
        <v>60</v>
      </c>
      <c r="E3252">
        <v>965</v>
      </c>
      <c r="F3252">
        <v>308</v>
      </c>
      <c r="G3252">
        <v>1</v>
      </c>
      <c r="H3252">
        <v>1692.87</v>
      </c>
      <c r="I3252">
        <v>1817.48</v>
      </c>
      <c r="J3252">
        <v>14</v>
      </c>
      <c r="K3252">
        <v>0</v>
      </c>
      <c r="L3252">
        <v>3.6</v>
      </c>
      <c r="M3252">
        <v>16.9</v>
      </c>
      <c r="N3252" t="s">
        <v>46</v>
      </c>
      <c r="O3252" t="s">
        <v>53</v>
      </c>
      <c r="P3252" t="s">
        <v>66</v>
      </c>
      <c r="R3252">
        <f>SUMIF(A3252:A8251,"C03251",I3252:I8251)</f>
        <v>1817.48</v>
      </c>
      <c r="S3252" s="1">
        <v>8470.01</v>
      </c>
      <c r="T3252">
        <f t="shared" si="370"/>
        <v>129.82</v>
      </c>
      <c r="U3252">
        <f t="shared" si="371"/>
        <v>236.6</v>
      </c>
      <c r="V3252">
        <f t="shared" si="369"/>
        <v>19.7166666666667</v>
      </c>
      <c r="W3252">
        <f t="shared" si="367"/>
        <v>1170.45</v>
      </c>
      <c r="X3252">
        <f t="shared" si="365"/>
        <v>0.570037864691323</v>
      </c>
      <c r="AH3252" t="str">
        <f t="shared" si="368"/>
        <v>3rd Quality</v>
      </c>
      <c r="AJ3252">
        <f>((T3252-X3252)*2)/3.6</f>
        <v>71.8055345196159</v>
      </c>
      <c r="AK3252">
        <f t="shared" si="366"/>
        <v>125276.3</v>
      </c>
    </row>
    <row r="3253" spans="1:37">
      <c r="A3253" t="s">
        <v>3319</v>
      </c>
      <c r="B3253">
        <v>29</v>
      </c>
      <c r="C3253" t="s">
        <v>44</v>
      </c>
      <c r="D3253" t="s">
        <v>51</v>
      </c>
      <c r="E3253">
        <v>519</v>
      </c>
      <c r="F3253">
        <v>38</v>
      </c>
      <c r="G3253">
        <v>6</v>
      </c>
      <c r="H3253">
        <v>5110.77</v>
      </c>
      <c r="I3253">
        <v>32527.82</v>
      </c>
      <c r="J3253">
        <v>47</v>
      </c>
      <c r="K3253">
        <v>1</v>
      </c>
      <c r="L3253">
        <v>9.9</v>
      </c>
      <c r="M3253">
        <v>20.1</v>
      </c>
      <c r="N3253" t="s">
        <v>57</v>
      </c>
      <c r="O3253" t="s">
        <v>47</v>
      </c>
      <c r="P3253" t="s">
        <v>54</v>
      </c>
      <c r="R3253">
        <f>SUMIF(A3253:A8252,"C03252",I3253:I8252)</f>
        <v>32527.82</v>
      </c>
      <c r="S3253" s="1">
        <v>182734.67</v>
      </c>
      <c r="T3253">
        <f t="shared" si="370"/>
        <v>692.081276595745</v>
      </c>
      <c r="U3253">
        <f t="shared" si="371"/>
        <v>944.7</v>
      </c>
      <c r="V3253">
        <f>U3253</f>
        <v>944.7</v>
      </c>
      <c r="W3253">
        <f t="shared" si="367"/>
        <v>12546.53</v>
      </c>
      <c r="X3253">
        <f t="shared" si="365"/>
        <v>0.101550255636626</v>
      </c>
      <c r="AH3253" t="str">
        <f t="shared" si="368"/>
        <v>2nd Quality</v>
      </c>
      <c r="AJ3253">
        <f>((T3253-X3253)*2)/9.9</f>
        <v>139.793884109113</v>
      </c>
      <c r="AK3253">
        <f t="shared" si="366"/>
        <v>359190.182553191</v>
      </c>
    </row>
    <row r="3254" spans="1:37">
      <c r="A3254" t="s">
        <v>3320</v>
      </c>
      <c r="B3254">
        <v>53</v>
      </c>
      <c r="C3254" t="s">
        <v>44</v>
      </c>
      <c r="D3254" t="s">
        <v>51</v>
      </c>
      <c r="E3254">
        <v>390</v>
      </c>
      <c r="F3254">
        <v>16</v>
      </c>
      <c r="G3254">
        <v>6</v>
      </c>
      <c r="H3254">
        <v>1382.73</v>
      </c>
      <c r="I3254">
        <v>9174</v>
      </c>
      <c r="J3254">
        <v>44</v>
      </c>
      <c r="K3254">
        <v>2</v>
      </c>
      <c r="L3254">
        <v>18.6</v>
      </c>
      <c r="M3254">
        <v>18.2</v>
      </c>
      <c r="N3254" t="s">
        <v>52</v>
      </c>
      <c r="O3254" t="s">
        <v>47</v>
      </c>
      <c r="P3254" t="s">
        <v>68</v>
      </c>
      <c r="R3254">
        <f>SUMIF(A3254:A8253,"C03253",I3254:I8253)</f>
        <v>9174</v>
      </c>
      <c r="S3254" s="1">
        <v>3908.93</v>
      </c>
      <c r="T3254">
        <f t="shared" si="370"/>
        <v>208.5</v>
      </c>
      <c r="U3254">
        <f t="shared" si="371"/>
        <v>800.8</v>
      </c>
      <c r="V3254">
        <f>U3254</f>
        <v>800.8</v>
      </c>
      <c r="W3254">
        <f t="shared" si="367"/>
        <v>3519.24333333333</v>
      </c>
      <c r="X3254">
        <f t="shared" si="365"/>
        <v>0.282050725738214</v>
      </c>
      <c r="AH3254" t="str">
        <f t="shared" si="368"/>
        <v>3rd Quality</v>
      </c>
      <c r="AJ3254">
        <f>((T3254-X3254)*2)/18.6</f>
        <v>22.3890268036841</v>
      </c>
      <c r="AK3254">
        <f t="shared" si="366"/>
        <v>81315</v>
      </c>
    </row>
    <row r="3255" spans="1:37">
      <c r="A3255" t="s">
        <v>3321</v>
      </c>
      <c r="B3255">
        <v>21</v>
      </c>
      <c r="C3255" t="s">
        <v>44</v>
      </c>
      <c r="D3255" t="s">
        <v>60</v>
      </c>
      <c r="E3255">
        <v>654</v>
      </c>
      <c r="F3255">
        <v>22</v>
      </c>
      <c r="G3255">
        <v>4</v>
      </c>
      <c r="H3255">
        <v>2116.1</v>
      </c>
      <c r="I3255">
        <v>8470.01</v>
      </c>
      <c r="J3255">
        <v>38</v>
      </c>
      <c r="K3255">
        <v>1</v>
      </c>
      <c r="L3255">
        <v>21.3</v>
      </c>
      <c r="M3255">
        <v>39.7</v>
      </c>
      <c r="N3255" t="s">
        <v>61</v>
      </c>
      <c r="O3255" t="s">
        <v>47</v>
      </c>
      <c r="P3255" t="s">
        <v>68</v>
      </c>
      <c r="R3255">
        <f>SUMIF(A3255:A8254,"C03254",I3255:I8254)</f>
        <v>8470.01</v>
      </c>
      <c r="S3255" s="1">
        <v>93520.5</v>
      </c>
      <c r="T3255">
        <f t="shared" si="370"/>
        <v>222.895</v>
      </c>
      <c r="U3255">
        <f t="shared" si="371"/>
        <v>1508.6</v>
      </c>
      <c r="V3255">
        <f>U3255</f>
        <v>1508.6</v>
      </c>
      <c r="W3255">
        <f t="shared" si="367"/>
        <v>3529.03666666667</v>
      </c>
      <c r="X3255">
        <f t="shared" si="365"/>
        <v>0.309059118189122</v>
      </c>
      <c r="AH3255" t="str">
        <f t="shared" si="368"/>
        <v>3rd Quality</v>
      </c>
      <c r="AJ3255">
        <f>((T3255-X3255)*2)/21.3</f>
        <v>20.9000883457099</v>
      </c>
      <c r="AK3255">
        <f t="shared" si="366"/>
        <v>145773.33</v>
      </c>
    </row>
    <row r="3256" spans="1:37">
      <c r="A3256" t="s">
        <v>3322</v>
      </c>
      <c r="B3256">
        <v>35</v>
      </c>
      <c r="C3256" t="s">
        <v>101</v>
      </c>
      <c r="D3256" t="s">
        <v>60</v>
      </c>
      <c r="E3256">
        <v>454</v>
      </c>
      <c r="F3256">
        <v>17</v>
      </c>
      <c r="G3256">
        <v>35</v>
      </c>
      <c r="H3256">
        <v>5073.98</v>
      </c>
      <c r="I3256">
        <v>182734.67</v>
      </c>
      <c r="J3256">
        <v>285</v>
      </c>
      <c r="K3256">
        <v>4</v>
      </c>
      <c r="L3256">
        <v>1.5</v>
      </c>
      <c r="M3256">
        <v>60.4</v>
      </c>
      <c r="N3256" t="s">
        <v>46</v>
      </c>
      <c r="O3256" t="s">
        <v>75</v>
      </c>
      <c r="P3256" t="s">
        <v>58</v>
      </c>
      <c r="R3256">
        <f>SUMIF(A3256:A8255,"C03255",I3256:I8255)</f>
        <v>182734.67</v>
      </c>
      <c r="S3256" s="1">
        <v>16324.1</v>
      </c>
      <c r="T3256">
        <f t="shared" si="370"/>
        <v>641.174280701754</v>
      </c>
      <c r="U3256">
        <f t="shared" si="371"/>
        <v>17214</v>
      </c>
      <c r="V3256">
        <f>U3256</f>
        <v>17214</v>
      </c>
      <c r="W3256">
        <f t="shared" si="367"/>
        <v>62603.2166666667</v>
      </c>
      <c r="X3256">
        <f t="shared" ref="X3256:X3319" si="372">E3256/H3256</f>
        <v>0.0894761114549131</v>
      </c>
      <c r="AH3256" t="str">
        <f t="shared" si="368"/>
        <v>3rd Quality</v>
      </c>
      <c r="AJ3256">
        <f>((T3256-X3256)*2)/1.5</f>
        <v>854.779739453732</v>
      </c>
      <c r="AK3256">
        <f t="shared" si="366"/>
        <v>291093.123438597</v>
      </c>
    </row>
    <row r="3257" spans="1:37">
      <c r="A3257" t="s">
        <v>3323</v>
      </c>
      <c r="B3257">
        <v>31</v>
      </c>
      <c r="C3257" t="s">
        <v>44</v>
      </c>
      <c r="D3257" t="s">
        <v>51</v>
      </c>
      <c r="E3257">
        <v>673</v>
      </c>
      <c r="F3257">
        <v>183</v>
      </c>
      <c r="G3257">
        <v>3</v>
      </c>
      <c r="H3257">
        <v>1264.38</v>
      </c>
      <c r="I3257">
        <v>3908.93</v>
      </c>
      <c r="J3257">
        <v>19</v>
      </c>
      <c r="K3257">
        <v>0</v>
      </c>
      <c r="L3257">
        <v>24.7</v>
      </c>
      <c r="M3257">
        <v>27.6</v>
      </c>
      <c r="N3257" t="s">
        <v>63</v>
      </c>
      <c r="O3257" t="s">
        <v>75</v>
      </c>
      <c r="P3257" t="s">
        <v>66</v>
      </c>
      <c r="R3257">
        <f>SUMIF(A3257:A8256,"C03256",I3257:I8256)</f>
        <v>3908.93</v>
      </c>
      <c r="S3257" s="1">
        <v>48386.2</v>
      </c>
      <c r="T3257">
        <f t="shared" si="370"/>
        <v>205.733157894737</v>
      </c>
      <c r="U3257">
        <f t="shared" si="371"/>
        <v>524.4</v>
      </c>
      <c r="V3257">
        <f t="shared" si="369"/>
        <v>43.7</v>
      </c>
      <c r="W3257">
        <f t="shared" si="367"/>
        <v>1724.77</v>
      </c>
      <c r="X3257">
        <f t="shared" si="372"/>
        <v>0.532276688970088</v>
      </c>
      <c r="AH3257" t="str">
        <f t="shared" si="368"/>
        <v>3rd Quality</v>
      </c>
      <c r="AJ3257">
        <f>((T3257-X3257)*2)/24.7</f>
        <v>16.6154559680783</v>
      </c>
      <c r="AK3257">
        <f t="shared" si="366"/>
        <v>138458.415263158</v>
      </c>
    </row>
    <row r="3258" spans="1:37">
      <c r="A3258" t="s">
        <v>3324</v>
      </c>
      <c r="B3258">
        <v>21</v>
      </c>
      <c r="C3258" t="s">
        <v>44</v>
      </c>
      <c r="D3258" t="s">
        <v>45</v>
      </c>
      <c r="E3258">
        <v>545</v>
      </c>
      <c r="F3258">
        <v>3</v>
      </c>
      <c r="G3258">
        <v>31</v>
      </c>
      <c r="H3258">
        <v>3106.1</v>
      </c>
      <c r="I3258">
        <v>93520.5</v>
      </c>
      <c r="J3258">
        <v>257</v>
      </c>
      <c r="K3258">
        <v>2</v>
      </c>
      <c r="L3258">
        <v>22.9</v>
      </c>
      <c r="M3258">
        <v>29.2</v>
      </c>
      <c r="N3258" t="s">
        <v>46</v>
      </c>
      <c r="O3258" t="s">
        <v>47</v>
      </c>
      <c r="P3258" t="s">
        <v>66</v>
      </c>
      <c r="R3258">
        <f>SUMIF(A3258:A8257,"C03257",I3258:I8257)</f>
        <v>93520.5</v>
      </c>
      <c r="S3258" s="1">
        <v>50966.68</v>
      </c>
      <c r="T3258">
        <f t="shared" si="370"/>
        <v>363.892996108949</v>
      </c>
      <c r="U3258">
        <f t="shared" si="371"/>
        <v>7504.4</v>
      </c>
      <c r="V3258">
        <f>U3258</f>
        <v>7504.4</v>
      </c>
      <c r="W3258">
        <f t="shared" si="367"/>
        <v>32209.2</v>
      </c>
      <c r="X3258">
        <f t="shared" si="372"/>
        <v>0.175461189272721</v>
      </c>
      <c r="AH3258" t="str">
        <f t="shared" si="368"/>
        <v>2nd Quality</v>
      </c>
      <c r="AJ3258">
        <f>((T3258-X3258)*2)/22.9</f>
        <v>31.7657235737709</v>
      </c>
      <c r="AK3258">
        <f t="shared" si="366"/>
        <v>198321.682879377</v>
      </c>
    </row>
    <row r="3259" spans="1:37">
      <c r="A3259" t="s">
        <v>3325</v>
      </c>
      <c r="B3259">
        <v>30</v>
      </c>
      <c r="C3259" t="s">
        <v>50</v>
      </c>
      <c r="D3259" t="s">
        <v>60</v>
      </c>
      <c r="E3259">
        <v>1128</v>
      </c>
      <c r="F3259">
        <v>9</v>
      </c>
      <c r="G3259">
        <v>9</v>
      </c>
      <c r="H3259">
        <v>2059.53</v>
      </c>
      <c r="I3259">
        <v>16324.1</v>
      </c>
      <c r="J3259">
        <v>43</v>
      </c>
      <c r="K3259">
        <v>2</v>
      </c>
      <c r="L3259">
        <v>19.6</v>
      </c>
      <c r="M3259">
        <v>23.3</v>
      </c>
      <c r="N3259" t="s">
        <v>61</v>
      </c>
      <c r="O3259" t="s">
        <v>47</v>
      </c>
      <c r="P3259" t="s">
        <v>66</v>
      </c>
      <c r="R3259">
        <f>SUMIF(A3259:A8258,"C03258",I3259:I8258)</f>
        <v>16324.1</v>
      </c>
      <c r="S3259" s="1">
        <v>135539.96</v>
      </c>
      <c r="T3259">
        <f t="shared" si="370"/>
        <v>379.63023255814</v>
      </c>
      <c r="U3259">
        <f t="shared" si="371"/>
        <v>1001.9</v>
      </c>
      <c r="V3259">
        <f>U3259</f>
        <v>1001.9</v>
      </c>
      <c r="W3259">
        <f t="shared" si="367"/>
        <v>6128.21</v>
      </c>
      <c r="X3259">
        <f t="shared" si="372"/>
        <v>0.547697775706108</v>
      </c>
      <c r="AH3259" t="str">
        <f t="shared" si="368"/>
        <v>3rd Quality</v>
      </c>
      <c r="AJ3259">
        <f>((T3259-X3259)*2)/19.6</f>
        <v>38.68189130433</v>
      </c>
      <c r="AK3259">
        <f t="shared" si="366"/>
        <v>428222.902325581</v>
      </c>
    </row>
    <row r="3260" spans="1:37">
      <c r="A3260" t="s">
        <v>3326</v>
      </c>
      <c r="B3260">
        <v>34</v>
      </c>
      <c r="C3260" t="s">
        <v>44</v>
      </c>
      <c r="D3260" t="s">
        <v>51</v>
      </c>
      <c r="E3260">
        <v>556</v>
      </c>
      <c r="F3260">
        <v>78</v>
      </c>
      <c r="G3260">
        <v>4</v>
      </c>
      <c r="H3260">
        <v>11186.67</v>
      </c>
      <c r="I3260">
        <v>48386.2</v>
      </c>
      <c r="J3260">
        <v>45</v>
      </c>
      <c r="K3260">
        <v>0</v>
      </c>
      <c r="L3260">
        <v>5.9</v>
      </c>
      <c r="M3260">
        <v>16.9</v>
      </c>
      <c r="N3260" t="s">
        <v>46</v>
      </c>
      <c r="O3260" t="s">
        <v>47</v>
      </c>
      <c r="P3260" t="s">
        <v>58</v>
      </c>
      <c r="R3260">
        <f>SUMIF(A3260:A8259,"C03259",I3260:I8259)</f>
        <v>48386.2</v>
      </c>
      <c r="S3260" s="1">
        <v>6441.56</v>
      </c>
      <c r="T3260">
        <f t="shared" si="370"/>
        <v>1075.24888888889</v>
      </c>
      <c r="U3260">
        <f t="shared" si="371"/>
        <v>760.5</v>
      </c>
      <c r="V3260">
        <f t="shared" si="369"/>
        <v>63.375</v>
      </c>
      <c r="W3260">
        <f t="shared" si="367"/>
        <v>19857.9566666667</v>
      </c>
      <c r="X3260">
        <f t="shared" si="372"/>
        <v>0.0497020114117964</v>
      </c>
      <c r="AH3260" t="str">
        <f t="shared" si="368"/>
        <v>2nd Quality</v>
      </c>
      <c r="AJ3260">
        <f>((T3260-X3260)*2)/5.9</f>
        <v>364.474300636433</v>
      </c>
      <c r="AK3260">
        <f t="shared" si="366"/>
        <v>597838.382222222</v>
      </c>
    </row>
    <row r="3261" spans="1:37">
      <c r="A3261" t="s">
        <v>3327</v>
      </c>
      <c r="B3261">
        <v>37</v>
      </c>
      <c r="C3261" t="s">
        <v>50</v>
      </c>
      <c r="D3261" t="s">
        <v>60</v>
      </c>
      <c r="E3261">
        <v>900</v>
      </c>
      <c r="F3261">
        <v>3</v>
      </c>
      <c r="G3261">
        <v>21</v>
      </c>
      <c r="H3261">
        <v>2708.38</v>
      </c>
      <c r="I3261">
        <v>50966.68</v>
      </c>
      <c r="J3261">
        <v>117</v>
      </c>
      <c r="K3261">
        <v>2</v>
      </c>
      <c r="L3261">
        <v>2.6</v>
      </c>
      <c r="M3261">
        <v>47.6</v>
      </c>
      <c r="N3261" t="s">
        <v>63</v>
      </c>
      <c r="O3261" t="s">
        <v>75</v>
      </c>
      <c r="P3261" t="s">
        <v>68</v>
      </c>
      <c r="R3261">
        <f>SUMIF(A3261:A8260,"C03260",I3261:I8260)</f>
        <v>50966.68</v>
      </c>
      <c r="S3261" s="1">
        <v>48954.95</v>
      </c>
      <c r="T3261">
        <f t="shared" si="370"/>
        <v>435.61264957265</v>
      </c>
      <c r="U3261">
        <f t="shared" si="371"/>
        <v>5569.2</v>
      </c>
      <c r="V3261">
        <f>U3261</f>
        <v>5569.2</v>
      </c>
      <c r="W3261">
        <f t="shared" si="367"/>
        <v>17892.02</v>
      </c>
      <c r="X3261">
        <f t="shared" si="372"/>
        <v>0.332301966489193</v>
      </c>
      <c r="AH3261" t="str">
        <f t="shared" si="368"/>
        <v>2nd Quality</v>
      </c>
      <c r="AJ3261">
        <f>((T3261-X3261)*2)/2.6</f>
        <v>334.831036620124</v>
      </c>
      <c r="AK3261">
        <f t="shared" si="366"/>
        <v>392051.384615385</v>
      </c>
    </row>
    <row r="3262" spans="1:37">
      <c r="A3262" t="s">
        <v>3328</v>
      </c>
      <c r="B3262">
        <v>28</v>
      </c>
      <c r="C3262" t="s">
        <v>44</v>
      </c>
      <c r="D3262" t="s">
        <v>60</v>
      </c>
      <c r="E3262">
        <v>370</v>
      </c>
      <c r="F3262">
        <v>5</v>
      </c>
      <c r="G3262">
        <v>33</v>
      </c>
      <c r="H3262">
        <v>3699.5</v>
      </c>
      <c r="I3262">
        <v>135539.96</v>
      </c>
      <c r="J3262">
        <v>203</v>
      </c>
      <c r="K3262">
        <v>5</v>
      </c>
      <c r="L3262">
        <v>27.1</v>
      </c>
      <c r="M3262">
        <v>52.4</v>
      </c>
      <c r="N3262" t="s">
        <v>63</v>
      </c>
      <c r="O3262" t="s">
        <v>47</v>
      </c>
      <c r="P3262" t="s">
        <v>66</v>
      </c>
      <c r="R3262">
        <f>SUMIF(A3262:A8261,"C03261",I3262:I8261)</f>
        <v>135539.96</v>
      </c>
      <c r="S3262" s="1">
        <v>12306.2</v>
      </c>
      <c r="T3262">
        <f t="shared" si="370"/>
        <v>667.684532019704</v>
      </c>
      <c r="U3262">
        <f t="shared" si="371"/>
        <v>10637.2</v>
      </c>
      <c r="V3262">
        <f>U3262</f>
        <v>10637.2</v>
      </c>
      <c r="W3262">
        <f t="shared" si="367"/>
        <v>46413.4866666667</v>
      </c>
      <c r="X3262">
        <f t="shared" si="372"/>
        <v>0.100013515339911</v>
      </c>
      <c r="AH3262" t="str">
        <f t="shared" si="368"/>
        <v>3rd Quality</v>
      </c>
      <c r="AJ3262">
        <f>((T3262-X3262)*2)/27.1</f>
        <v>49.2682301479235</v>
      </c>
      <c r="AK3262">
        <f t="shared" si="366"/>
        <v>247043.276847291</v>
      </c>
    </row>
    <row r="3263" spans="1:37">
      <c r="A3263" t="s">
        <v>3329</v>
      </c>
      <c r="B3263">
        <v>44</v>
      </c>
      <c r="C3263" t="s">
        <v>101</v>
      </c>
      <c r="D3263" t="s">
        <v>60</v>
      </c>
      <c r="E3263">
        <v>1381</v>
      </c>
      <c r="F3263">
        <v>73</v>
      </c>
      <c r="G3263">
        <v>5</v>
      </c>
      <c r="H3263">
        <v>1190.1</v>
      </c>
      <c r="I3263">
        <v>6441.56</v>
      </c>
      <c r="J3263">
        <v>42</v>
      </c>
      <c r="K3263">
        <v>2</v>
      </c>
      <c r="L3263">
        <v>32.3</v>
      </c>
      <c r="M3263">
        <v>51.6</v>
      </c>
      <c r="N3263" t="s">
        <v>57</v>
      </c>
      <c r="O3263" t="s">
        <v>53</v>
      </c>
      <c r="P3263" t="s">
        <v>68</v>
      </c>
      <c r="R3263">
        <f>SUMIF(A3263:A8262,"C03262",I3263:I8262)</f>
        <v>6441.56</v>
      </c>
      <c r="S3263" s="1">
        <v>14861.51</v>
      </c>
      <c r="T3263">
        <f t="shared" si="370"/>
        <v>153.370476190476</v>
      </c>
      <c r="U3263">
        <f t="shared" si="371"/>
        <v>2167.2</v>
      </c>
      <c r="V3263">
        <f>U3263</f>
        <v>2167.2</v>
      </c>
      <c r="W3263">
        <f t="shared" si="367"/>
        <v>2544.22</v>
      </c>
      <c r="X3263">
        <f t="shared" si="372"/>
        <v>1.16040668851357</v>
      </c>
      <c r="AH3263" t="str">
        <f t="shared" si="368"/>
        <v>3rd Quality</v>
      </c>
      <c r="AJ3263">
        <f>((T3263-X3263)*2)/32.3</f>
        <v>9.42477210538467</v>
      </c>
      <c r="AK3263">
        <f t="shared" si="366"/>
        <v>211804.627619048</v>
      </c>
    </row>
    <row r="3264" spans="1:37">
      <c r="A3264" t="s">
        <v>3330</v>
      </c>
      <c r="B3264">
        <v>28</v>
      </c>
      <c r="C3264" t="s">
        <v>44</v>
      </c>
      <c r="D3264" t="s">
        <v>60</v>
      </c>
      <c r="E3264">
        <v>852</v>
      </c>
      <c r="F3264">
        <v>5</v>
      </c>
      <c r="G3264">
        <v>28</v>
      </c>
      <c r="H3264">
        <v>1932.12</v>
      </c>
      <c r="I3264">
        <v>48954.95</v>
      </c>
      <c r="J3264">
        <v>115</v>
      </c>
      <c r="K3264">
        <v>0</v>
      </c>
      <c r="L3264">
        <v>8.8</v>
      </c>
      <c r="M3264">
        <v>72.5</v>
      </c>
      <c r="N3264" t="s">
        <v>81</v>
      </c>
      <c r="O3264" t="s">
        <v>47</v>
      </c>
      <c r="P3264" t="s">
        <v>54</v>
      </c>
      <c r="R3264">
        <f>SUMIF(A3264:A8263,"C03263",I3264:I8263)</f>
        <v>48954.95</v>
      </c>
      <c r="S3264" s="1">
        <v>10289.92</v>
      </c>
      <c r="T3264">
        <f t="shared" si="370"/>
        <v>425.695217391304</v>
      </c>
      <c r="U3264">
        <f t="shared" si="371"/>
        <v>8337.5</v>
      </c>
      <c r="V3264">
        <f>U3264/12</f>
        <v>694.791666666667</v>
      </c>
      <c r="W3264">
        <f t="shared" si="367"/>
        <v>16962.69</v>
      </c>
      <c r="X3264">
        <f t="shared" si="372"/>
        <v>0.440966399602509</v>
      </c>
      <c r="AH3264" t="str">
        <f t="shared" si="368"/>
        <v>2nd Quality</v>
      </c>
      <c r="AJ3264">
        <f>((T3264-X3264)*2)/8.8</f>
        <v>96.6486934072049</v>
      </c>
      <c r="AK3264">
        <f t="shared" si="366"/>
        <v>362692.325217391</v>
      </c>
    </row>
    <row r="3265" spans="1:37">
      <c r="A3265" t="s">
        <v>3331</v>
      </c>
      <c r="B3265">
        <v>21</v>
      </c>
      <c r="C3265" t="s">
        <v>50</v>
      </c>
      <c r="D3265" t="s">
        <v>60</v>
      </c>
      <c r="E3265">
        <v>744</v>
      </c>
      <c r="F3265">
        <v>18</v>
      </c>
      <c r="G3265">
        <v>15</v>
      </c>
      <c r="H3265">
        <v>902.26</v>
      </c>
      <c r="I3265">
        <v>12306.2</v>
      </c>
      <c r="J3265">
        <v>79</v>
      </c>
      <c r="K3265">
        <v>0</v>
      </c>
      <c r="L3265">
        <v>28.4</v>
      </c>
      <c r="M3265">
        <v>19.7</v>
      </c>
      <c r="N3265" t="s">
        <v>46</v>
      </c>
      <c r="O3265" t="s">
        <v>47</v>
      </c>
      <c r="P3265" t="s">
        <v>58</v>
      </c>
      <c r="R3265">
        <f>SUMIF(A3265:A8264,"C03264",I3265:I8264)</f>
        <v>12306.2</v>
      </c>
      <c r="S3265" s="1">
        <v>51803</v>
      </c>
      <c r="T3265">
        <f t="shared" si="370"/>
        <v>155.774683544304</v>
      </c>
      <c r="U3265">
        <f t="shared" si="371"/>
        <v>1556.3</v>
      </c>
      <c r="V3265">
        <f t="shared" si="369"/>
        <v>129.691666666667</v>
      </c>
      <c r="W3265">
        <f t="shared" si="367"/>
        <v>4403.15333333333</v>
      </c>
      <c r="X3265">
        <f t="shared" si="372"/>
        <v>0.824596014452597</v>
      </c>
      <c r="AH3265" t="str">
        <f t="shared" si="368"/>
        <v>3rd Quality</v>
      </c>
      <c r="AJ3265">
        <f>((T3265-X3265)*2)/28.4</f>
        <v>10.91197799506</v>
      </c>
      <c r="AK3265">
        <f t="shared" si="366"/>
        <v>115896.364556962</v>
      </c>
    </row>
    <row r="3266" spans="1:37">
      <c r="A3266" t="s">
        <v>3332</v>
      </c>
      <c r="B3266">
        <v>55</v>
      </c>
      <c r="C3266" t="s">
        <v>50</v>
      </c>
      <c r="D3266" t="s">
        <v>60</v>
      </c>
      <c r="E3266">
        <v>724</v>
      </c>
      <c r="F3266">
        <v>18</v>
      </c>
      <c r="G3266">
        <v>11</v>
      </c>
      <c r="H3266">
        <v>1278.3</v>
      </c>
      <c r="I3266">
        <v>14861.51</v>
      </c>
      <c r="J3266">
        <v>50</v>
      </c>
      <c r="K3266">
        <v>1</v>
      </c>
      <c r="L3266">
        <v>24.5</v>
      </c>
      <c r="M3266">
        <v>24</v>
      </c>
      <c r="N3266" t="s">
        <v>52</v>
      </c>
      <c r="O3266" t="s">
        <v>47</v>
      </c>
      <c r="P3266" t="s">
        <v>66</v>
      </c>
      <c r="R3266">
        <f>SUMIF(A3266:A8265,"C03265",I3266:I8265)</f>
        <v>14861.51</v>
      </c>
      <c r="S3266" s="1">
        <v>687.93</v>
      </c>
      <c r="T3266">
        <f t="shared" si="370"/>
        <v>297.2302</v>
      </c>
      <c r="U3266">
        <f t="shared" si="371"/>
        <v>1200</v>
      </c>
      <c r="V3266">
        <f>U3266</f>
        <v>1200</v>
      </c>
      <c r="W3266">
        <f t="shared" si="367"/>
        <v>5380.27</v>
      </c>
      <c r="X3266">
        <f t="shared" si="372"/>
        <v>0.566377219744974</v>
      </c>
      <c r="AH3266" t="str">
        <f t="shared" si="368"/>
        <v>3rd Quality</v>
      </c>
      <c r="AJ3266">
        <f>((T3266-X3266)*2)/24.5</f>
        <v>24.2174549208371</v>
      </c>
      <c r="AK3266">
        <f t="shared" si="366"/>
        <v>215194.6648</v>
      </c>
    </row>
    <row r="3267" spans="1:37">
      <c r="A3267" t="s">
        <v>3333</v>
      </c>
      <c r="B3267">
        <v>34</v>
      </c>
      <c r="C3267" t="s">
        <v>56</v>
      </c>
      <c r="D3267" t="s">
        <v>51</v>
      </c>
      <c r="E3267">
        <v>439</v>
      </c>
      <c r="F3267">
        <v>38</v>
      </c>
      <c r="G3267">
        <v>12</v>
      </c>
      <c r="H3267">
        <v>848.6</v>
      </c>
      <c r="I3267">
        <v>10289.92</v>
      </c>
      <c r="J3267">
        <v>46</v>
      </c>
      <c r="K3267">
        <v>1</v>
      </c>
      <c r="L3267">
        <v>20.8</v>
      </c>
      <c r="M3267">
        <v>19.2</v>
      </c>
      <c r="N3267" t="s">
        <v>52</v>
      </c>
      <c r="O3267" t="s">
        <v>47</v>
      </c>
      <c r="P3267" t="s">
        <v>58</v>
      </c>
      <c r="R3267">
        <f>SUMIF(A3267:A8266,"C03266",I3267:I8266)</f>
        <v>10289.92</v>
      </c>
      <c r="S3267" s="1">
        <v>5413.1</v>
      </c>
      <c r="T3267">
        <f t="shared" si="370"/>
        <v>223.693913043478</v>
      </c>
      <c r="U3267">
        <f t="shared" si="371"/>
        <v>883.2</v>
      </c>
      <c r="V3267">
        <f>U3267</f>
        <v>883.2</v>
      </c>
      <c r="W3267">
        <f t="shared" si="367"/>
        <v>3713.17333333333</v>
      </c>
      <c r="X3267">
        <f t="shared" si="372"/>
        <v>0.517322649069055</v>
      </c>
      <c r="AH3267" t="str">
        <f t="shared" si="368"/>
        <v>3rd Quality</v>
      </c>
      <c r="AJ3267">
        <f>((T3267-X3267)*2)/20.8</f>
        <v>21.4592875379239</v>
      </c>
      <c r="AK3267">
        <f t="shared" ref="AK3267:AK3330" si="373">I3267/J3267*E3267</f>
        <v>98201.627826087</v>
      </c>
    </row>
    <row r="3268" spans="1:37">
      <c r="A3268" t="s">
        <v>3334</v>
      </c>
      <c r="B3268">
        <v>23</v>
      </c>
      <c r="C3268" t="s">
        <v>44</v>
      </c>
      <c r="D3268" t="s">
        <v>60</v>
      </c>
      <c r="E3268">
        <v>652</v>
      </c>
      <c r="F3268">
        <v>2</v>
      </c>
      <c r="G3268">
        <v>25</v>
      </c>
      <c r="H3268">
        <v>2000.62</v>
      </c>
      <c r="I3268">
        <v>51803</v>
      </c>
      <c r="J3268">
        <v>203</v>
      </c>
      <c r="K3268">
        <v>3</v>
      </c>
      <c r="L3268">
        <v>8.1</v>
      </c>
      <c r="M3268">
        <v>37.9</v>
      </c>
      <c r="N3268" t="s">
        <v>78</v>
      </c>
      <c r="O3268" t="s">
        <v>75</v>
      </c>
      <c r="P3268" t="s">
        <v>58</v>
      </c>
      <c r="R3268">
        <f>SUMIF(A3268:A8267,"C03267",I3268:I8267)</f>
        <v>51803</v>
      </c>
      <c r="S3268" s="1">
        <v>149746.54</v>
      </c>
      <c r="T3268">
        <f t="shared" si="370"/>
        <v>255.187192118227</v>
      </c>
      <c r="U3268">
        <f t="shared" si="371"/>
        <v>7693.7</v>
      </c>
      <c r="V3268">
        <f>U3268</f>
        <v>7693.7</v>
      </c>
      <c r="W3268">
        <f t="shared" si="367"/>
        <v>17934.8733333333</v>
      </c>
      <c r="X3268">
        <f t="shared" si="372"/>
        <v>0.325898971318891</v>
      </c>
      <c r="AH3268" t="str">
        <f t="shared" si="368"/>
        <v>2nd Quality</v>
      </c>
      <c r="AJ3268">
        <f>((T3268-X3268)*2)/8.1</f>
        <v>62.9287143572613</v>
      </c>
      <c r="AK3268">
        <f t="shared" si="373"/>
        <v>166382.049261084</v>
      </c>
    </row>
    <row r="3269" spans="1:37">
      <c r="A3269" t="s">
        <v>3335</v>
      </c>
      <c r="B3269">
        <v>48</v>
      </c>
      <c r="C3269" t="s">
        <v>50</v>
      </c>
      <c r="D3269" t="s">
        <v>51</v>
      </c>
      <c r="E3269">
        <v>1291</v>
      </c>
      <c r="F3269">
        <v>157</v>
      </c>
      <c r="G3269">
        <v>1</v>
      </c>
      <c r="H3269">
        <v>724.45</v>
      </c>
      <c r="I3269">
        <v>687.93</v>
      </c>
      <c r="J3269">
        <v>17</v>
      </c>
      <c r="K3269">
        <v>0</v>
      </c>
      <c r="L3269">
        <v>18.2</v>
      </c>
      <c r="M3269">
        <v>16.3</v>
      </c>
      <c r="N3269" t="s">
        <v>81</v>
      </c>
      <c r="O3269" t="s">
        <v>47</v>
      </c>
      <c r="P3269" t="s">
        <v>68</v>
      </c>
      <c r="R3269">
        <f>SUMIF(A3269:A8268,"C03268",I3269:I8268)</f>
        <v>687.93</v>
      </c>
      <c r="S3269" s="1">
        <v>1950.78</v>
      </c>
      <c r="T3269">
        <f t="shared" si="370"/>
        <v>40.4664705882353</v>
      </c>
      <c r="U3269">
        <f t="shared" si="371"/>
        <v>277.1</v>
      </c>
      <c r="V3269">
        <f t="shared" si="369"/>
        <v>23.0916666666667</v>
      </c>
      <c r="W3269">
        <f t="shared" si="367"/>
        <v>471.126666666667</v>
      </c>
      <c r="X3269">
        <f t="shared" si="372"/>
        <v>1.78204154876113</v>
      </c>
      <c r="AH3269" t="str">
        <f t="shared" si="368"/>
        <v>3rd Quality</v>
      </c>
      <c r="AJ3269">
        <f>((T3269-X3269)*2)/18.2</f>
        <v>4.25103615818398</v>
      </c>
      <c r="AK3269">
        <f t="shared" si="373"/>
        <v>52242.2135294118</v>
      </c>
    </row>
    <row r="3270" spans="1:37">
      <c r="A3270" t="s">
        <v>3336</v>
      </c>
      <c r="B3270">
        <v>18</v>
      </c>
      <c r="C3270" t="s">
        <v>44</v>
      </c>
      <c r="D3270" t="s">
        <v>60</v>
      </c>
      <c r="E3270">
        <v>791</v>
      </c>
      <c r="F3270">
        <v>55</v>
      </c>
      <c r="G3270">
        <v>2</v>
      </c>
      <c r="H3270">
        <v>2478.33</v>
      </c>
      <c r="I3270">
        <v>5413.1</v>
      </c>
      <c r="J3270">
        <v>13</v>
      </c>
      <c r="K3270">
        <v>1</v>
      </c>
      <c r="L3270">
        <v>14.4</v>
      </c>
      <c r="M3270">
        <v>19.2</v>
      </c>
      <c r="N3270" t="s">
        <v>61</v>
      </c>
      <c r="O3270" t="s">
        <v>53</v>
      </c>
      <c r="P3270" t="s">
        <v>58</v>
      </c>
      <c r="R3270">
        <f>SUMIF(A3270:A8269,"C03269",I3270:I8269)</f>
        <v>5413.1</v>
      </c>
      <c r="S3270" s="1">
        <v>45485.84</v>
      </c>
      <c r="T3270">
        <f t="shared" si="370"/>
        <v>416.392307692308</v>
      </c>
      <c r="U3270">
        <f t="shared" si="371"/>
        <v>249.6</v>
      </c>
      <c r="V3270">
        <f>U3270</f>
        <v>249.6</v>
      </c>
      <c r="W3270">
        <f t="shared" si="367"/>
        <v>2630.81</v>
      </c>
      <c r="X3270">
        <f t="shared" si="372"/>
        <v>0.319166535529974</v>
      </c>
      <c r="AH3270" t="str">
        <f t="shared" si="368"/>
        <v>3rd Quality</v>
      </c>
      <c r="AJ3270">
        <f>((T3270-X3270)*2)/14.4</f>
        <v>57.7879362717747</v>
      </c>
      <c r="AK3270">
        <f t="shared" si="373"/>
        <v>329366.315384615</v>
      </c>
    </row>
    <row r="3271" spans="1:37">
      <c r="A3271" t="s">
        <v>3337</v>
      </c>
      <c r="B3271">
        <v>37</v>
      </c>
      <c r="C3271" t="s">
        <v>44</v>
      </c>
      <c r="D3271" t="s">
        <v>45</v>
      </c>
      <c r="E3271">
        <v>1289</v>
      </c>
      <c r="F3271">
        <v>25</v>
      </c>
      <c r="G3271">
        <v>32</v>
      </c>
      <c r="H3271">
        <v>4631.81</v>
      </c>
      <c r="I3271">
        <v>149746.54</v>
      </c>
      <c r="J3271">
        <v>73</v>
      </c>
      <c r="K3271">
        <v>1</v>
      </c>
      <c r="L3271">
        <v>5.5</v>
      </c>
      <c r="M3271">
        <v>59.3</v>
      </c>
      <c r="N3271" t="s">
        <v>57</v>
      </c>
      <c r="O3271" t="s">
        <v>47</v>
      </c>
      <c r="P3271" t="s">
        <v>58</v>
      </c>
      <c r="R3271">
        <f>SUMIF(A3271:A8270,"C03270",I3271:I8270)</f>
        <v>149746.54</v>
      </c>
      <c r="S3271" s="1">
        <v>89475.38</v>
      </c>
      <c r="T3271">
        <f t="shared" si="370"/>
        <v>2051.32246575342</v>
      </c>
      <c r="U3271">
        <f t="shared" si="371"/>
        <v>4328.9</v>
      </c>
      <c r="V3271">
        <f>U3271</f>
        <v>4328.9</v>
      </c>
      <c r="W3271">
        <f t="shared" si="367"/>
        <v>51459.7833333333</v>
      </c>
      <c r="X3271">
        <f t="shared" si="372"/>
        <v>0.278292935159257</v>
      </c>
      <c r="AH3271" t="str">
        <f t="shared" si="368"/>
        <v>2nd Quality</v>
      </c>
      <c r="AJ3271">
        <f>((T3271-X3271)*2)/5.5</f>
        <v>745.834244661186</v>
      </c>
      <c r="AK3271">
        <f t="shared" si="373"/>
        <v>2644154.65835616</v>
      </c>
    </row>
    <row r="3272" spans="1:37">
      <c r="A3272" t="s">
        <v>3338</v>
      </c>
      <c r="B3272">
        <v>18</v>
      </c>
      <c r="C3272" t="s">
        <v>44</v>
      </c>
      <c r="D3272" t="s">
        <v>60</v>
      </c>
      <c r="E3272">
        <v>565</v>
      </c>
      <c r="F3272">
        <v>137</v>
      </c>
      <c r="G3272">
        <v>1</v>
      </c>
      <c r="H3272">
        <v>1920.6</v>
      </c>
      <c r="I3272">
        <v>1950.78</v>
      </c>
      <c r="J3272">
        <v>20</v>
      </c>
      <c r="K3272">
        <v>0</v>
      </c>
      <c r="L3272">
        <v>19.2</v>
      </c>
      <c r="M3272">
        <v>53</v>
      </c>
      <c r="N3272" t="s">
        <v>63</v>
      </c>
      <c r="O3272" t="s">
        <v>47</v>
      </c>
      <c r="P3272" t="s">
        <v>66</v>
      </c>
      <c r="R3272">
        <f>SUMIF(A3272:A8271,"C03271",I3272:I8271)</f>
        <v>1950.78</v>
      </c>
      <c r="S3272" s="1">
        <v>1447.72</v>
      </c>
      <c r="T3272">
        <f t="shared" si="370"/>
        <v>97.539</v>
      </c>
      <c r="U3272">
        <f t="shared" si="371"/>
        <v>1060</v>
      </c>
      <c r="V3272">
        <f t="shared" si="369"/>
        <v>88.3333333333333</v>
      </c>
      <c r="W3272">
        <f t="shared" si="367"/>
        <v>1290.79333333333</v>
      </c>
      <c r="X3272">
        <f t="shared" si="372"/>
        <v>0.294178902426325</v>
      </c>
      <c r="AH3272" t="str">
        <f t="shared" si="368"/>
        <v>3rd Quality</v>
      </c>
      <c r="AJ3272">
        <f>((T3272-X3272)*2)/19.2</f>
        <v>10.1296688643306</v>
      </c>
      <c r="AK3272">
        <f t="shared" si="373"/>
        <v>55109.535</v>
      </c>
    </row>
    <row r="3273" spans="1:37">
      <c r="A3273" t="s">
        <v>3339</v>
      </c>
      <c r="B3273">
        <v>18</v>
      </c>
      <c r="C3273" t="s">
        <v>50</v>
      </c>
      <c r="D3273" t="s">
        <v>60</v>
      </c>
      <c r="E3273">
        <v>766</v>
      </c>
      <c r="F3273">
        <v>18</v>
      </c>
      <c r="G3273">
        <v>4</v>
      </c>
      <c r="H3273">
        <v>10173.62</v>
      </c>
      <c r="I3273">
        <v>45485.84</v>
      </c>
      <c r="J3273">
        <v>36</v>
      </c>
      <c r="K3273">
        <v>1</v>
      </c>
      <c r="L3273">
        <v>4.5</v>
      </c>
      <c r="M3273">
        <v>16.6</v>
      </c>
      <c r="N3273" t="s">
        <v>57</v>
      </c>
      <c r="O3273" t="s">
        <v>75</v>
      </c>
      <c r="P3273" t="s">
        <v>48</v>
      </c>
      <c r="R3273">
        <f>SUMIF(A3273:A8272,"C03272",I3273:I8272)</f>
        <v>45485.84</v>
      </c>
      <c r="S3273" s="1">
        <v>4054.09</v>
      </c>
      <c r="T3273">
        <f t="shared" si="370"/>
        <v>1263.49555555556</v>
      </c>
      <c r="U3273">
        <f t="shared" si="371"/>
        <v>597.6</v>
      </c>
      <c r="V3273">
        <f>U3273</f>
        <v>597.6</v>
      </c>
      <c r="W3273">
        <f t="shared" ref="W3273:W3336" si="374">(H3273+I3273+1)/3</f>
        <v>18553.4866666667</v>
      </c>
      <c r="X3273">
        <f t="shared" si="372"/>
        <v>0.0752927669796985</v>
      </c>
      <c r="AH3273" t="str">
        <f t="shared" si="368"/>
        <v>2nd Quality</v>
      </c>
      <c r="AJ3273">
        <f>((T3273-X3273)*2)/4.5</f>
        <v>561.520116794925</v>
      </c>
      <c r="AK3273">
        <f t="shared" si="373"/>
        <v>967837.595555556</v>
      </c>
    </row>
    <row r="3274" spans="1:37">
      <c r="A3274" t="s">
        <v>3340</v>
      </c>
      <c r="B3274">
        <v>27</v>
      </c>
      <c r="C3274" t="s">
        <v>50</v>
      </c>
      <c r="D3274" t="s">
        <v>60</v>
      </c>
      <c r="E3274">
        <v>1059</v>
      </c>
      <c r="F3274">
        <v>5</v>
      </c>
      <c r="G3274">
        <v>4</v>
      </c>
      <c r="H3274">
        <v>21000.23</v>
      </c>
      <c r="I3274">
        <v>89475.38</v>
      </c>
      <c r="J3274">
        <v>40</v>
      </c>
      <c r="K3274">
        <v>1</v>
      </c>
      <c r="L3274">
        <v>10.8</v>
      </c>
      <c r="M3274">
        <v>26.6</v>
      </c>
      <c r="N3274" t="s">
        <v>81</v>
      </c>
      <c r="O3274" t="s">
        <v>75</v>
      </c>
      <c r="P3274" t="s">
        <v>58</v>
      </c>
      <c r="R3274">
        <f>SUMIF(A3274:A8273,"C03273",I3274:I8273)</f>
        <v>89475.38</v>
      </c>
      <c r="S3274" s="1">
        <v>1519.22</v>
      </c>
      <c r="T3274">
        <f t="shared" si="370"/>
        <v>2236.8845</v>
      </c>
      <c r="U3274">
        <f t="shared" si="371"/>
        <v>1064</v>
      </c>
      <c r="V3274">
        <f>U3274</f>
        <v>1064</v>
      </c>
      <c r="W3274">
        <f t="shared" si="374"/>
        <v>36825.5366666667</v>
      </c>
      <c r="X3274">
        <f t="shared" si="372"/>
        <v>0.0504280191216953</v>
      </c>
      <c r="AH3274" t="str">
        <f t="shared" si="368"/>
        <v>1st Quality</v>
      </c>
      <c r="AJ3274">
        <f>((T3274-X3274)*2)/10.8</f>
        <v>414.228531848311</v>
      </c>
      <c r="AK3274">
        <f t="shared" si="373"/>
        <v>2368860.6855</v>
      </c>
    </row>
    <row r="3275" spans="1:37">
      <c r="A3275" t="s">
        <v>3341</v>
      </c>
      <c r="B3275">
        <v>18</v>
      </c>
      <c r="C3275" t="s">
        <v>44</v>
      </c>
      <c r="D3275" t="s">
        <v>60</v>
      </c>
      <c r="E3275">
        <v>446</v>
      </c>
      <c r="F3275">
        <v>13</v>
      </c>
      <c r="G3275">
        <v>2</v>
      </c>
      <c r="H3275">
        <v>692.48</v>
      </c>
      <c r="I3275">
        <v>1447.72</v>
      </c>
      <c r="J3275">
        <v>15</v>
      </c>
      <c r="K3275">
        <v>0</v>
      </c>
      <c r="L3275">
        <v>29.7</v>
      </c>
      <c r="M3275">
        <v>15</v>
      </c>
      <c r="N3275" t="s">
        <v>61</v>
      </c>
      <c r="O3275" t="s">
        <v>53</v>
      </c>
      <c r="P3275" t="s">
        <v>68</v>
      </c>
      <c r="R3275">
        <f>SUMIF(A3275:A8274,"C03274",I3275:I8274)</f>
        <v>1447.72</v>
      </c>
      <c r="S3275" s="1">
        <v>5338.64</v>
      </c>
      <c r="T3275">
        <f t="shared" si="370"/>
        <v>96.5146666666667</v>
      </c>
      <c r="U3275">
        <f t="shared" si="371"/>
        <v>225</v>
      </c>
      <c r="V3275">
        <f t="shared" si="369"/>
        <v>18.75</v>
      </c>
      <c r="W3275">
        <f t="shared" si="374"/>
        <v>713.733333333333</v>
      </c>
      <c r="X3275">
        <f t="shared" si="372"/>
        <v>0.644061922365989</v>
      </c>
      <c r="AH3275" t="str">
        <f t="shared" si="368"/>
        <v>3rd Quality</v>
      </c>
      <c r="AJ3275">
        <f>((T3275-X3275)*2)/29.7</f>
        <v>6.45593297941419</v>
      </c>
      <c r="AK3275">
        <f t="shared" si="373"/>
        <v>43045.5413333333</v>
      </c>
    </row>
    <row r="3276" spans="1:37">
      <c r="A3276" t="s">
        <v>3342</v>
      </c>
      <c r="B3276">
        <v>55</v>
      </c>
      <c r="C3276" t="s">
        <v>50</v>
      </c>
      <c r="D3276" t="s">
        <v>45</v>
      </c>
      <c r="E3276">
        <v>755</v>
      </c>
      <c r="F3276">
        <v>86</v>
      </c>
      <c r="G3276">
        <v>4</v>
      </c>
      <c r="H3276">
        <v>931.55</v>
      </c>
      <c r="I3276">
        <v>4054.09</v>
      </c>
      <c r="J3276">
        <v>31</v>
      </c>
      <c r="K3276">
        <v>0</v>
      </c>
      <c r="L3276">
        <v>23.1</v>
      </c>
      <c r="M3276">
        <v>30.7</v>
      </c>
      <c r="N3276" t="s">
        <v>63</v>
      </c>
      <c r="O3276" t="s">
        <v>47</v>
      </c>
      <c r="P3276" t="s">
        <v>58</v>
      </c>
      <c r="R3276">
        <f>SUMIF(A3276:A8275,"C03275",I3276:I8275)</f>
        <v>4054.09</v>
      </c>
      <c r="S3276" s="1">
        <v>95991.65</v>
      </c>
      <c r="T3276">
        <f t="shared" si="370"/>
        <v>130.777096774194</v>
      </c>
      <c r="U3276">
        <f t="shared" si="371"/>
        <v>951.7</v>
      </c>
      <c r="V3276">
        <f t="shared" si="369"/>
        <v>79.3083333333333</v>
      </c>
      <c r="W3276">
        <f t="shared" si="374"/>
        <v>1662.21333333333</v>
      </c>
      <c r="X3276">
        <f t="shared" si="372"/>
        <v>0.810477161719715</v>
      </c>
      <c r="AH3276" t="str">
        <f t="shared" si="368"/>
        <v>3rd Quality</v>
      </c>
      <c r="AJ3276">
        <f>((T3276-X3276)*2)/23.1</f>
        <v>11.2525211785692</v>
      </c>
      <c r="AK3276">
        <f t="shared" si="373"/>
        <v>98736.7080645161</v>
      </c>
    </row>
    <row r="3277" spans="1:37">
      <c r="A3277" t="s">
        <v>3343</v>
      </c>
      <c r="B3277">
        <v>27</v>
      </c>
      <c r="C3277" t="s">
        <v>50</v>
      </c>
      <c r="D3277" t="s">
        <v>60</v>
      </c>
      <c r="E3277">
        <v>1331</v>
      </c>
      <c r="F3277">
        <v>15</v>
      </c>
      <c r="G3277">
        <v>2</v>
      </c>
      <c r="H3277">
        <v>679.54</v>
      </c>
      <c r="I3277">
        <v>1519.22</v>
      </c>
      <c r="J3277">
        <v>17</v>
      </c>
      <c r="K3277">
        <v>0</v>
      </c>
      <c r="L3277">
        <v>39.4</v>
      </c>
      <c r="M3277">
        <v>41.3</v>
      </c>
      <c r="N3277" t="s">
        <v>57</v>
      </c>
      <c r="O3277" t="s">
        <v>47</v>
      </c>
      <c r="P3277" t="s">
        <v>58</v>
      </c>
      <c r="R3277">
        <f>SUMIF(A3277:A8276,"C03276",I3277:I8276)</f>
        <v>1519.22</v>
      </c>
      <c r="S3277" s="1">
        <v>10018.04</v>
      </c>
      <c r="T3277">
        <f t="shared" si="370"/>
        <v>89.3658823529412</v>
      </c>
      <c r="U3277">
        <f t="shared" si="371"/>
        <v>702.1</v>
      </c>
      <c r="V3277">
        <f t="shared" si="369"/>
        <v>58.5083333333333</v>
      </c>
      <c r="W3277">
        <f t="shared" si="374"/>
        <v>733.253333333333</v>
      </c>
      <c r="X3277">
        <f t="shared" si="372"/>
        <v>1.95867792918739</v>
      </c>
      <c r="AH3277" t="str">
        <f t="shared" si="368"/>
        <v>3rd Quality</v>
      </c>
      <c r="AJ3277">
        <f>((T3277-X3277)*2)/39.4</f>
        <v>4.43691393013979</v>
      </c>
      <c r="AK3277">
        <f t="shared" si="373"/>
        <v>118945.989411765</v>
      </c>
    </row>
    <row r="3278" spans="1:37">
      <c r="A3278" t="s">
        <v>3344</v>
      </c>
      <c r="B3278">
        <v>29</v>
      </c>
      <c r="C3278" t="s">
        <v>44</v>
      </c>
      <c r="D3278" t="s">
        <v>60</v>
      </c>
      <c r="E3278">
        <v>909</v>
      </c>
      <c r="F3278">
        <v>18</v>
      </c>
      <c r="G3278">
        <v>6</v>
      </c>
      <c r="H3278">
        <v>827.69</v>
      </c>
      <c r="I3278">
        <v>5338.64</v>
      </c>
      <c r="J3278">
        <v>21</v>
      </c>
      <c r="K3278">
        <v>0</v>
      </c>
      <c r="L3278">
        <v>19.3</v>
      </c>
      <c r="M3278">
        <v>18.7</v>
      </c>
      <c r="N3278" t="s">
        <v>61</v>
      </c>
      <c r="O3278" t="s">
        <v>47</v>
      </c>
      <c r="P3278" t="s">
        <v>58</v>
      </c>
      <c r="R3278">
        <f>SUMIF(A3278:A8277,"C03277",I3278:I8277)</f>
        <v>5338.64</v>
      </c>
      <c r="S3278" s="1">
        <v>163451.51</v>
      </c>
      <c r="T3278">
        <f t="shared" si="370"/>
        <v>254.220952380952</v>
      </c>
      <c r="U3278">
        <f t="shared" si="371"/>
        <v>392.7</v>
      </c>
      <c r="V3278">
        <f t="shared" si="369"/>
        <v>32.725</v>
      </c>
      <c r="W3278">
        <f t="shared" si="374"/>
        <v>2055.77666666667</v>
      </c>
      <c r="X3278">
        <f t="shared" si="372"/>
        <v>1.0982372627433</v>
      </c>
      <c r="AH3278" t="str">
        <f t="shared" ref="AH3278:AH3341" si="375">IF(AND(W3278&gt;=12550,B3278&lt;=33,E3278&gt;=915),"1st Quality",IF(AND(W3278&gt;=6275,B3278&lt;=43,E3278&gt;=457),"2nd Quality","3rd Quality"))</f>
        <v>3rd Quality</v>
      </c>
      <c r="AJ3278">
        <f>((T3278-X3278)*2)/19.3</f>
        <v>26.2303331728714</v>
      </c>
      <c r="AK3278">
        <f t="shared" si="373"/>
        <v>231086.845714286</v>
      </c>
    </row>
    <row r="3279" spans="1:37">
      <c r="A3279" t="s">
        <v>3345</v>
      </c>
      <c r="B3279">
        <v>33</v>
      </c>
      <c r="C3279" t="s">
        <v>44</v>
      </c>
      <c r="D3279" t="s">
        <v>60</v>
      </c>
      <c r="E3279">
        <v>1388</v>
      </c>
      <c r="F3279">
        <v>42</v>
      </c>
      <c r="G3279">
        <v>6</v>
      </c>
      <c r="H3279">
        <v>14902.76</v>
      </c>
      <c r="I3279">
        <v>95991.65</v>
      </c>
      <c r="J3279">
        <v>59</v>
      </c>
      <c r="K3279">
        <v>0</v>
      </c>
      <c r="L3279">
        <v>9.9</v>
      </c>
      <c r="M3279">
        <v>52</v>
      </c>
      <c r="N3279" t="s">
        <v>46</v>
      </c>
      <c r="O3279" t="s">
        <v>47</v>
      </c>
      <c r="P3279" t="s">
        <v>68</v>
      </c>
      <c r="R3279">
        <f>SUMIF(A3279:A8278,"C03278",I3279:I8278)</f>
        <v>95991.65</v>
      </c>
      <c r="S3279" s="1">
        <v>844.92</v>
      </c>
      <c r="T3279">
        <f t="shared" si="370"/>
        <v>1626.97711864407</v>
      </c>
      <c r="U3279">
        <f t="shared" si="371"/>
        <v>3068</v>
      </c>
      <c r="V3279">
        <f t="shared" si="369"/>
        <v>255.666666666667</v>
      </c>
      <c r="W3279">
        <f t="shared" si="374"/>
        <v>36965.1366666667</v>
      </c>
      <c r="X3279">
        <f t="shared" si="372"/>
        <v>0.0931371101728807</v>
      </c>
      <c r="AH3279" t="str">
        <f t="shared" si="375"/>
        <v>1st Quality</v>
      </c>
      <c r="AJ3279">
        <f>((T3279-X3279)*2)/9.9</f>
        <v>328.663430612909</v>
      </c>
      <c r="AK3279">
        <f t="shared" si="373"/>
        <v>2258244.24067797</v>
      </c>
    </row>
    <row r="3280" spans="1:37">
      <c r="A3280" t="s">
        <v>3346</v>
      </c>
      <c r="B3280">
        <v>34</v>
      </c>
      <c r="C3280" t="s">
        <v>44</v>
      </c>
      <c r="D3280" t="s">
        <v>60</v>
      </c>
      <c r="E3280">
        <v>525</v>
      </c>
      <c r="F3280">
        <v>38</v>
      </c>
      <c r="G3280">
        <v>9</v>
      </c>
      <c r="H3280">
        <v>1202.17</v>
      </c>
      <c r="I3280">
        <v>10018.04</v>
      </c>
      <c r="J3280">
        <v>77</v>
      </c>
      <c r="K3280">
        <v>0</v>
      </c>
      <c r="L3280">
        <v>12.8</v>
      </c>
      <c r="M3280">
        <v>36.5</v>
      </c>
      <c r="N3280" t="s">
        <v>63</v>
      </c>
      <c r="O3280" t="s">
        <v>75</v>
      </c>
      <c r="P3280" t="s">
        <v>66</v>
      </c>
      <c r="R3280">
        <f>SUMIF(A3280:A8279,"C03279",I3280:I8279)</f>
        <v>10018.04</v>
      </c>
      <c r="S3280" s="1">
        <v>136728.08</v>
      </c>
      <c r="T3280">
        <f t="shared" si="370"/>
        <v>130.104415584416</v>
      </c>
      <c r="U3280">
        <f t="shared" si="371"/>
        <v>2810.5</v>
      </c>
      <c r="V3280">
        <f t="shared" si="369"/>
        <v>234.208333333333</v>
      </c>
      <c r="W3280">
        <f t="shared" si="374"/>
        <v>3740.40333333333</v>
      </c>
      <c r="X3280">
        <f t="shared" si="372"/>
        <v>0.436710282239617</v>
      </c>
      <c r="AH3280" t="str">
        <f t="shared" si="375"/>
        <v>3rd Quality</v>
      </c>
      <c r="AJ3280">
        <f>((T3280-X3280)*2)/12.8</f>
        <v>20.2605789534651</v>
      </c>
      <c r="AK3280">
        <f t="shared" si="373"/>
        <v>68304.8181818182</v>
      </c>
    </row>
    <row r="3281" spans="1:37">
      <c r="A3281" t="s">
        <v>3347</v>
      </c>
      <c r="B3281">
        <v>34</v>
      </c>
      <c r="C3281" t="s">
        <v>101</v>
      </c>
      <c r="D3281" t="s">
        <v>45</v>
      </c>
      <c r="E3281">
        <v>1457</v>
      </c>
      <c r="F3281">
        <v>7</v>
      </c>
      <c r="G3281">
        <v>36</v>
      </c>
      <c r="H3281">
        <v>4166.95</v>
      </c>
      <c r="I3281">
        <v>163451.51</v>
      </c>
      <c r="J3281">
        <v>227</v>
      </c>
      <c r="K3281">
        <v>2</v>
      </c>
      <c r="L3281">
        <v>14.4</v>
      </c>
      <c r="M3281">
        <v>16.4</v>
      </c>
      <c r="N3281" t="s">
        <v>78</v>
      </c>
      <c r="O3281" t="s">
        <v>47</v>
      </c>
      <c r="P3281" t="s">
        <v>54</v>
      </c>
      <c r="R3281">
        <f>SUMIF(A3281:A8280,"C03280",I3281:I8280)</f>
        <v>163451.51</v>
      </c>
      <c r="S3281" s="1">
        <v>6703.13</v>
      </c>
      <c r="T3281">
        <f t="shared" si="370"/>
        <v>720.050704845815</v>
      </c>
      <c r="U3281">
        <f t="shared" si="371"/>
        <v>3722.8</v>
      </c>
      <c r="V3281">
        <f>U3281</f>
        <v>3722.8</v>
      </c>
      <c r="W3281">
        <f t="shared" si="374"/>
        <v>55873.1533333333</v>
      </c>
      <c r="X3281">
        <f t="shared" si="372"/>
        <v>0.34965622337681</v>
      </c>
      <c r="AH3281" t="str">
        <f t="shared" si="375"/>
        <v>2nd Quality</v>
      </c>
      <c r="AJ3281">
        <f>((T3281-X3281)*2)/14.4</f>
        <v>99.9584789753386</v>
      </c>
      <c r="AK3281">
        <f t="shared" si="373"/>
        <v>1049113.87696035</v>
      </c>
    </row>
    <row r="3282" spans="1:37">
      <c r="A3282" t="s">
        <v>3348</v>
      </c>
      <c r="B3282">
        <v>42</v>
      </c>
      <c r="C3282" t="s">
        <v>44</v>
      </c>
      <c r="D3282" t="s">
        <v>45</v>
      </c>
      <c r="E3282">
        <v>1328</v>
      </c>
      <c r="F3282">
        <v>92</v>
      </c>
      <c r="G3282">
        <v>1</v>
      </c>
      <c r="H3282">
        <v>774.1</v>
      </c>
      <c r="I3282">
        <v>844.92</v>
      </c>
      <c r="J3282">
        <v>10</v>
      </c>
      <c r="K3282">
        <v>0</v>
      </c>
      <c r="L3282">
        <v>17.5</v>
      </c>
      <c r="M3282">
        <v>32.9</v>
      </c>
      <c r="N3282" t="s">
        <v>57</v>
      </c>
      <c r="O3282" t="s">
        <v>47</v>
      </c>
      <c r="P3282" t="s">
        <v>58</v>
      </c>
      <c r="R3282">
        <f>SUMIF(A3282:A8281,"C03281",I3282:I8281)</f>
        <v>844.92</v>
      </c>
      <c r="S3282" s="1">
        <v>153839.21</v>
      </c>
      <c r="T3282">
        <f t="shared" si="370"/>
        <v>84.492</v>
      </c>
      <c r="U3282">
        <f t="shared" si="371"/>
        <v>329</v>
      </c>
      <c r="V3282">
        <f t="shared" ref="V3282:V3345" si="376">U3282/12</f>
        <v>27.4166666666667</v>
      </c>
      <c r="W3282">
        <f t="shared" si="374"/>
        <v>540.006666666667</v>
      </c>
      <c r="X3282">
        <f t="shared" si="372"/>
        <v>1.71554062782586</v>
      </c>
      <c r="AH3282" t="str">
        <f t="shared" si="375"/>
        <v>3rd Quality</v>
      </c>
      <c r="AJ3282">
        <f>((T3282-X3282)*2)/17.5</f>
        <v>9.46016678539133</v>
      </c>
      <c r="AK3282">
        <f t="shared" si="373"/>
        <v>112205.376</v>
      </c>
    </row>
    <row r="3283" spans="1:37">
      <c r="A3283" t="s">
        <v>3349</v>
      </c>
      <c r="B3283">
        <v>44</v>
      </c>
      <c r="C3283" t="s">
        <v>50</v>
      </c>
      <c r="D3283" t="s">
        <v>60</v>
      </c>
      <c r="E3283">
        <v>796</v>
      </c>
      <c r="F3283">
        <v>14</v>
      </c>
      <c r="G3283">
        <v>26</v>
      </c>
      <c r="H3283">
        <v>5139.07</v>
      </c>
      <c r="I3283">
        <v>136728.08</v>
      </c>
      <c r="J3283">
        <v>163</v>
      </c>
      <c r="K3283">
        <v>1</v>
      </c>
      <c r="L3283">
        <v>22.6</v>
      </c>
      <c r="M3283">
        <v>49.6</v>
      </c>
      <c r="N3283" t="s">
        <v>61</v>
      </c>
      <c r="O3283" t="s">
        <v>47</v>
      </c>
      <c r="P3283" t="s">
        <v>68</v>
      </c>
      <c r="R3283">
        <f>SUMIF(A3283:A8282,"C03282",I3283:I8282)</f>
        <v>136728.08</v>
      </c>
      <c r="S3283" s="1">
        <v>86324.79</v>
      </c>
      <c r="T3283">
        <f t="shared" si="370"/>
        <v>838.822576687116</v>
      </c>
      <c r="U3283">
        <f t="shared" si="371"/>
        <v>8084.8</v>
      </c>
      <c r="V3283">
        <f>U3283</f>
        <v>8084.8</v>
      </c>
      <c r="W3283">
        <f t="shared" si="374"/>
        <v>47289.3833333333</v>
      </c>
      <c r="X3283">
        <f t="shared" si="372"/>
        <v>0.15489183840656</v>
      </c>
      <c r="AH3283" t="str">
        <f t="shared" si="375"/>
        <v>3rd Quality</v>
      </c>
      <c r="AJ3283">
        <f>((T3283-X3283)*2)/22.6</f>
        <v>74.2183791901513</v>
      </c>
      <c r="AK3283">
        <f t="shared" si="373"/>
        <v>667702.771042945</v>
      </c>
    </row>
    <row r="3284" spans="1:37">
      <c r="A3284" t="s">
        <v>3350</v>
      </c>
      <c r="B3284">
        <v>32</v>
      </c>
      <c r="C3284" t="s">
        <v>50</v>
      </c>
      <c r="D3284" t="s">
        <v>60</v>
      </c>
      <c r="E3284">
        <v>983</v>
      </c>
      <c r="F3284">
        <v>23</v>
      </c>
      <c r="G3284">
        <v>7</v>
      </c>
      <c r="H3284">
        <v>924.18</v>
      </c>
      <c r="I3284">
        <v>6703.13</v>
      </c>
      <c r="J3284">
        <v>28</v>
      </c>
      <c r="K3284">
        <v>1</v>
      </c>
      <c r="L3284">
        <v>26.8</v>
      </c>
      <c r="M3284">
        <v>50</v>
      </c>
      <c r="N3284" t="s">
        <v>61</v>
      </c>
      <c r="O3284" t="s">
        <v>47</v>
      </c>
      <c r="P3284" t="s">
        <v>68</v>
      </c>
      <c r="R3284">
        <f>SUMIF(A3284:A8283,"C03283",I3284:I8283)</f>
        <v>6703.13</v>
      </c>
      <c r="S3284" s="1">
        <v>4438.43</v>
      </c>
      <c r="T3284">
        <f t="shared" si="370"/>
        <v>239.3975</v>
      </c>
      <c r="U3284">
        <f t="shared" si="371"/>
        <v>1400</v>
      </c>
      <c r="V3284">
        <f>U3284</f>
        <v>1400</v>
      </c>
      <c r="W3284">
        <f t="shared" si="374"/>
        <v>2542.77</v>
      </c>
      <c r="X3284">
        <f t="shared" si="372"/>
        <v>1.06364561016252</v>
      </c>
      <c r="AH3284" t="str">
        <f t="shared" si="375"/>
        <v>3rd Quality</v>
      </c>
      <c r="AJ3284">
        <f>((T3284-X3284)*2)/26.8</f>
        <v>17.786108536555</v>
      </c>
      <c r="AK3284">
        <f t="shared" si="373"/>
        <v>235327.7425</v>
      </c>
    </row>
    <row r="3285" spans="1:37">
      <c r="A3285" t="s">
        <v>3351</v>
      </c>
      <c r="B3285">
        <v>36</v>
      </c>
      <c r="C3285" t="s">
        <v>44</v>
      </c>
      <c r="D3285" t="s">
        <v>60</v>
      </c>
      <c r="E3285">
        <v>508</v>
      </c>
      <c r="F3285">
        <v>16</v>
      </c>
      <c r="G3285">
        <v>30</v>
      </c>
      <c r="H3285">
        <v>4980.04</v>
      </c>
      <c r="I3285">
        <v>153839.21</v>
      </c>
      <c r="J3285">
        <v>185</v>
      </c>
      <c r="K3285">
        <v>1</v>
      </c>
      <c r="L3285">
        <v>7.5</v>
      </c>
      <c r="M3285">
        <v>17.5</v>
      </c>
      <c r="N3285" t="s">
        <v>61</v>
      </c>
      <c r="O3285" t="s">
        <v>47</v>
      </c>
      <c r="P3285" t="s">
        <v>58</v>
      </c>
      <c r="R3285">
        <f>SUMIF(A3285:A8284,"C03284",I3285:I8284)</f>
        <v>153839.21</v>
      </c>
      <c r="S3285" s="1">
        <v>32405.58</v>
      </c>
      <c r="T3285">
        <f t="shared" si="370"/>
        <v>831.563297297297</v>
      </c>
      <c r="U3285">
        <f t="shared" si="371"/>
        <v>3237.5</v>
      </c>
      <c r="V3285">
        <f>U3285</f>
        <v>3237.5</v>
      </c>
      <c r="W3285">
        <f t="shared" si="374"/>
        <v>52940.0833333333</v>
      </c>
      <c r="X3285">
        <f t="shared" si="372"/>
        <v>0.102007212793472</v>
      </c>
      <c r="AH3285" t="str">
        <f t="shared" si="375"/>
        <v>2nd Quality</v>
      </c>
      <c r="AJ3285">
        <f>((T3285-X3285)*2)/7.5</f>
        <v>221.723010689201</v>
      </c>
      <c r="AK3285">
        <f t="shared" si="373"/>
        <v>422434.155027027</v>
      </c>
    </row>
    <row r="3286" spans="1:37">
      <c r="A3286" t="s">
        <v>3352</v>
      </c>
      <c r="B3286">
        <v>47</v>
      </c>
      <c r="C3286" t="s">
        <v>50</v>
      </c>
      <c r="D3286" t="s">
        <v>51</v>
      </c>
      <c r="E3286">
        <v>541</v>
      </c>
      <c r="F3286">
        <v>9</v>
      </c>
      <c r="G3286">
        <v>19</v>
      </c>
      <c r="H3286">
        <v>4494.92</v>
      </c>
      <c r="I3286">
        <v>86324.79</v>
      </c>
      <c r="J3286">
        <v>64</v>
      </c>
      <c r="K3286">
        <v>0</v>
      </c>
      <c r="L3286">
        <v>13</v>
      </c>
      <c r="M3286">
        <v>31.6</v>
      </c>
      <c r="N3286" t="s">
        <v>52</v>
      </c>
      <c r="O3286" t="s">
        <v>75</v>
      </c>
      <c r="P3286" t="s">
        <v>58</v>
      </c>
      <c r="R3286">
        <f>SUMIF(A3286:A8285,"C03285",I3286:I8285)</f>
        <v>86324.79</v>
      </c>
      <c r="S3286" s="1">
        <v>7728.72</v>
      </c>
      <c r="T3286">
        <f t="shared" ref="T3286:T3349" si="377">I3286/J3286</f>
        <v>1348.82484375</v>
      </c>
      <c r="U3286">
        <f t="shared" si="371"/>
        <v>2022.4</v>
      </c>
      <c r="V3286">
        <f t="shared" si="376"/>
        <v>168.533333333333</v>
      </c>
      <c r="W3286">
        <f t="shared" si="374"/>
        <v>30273.57</v>
      </c>
      <c r="X3286">
        <f t="shared" si="372"/>
        <v>0.120358093136252</v>
      </c>
      <c r="AH3286" t="str">
        <f t="shared" si="375"/>
        <v>3rd Quality</v>
      </c>
      <c r="AJ3286">
        <f>((T3286-X3286)*2)/13</f>
        <v>207.492997793364</v>
      </c>
      <c r="AK3286">
        <f t="shared" si="373"/>
        <v>729714.24046875</v>
      </c>
    </row>
    <row r="3287" spans="1:37">
      <c r="A3287" t="s">
        <v>3353</v>
      </c>
      <c r="B3287">
        <v>31</v>
      </c>
      <c r="C3287" t="s">
        <v>44</v>
      </c>
      <c r="D3287" t="s">
        <v>60</v>
      </c>
      <c r="E3287">
        <v>782</v>
      </c>
      <c r="F3287">
        <v>56</v>
      </c>
      <c r="G3287">
        <v>1</v>
      </c>
      <c r="H3287">
        <v>4803.43</v>
      </c>
      <c r="I3287">
        <v>4438.43</v>
      </c>
      <c r="J3287">
        <v>11</v>
      </c>
      <c r="K3287">
        <v>0</v>
      </c>
      <c r="L3287">
        <v>0</v>
      </c>
      <c r="M3287">
        <v>35.5</v>
      </c>
      <c r="N3287" t="s">
        <v>52</v>
      </c>
      <c r="O3287" t="s">
        <v>47</v>
      </c>
      <c r="P3287" t="s">
        <v>58</v>
      </c>
      <c r="R3287">
        <f>SUMIF(A3287:A8286,"C03286",I3287:I8286)</f>
        <v>4438.43</v>
      </c>
      <c r="S3287" s="1">
        <v>90207.11</v>
      </c>
      <c r="T3287">
        <f t="shared" si="377"/>
        <v>403.493636363636</v>
      </c>
      <c r="U3287">
        <f t="shared" si="371"/>
        <v>390.5</v>
      </c>
      <c r="V3287">
        <f t="shared" si="376"/>
        <v>32.5416666666667</v>
      </c>
      <c r="W3287">
        <f t="shared" si="374"/>
        <v>3080.95333333333</v>
      </c>
      <c r="X3287">
        <f t="shared" si="372"/>
        <v>0.162800332262571</v>
      </c>
      <c r="AH3287" t="str">
        <f t="shared" si="375"/>
        <v>3rd Quality</v>
      </c>
      <c r="AJ3287">
        <f>((T3287-X3287)*2)</f>
        <v>806.661672062747</v>
      </c>
      <c r="AK3287">
        <f t="shared" si="373"/>
        <v>315532.023636364</v>
      </c>
    </row>
    <row r="3288" spans="1:37">
      <c r="A3288" t="s">
        <v>3354</v>
      </c>
      <c r="B3288">
        <v>29</v>
      </c>
      <c r="C3288" t="s">
        <v>44</v>
      </c>
      <c r="D3288" t="s">
        <v>60</v>
      </c>
      <c r="E3288">
        <v>727</v>
      </c>
      <c r="F3288">
        <v>29</v>
      </c>
      <c r="G3288">
        <v>4</v>
      </c>
      <c r="H3288">
        <v>7805.95</v>
      </c>
      <c r="I3288">
        <v>32405.58</v>
      </c>
      <c r="J3288">
        <v>26</v>
      </c>
      <c r="K3288">
        <v>0</v>
      </c>
      <c r="L3288">
        <v>4.6</v>
      </c>
      <c r="M3288">
        <v>14.3</v>
      </c>
      <c r="N3288" t="s">
        <v>81</v>
      </c>
      <c r="O3288" t="s">
        <v>75</v>
      </c>
      <c r="P3288" t="s">
        <v>48</v>
      </c>
      <c r="R3288">
        <f>SUMIF(A3288:A8287,"C03287",I3288:I8287)</f>
        <v>32405.58</v>
      </c>
      <c r="S3288" s="1">
        <v>15538.92</v>
      </c>
      <c r="T3288">
        <f t="shared" si="377"/>
        <v>1246.36846153846</v>
      </c>
      <c r="U3288">
        <f t="shared" si="371"/>
        <v>371.8</v>
      </c>
      <c r="V3288">
        <f t="shared" si="376"/>
        <v>30.9833333333333</v>
      </c>
      <c r="W3288">
        <f t="shared" si="374"/>
        <v>13404.1766666667</v>
      </c>
      <c r="X3288">
        <f t="shared" si="372"/>
        <v>0.0931340836157034</v>
      </c>
      <c r="AH3288" t="str">
        <f t="shared" si="375"/>
        <v>2nd Quality</v>
      </c>
      <c r="AJ3288">
        <f>((T3288-X3288)*2)/4.6</f>
        <v>541.858838023845</v>
      </c>
      <c r="AK3288">
        <f t="shared" si="373"/>
        <v>906109.871538462</v>
      </c>
    </row>
    <row r="3289" spans="1:37">
      <c r="A3289" t="s">
        <v>3355</v>
      </c>
      <c r="B3289">
        <v>27</v>
      </c>
      <c r="C3289" t="s">
        <v>50</v>
      </c>
      <c r="D3289" t="s">
        <v>60</v>
      </c>
      <c r="E3289">
        <v>1008</v>
      </c>
      <c r="F3289">
        <v>9</v>
      </c>
      <c r="G3289">
        <v>4</v>
      </c>
      <c r="H3289">
        <v>1989.77</v>
      </c>
      <c r="I3289">
        <v>7728.72</v>
      </c>
      <c r="J3289">
        <v>30</v>
      </c>
      <c r="K3289">
        <v>0</v>
      </c>
      <c r="L3289">
        <v>27.2</v>
      </c>
      <c r="M3289">
        <v>28.4</v>
      </c>
      <c r="N3289" t="s">
        <v>52</v>
      </c>
      <c r="O3289" t="s">
        <v>75</v>
      </c>
      <c r="P3289" t="s">
        <v>48</v>
      </c>
      <c r="R3289">
        <f>SUMIF(A3289:A8288,"C03288",I3289:I8288)</f>
        <v>7728.72</v>
      </c>
      <c r="S3289" s="1">
        <v>10522.37</v>
      </c>
      <c r="T3289">
        <f t="shared" si="377"/>
        <v>257.624</v>
      </c>
      <c r="U3289">
        <f t="shared" si="371"/>
        <v>852</v>
      </c>
      <c r="V3289">
        <f t="shared" si="376"/>
        <v>71</v>
      </c>
      <c r="W3289">
        <f t="shared" si="374"/>
        <v>3239.83</v>
      </c>
      <c r="X3289">
        <f t="shared" si="372"/>
        <v>0.506591214059916</v>
      </c>
      <c r="AH3289" t="str">
        <f t="shared" si="375"/>
        <v>3rd Quality</v>
      </c>
      <c r="AJ3289">
        <f>((T3289-X3289)*2)/27.2</f>
        <v>18.9056918224956</v>
      </c>
      <c r="AK3289">
        <f t="shared" si="373"/>
        <v>259684.992</v>
      </c>
    </row>
    <row r="3290" spans="1:37">
      <c r="A3290" t="s">
        <v>3356</v>
      </c>
      <c r="B3290">
        <v>24</v>
      </c>
      <c r="C3290" t="s">
        <v>44</v>
      </c>
      <c r="D3290" t="s">
        <v>60</v>
      </c>
      <c r="E3290">
        <v>1356</v>
      </c>
      <c r="F3290">
        <v>5</v>
      </c>
      <c r="G3290">
        <v>15</v>
      </c>
      <c r="H3290">
        <v>5961.58</v>
      </c>
      <c r="I3290">
        <v>90207.11</v>
      </c>
      <c r="J3290">
        <v>126</v>
      </c>
      <c r="K3290">
        <v>3</v>
      </c>
      <c r="L3290">
        <v>13</v>
      </c>
      <c r="M3290">
        <v>50.3</v>
      </c>
      <c r="N3290" t="s">
        <v>57</v>
      </c>
      <c r="O3290" t="s">
        <v>47</v>
      </c>
      <c r="P3290" t="s">
        <v>66</v>
      </c>
      <c r="R3290">
        <f>SUMIF(A3290:A8289,"C03289",I3290:I8289)</f>
        <v>90207.11</v>
      </c>
      <c r="S3290" s="1">
        <v>1305.26</v>
      </c>
      <c r="T3290">
        <f t="shared" si="377"/>
        <v>715.929444444444</v>
      </c>
      <c r="U3290">
        <f t="shared" si="371"/>
        <v>6337.8</v>
      </c>
      <c r="V3290">
        <f>U3290</f>
        <v>6337.8</v>
      </c>
      <c r="W3290">
        <f t="shared" si="374"/>
        <v>32056.5633333333</v>
      </c>
      <c r="X3290">
        <f t="shared" si="372"/>
        <v>0.227456479658077</v>
      </c>
      <c r="AH3290" t="str">
        <f t="shared" si="375"/>
        <v>1st Quality</v>
      </c>
      <c r="AJ3290">
        <f>((T3290-X3290)*2)/13</f>
        <v>110.107998148429</v>
      </c>
      <c r="AK3290">
        <f t="shared" si="373"/>
        <v>970800.326666667</v>
      </c>
    </row>
    <row r="3291" spans="1:37">
      <c r="A3291" t="s">
        <v>3357</v>
      </c>
      <c r="B3291">
        <v>37</v>
      </c>
      <c r="C3291" t="s">
        <v>44</v>
      </c>
      <c r="D3291" t="s">
        <v>51</v>
      </c>
      <c r="E3291">
        <v>417</v>
      </c>
      <c r="F3291">
        <v>31</v>
      </c>
      <c r="G3291">
        <v>8</v>
      </c>
      <c r="H3291">
        <v>1771.8</v>
      </c>
      <c r="I3291">
        <v>15538.92</v>
      </c>
      <c r="J3291">
        <v>19</v>
      </c>
      <c r="K3291">
        <v>0</v>
      </c>
      <c r="L3291">
        <v>21.9</v>
      </c>
      <c r="M3291">
        <v>48.3</v>
      </c>
      <c r="N3291" t="s">
        <v>61</v>
      </c>
      <c r="O3291" t="s">
        <v>75</v>
      </c>
      <c r="P3291" t="s">
        <v>68</v>
      </c>
      <c r="R3291">
        <f>SUMIF(A3291:A8290,"C03290",I3291:I8290)</f>
        <v>15538.92</v>
      </c>
      <c r="S3291" s="1">
        <v>23950.8</v>
      </c>
      <c r="T3291">
        <f t="shared" si="377"/>
        <v>817.837894736842</v>
      </c>
      <c r="U3291">
        <f t="shared" si="371"/>
        <v>917.7</v>
      </c>
      <c r="V3291">
        <f t="shared" si="376"/>
        <v>76.475</v>
      </c>
      <c r="W3291">
        <f t="shared" si="374"/>
        <v>5770.57333333333</v>
      </c>
      <c r="X3291">
        <f t="shared" si="372"/>
        <v>0.235353877412801</v>
      </c>
      <c r="AH3291" t="str">
        <f t="shared" si="375"/>
        <v>3rd Quality</v>
      </c>
      <c r="AJ3291">
        <f>((T3291-X3291)*2)/21.9</f>
        <v>74.6668987086237</v>
      </c>
      <c r="AK3291">
        <f t="shared" si="373"/>
        <v>341038.402105263</v>
      </c>
    </row>
    <row r="3292" spans="1:37">
      <c r="A3292" t="s">
        <v>3358</v>
      </c>
      <c r="B3292">
        <v>49</v>
      </c>
      <c r="C3292" t="s">
        <v>44</v>
      </c>
      <c r="D3292" t="s">
        <v>45</v>
      </c>
      <c r="E3292">
        <v>1283</v>
      </c>
      <c r="F3292">
        <v>148</v>
      </c>
      <c r="G3292">
        <v>10</v>
      </c>
      <c r="H3292">
        <v>1161.15</v>
      </c>
      <c r="I3292">
        <v>10522.37</v>
      </c>
      <c r="J3292">
        <v>91</v>
      </c>
      <c r="K3292">
        <v>1</v>
      </c>
      <c r="L3292">
        <v>24.2</v>
      </c>
      <c r="M3292">
        <v>20.7</v>
      </c>
      <c r="N3292" t="s">
        <v>46</v>
      </c>
      <c r="O3292" t="s">
        <v>53</v>
      </c>
      <c r="P3292" t="s">
        <v>58</v>
      </c>
      <c r="R3292">
        <f>SUMIF(A3292:A8291,"C03291",I3292:I8291)</f>
        <v>10522.37</v>
      </c>
      <c r="S3292" s="1">
        <v>17904.81</v>
      </c>
      <c r="T3292">
        <f t="shared" si="377"/>
        <v>115.63043956044</v>
      </c>
      <c r="U3292">
        <f t="shared" si="371"/>
        <v>1883.7</v>
      </c>
      <c r="V3292">
        <f>U3292</f>
        <v>1883.7</v>
      </c>
      <c r="W3292">
        <f t="shared" si="374"/>
        <v>3894.84</v>
      </c>
      <c r="X3292">
        <f t="shared" si="372"/>
        <v>1.1049390690264</v>
      </c>
      <c r="AH3292" t="str">
        <f t="shared" si="375"/>
        <v>3rd Quality</v>
      </c>
      <c r="AJ3292">
        <f>((T3292-X3292)*2)/24.2</f>
        <v>9.46491739598459</v>
      </c>
      <c r="AK3292">
        <f t="shared" si="373"/>
        <v>148353.853956044</v>
      </c>
    </row>
    <row r="3293" spans="1:37">
      <c r="A3293" t="s">
        <v>3359</v>
      </c>
      <c r="B3293">
        <v>29</v>
      </c>
      <c r="C3293" t="s">
        <v>44</v>
      </c>
      <c r="D3293" t="s">
        <v>45</v>
      </c>
      <c r="E3293">
        <v>669</v>
      </c>
      <c r="F3293">
        <v>43</v>
      </c>
      <c r="G3293">
        <v>2</v>
      </c>
      <c r="H3293">
        <v>588.32</v>
      </c>
      <c r="I3293">
        <v>1305.26</v>
      </c>
      <c r="J3293">
        <v>21</v>
      </c>
      <c r="K3293">
        <v>0</v>
      </c>
      <c r="L3293">
        <v>36.6</v>
      </c>
      <c r="M3293">
        <v>40.4</v>
      </c>
      <c r="N3293" t="s">
        <v>61</v>
      </c>
      <c r="O3293" t="s">
        <v>47</v>
      </c>
      <c r="P3293" t="s">
        <v>58</v>
      </c>
      <c r="R3293">
        <f>SUMIF(A3293:A8292,"C03292",I3293:I8292)</f>
        <v>1305.26</v>
      </c>
      <c r="S3293" s="1">
        <v>10830.65</v>
      </c>
      <c r="T3293">
        <f t="shared" si="377"/>
        <v>62.1552380952381</v>
      </c>
      <c r="U3293">
        <f t="shared" si="371"/>
        <v>848.4</v>
      </c>
      <c r="V3293">
        <f t="shared" si="376"/>
        <v>70.7</v>
      </c>
      <c r="W3293">
        <f t="shared" si="374"/>
        <v>631.526666666667</v>
      </c>
      <c r="X3293">
        <f t="shared" si="372"/>
        <v>1.13713625237966</v>
      </c>
      <c r="AH3293" t="str">
        <f t="shared" si="375"/>
        <v>3rd Quality</v>
      </c>
      <c r="AJ3293">
        <f>((T3293-X3293)*2)/36.6</f>
        <v>3.33432250507423</v>
      </c>
      <c r="AK3293">
        <f t="shared" si="373"/>
        <v>41581.8542857143</v>
      </c>
    </row>
    <row r="3294" spans="1:37">
      <c r="A3294" t="s">
        <v>3360</v>
      </c>
      <c r="B3294">
        <v>40</v>
      </c>
      <c r="C3294" t="s">
        <v>44</v>
      </c>
      <c r="D3294" t="s">
        <v>51</v>
      </c>
      <c r="E3294">
        <v>1080</v>
      </c>
      <c r="F3294">
        <v>104</v>
      </c>
      <c r="G3294">
        <v>2</v>
      </c>
      <c r="H3294">
        <v>11782.56</v>
      </c>
      <c r="I3294">
        <v>23950.8</v>
      </c>
      <c r="J3294">
        <v>29</v>
      </c>
      <c r="K3294">
        <v>0</v>
      </c>
      <c r="L3294">
        <v>11.1</v>
      </c>
      <c r="M3294">
        <v>5.4</v>
      </c>
      <c r="N3294" t="s">
        <v>81</v>
      </c>
      <c r="O3294" t="s">
        <v>75</v>
      </c>
      <c r="P3294" t="s">
        <v>58</v>
      </c>
      <c r="R3294">
        <f>SUMIF(A3294:A8293,"C03293",I3294:I8293)</f>
        <v>23950.8</v>
      </c>
      <c r="S3294" s="1">
        <v>2788.38</v>
      </c>
      <c r="T3294">
        <f t="shared" si="377"/>
        <v>825.889655172414</v>
      </c>
      <c r="U3294">
        <f t="shared" si="371"/>
        <v>156.6</v>
      </c>
      <c r="V3294">
        <f t="shared" si="376"/>
        <v>13.05</v>
      </c>
      <c r="W3294">
        <f t="shared" si="374"/>
        <v>11911.4533333333</v>
      </c>
      <c r="X3294">
        <f t="shared" si="372"/>
        <v>0.0916608954251029</v>
      </c>
      <c r="AH3294" t="str">
        <f t="shared" si="375"/>
        <v>2nd Quality</v>
      </c>
      <c r="AJ3294">
        <f>((T3294-X3294)*2)/11.1</f>
        <v>148.792431401259</v>
      </c>
      <c r="AK3294">
        <f t="shared" si="373"/>
        <v>891960.827586207</v>
      </c>
    </row>
    <row r="3295" spans="1:37">
      <c r="A3295" t="s">
        <v>3361</v>
      </c>
      <c r="B3295">
        <v>45</v>
      </c>
      <c r="C3295" t="s">
        <v>44</v>
      </c>
      <c r="D3295" t="s">
        <v>60</v>
      </c>
      <c r="E3295">
        <v>1397</v>
      </c>
      <c r="F3295">
        <v>52</v>
      </c>
      <c r="G3295">
        <v>2</v>
      </c>
      <c r="H3295">
        <v>8080.1</v>
      </c>
      <c r="I3295">
        <v>17904.81</v>
      </c>
      <c r="J3295">
        <v>20</v>
      </c>
      <c r="K3295">
        <v>1</v>
      </c>
      <c r="L3295">
        <v>0</v>
      </c>
      <c r="M3295">
        <v>49.4</v>
      </c>
      <c r="N3295" t="s">
        <v>78</v>
      </c>
      <c r="O3295" t="s">
        <v>53</v>
      </c>
      <c r="P3295" t="s">
        <v>58</v>
      </c>
      <c r="R3295">
        <f>SUMIF(A3295:A8294,"C03294",I3295:I8294)</f>
        <v>17904.81</v>
      </c>
      <c r="S3295" s="1">
        <v>6114.21</v>
      </c>
      <c r="T3295">
        <f t="shared" si="377"/>
        <v>895.2405</v>
      </c>
      <c r="U3295">
        <f t="shared" si="371"/>
        <v>988</v>
      </c>
      <c r="V3295">
        <f>U3295</f>
        <v>988</v>
      </c>
      <c r="W3295">
        <f t="shared" si="374"/>
        <v>8661.97</v>
      </c>
      <c r="X3295">
        <f t="shared" si="372"/>
        <v>0.172893899827972</v>
      </c>
      <c r="AH3295" t="str">
        <f t="shared" si="375"/>
        <v>3rd Quality</v>
      </c>
      <c r="AJ3295">
        <f>((T3295-X3295)*2)</f>
        <v>1790.13521220034</v>
      </c>
      <c r="AK3295">
        <f t="shared" si="373"/>
        <v>1250650.9785</v>
      </c>
    </row>
    <row r="3296" spans="1:37">
      <c r="A3296" t="s">
        <v>3362</v>
      </c>
      <c r="B3296">
        <v>49</v>
      </c>
      <c r="C3296" t="s">
        <v>50</v>
      </c>
      <c r="D3296" t="s">
        <v>60</v>
      </c>
      <c r="E3296">
        <v>1170</v>
      </c>
      <c r="F3296">
        <v>64</v>
      </c>
      <c r="G3296">
        <v>10</v>
      </c>
      <c r="H3296">
        <v>1166.9</v>
      </c>
      <c r="I3296">
        <v>10830.65</v>
      </c>
      <c r="J3296">
        <v>28</v>
      </c>
      <c r="K3296">
        <v>1</v>
      </c>
      <c r="L3296">
        <v>21.9</v>
      </c>
      <c r="M3296">
        <v>9.1</v>
      </c>
      <c r="N3296" t="s">
        <v>61</v>
      </c>
      <c r="O3296" t="s">
        <v>47</v>
      </c>
      <c r="P3296" t="s">
        <v>58</v>
      </c>
      <c r="R3296">
        <f>SUMIF(A3296:A8295,"C03295",I3296:I8295)</f>
        <v>10830.65</v>
      </c>
      <c r="S3296" s="1">
        <v>37989.67</v>
      </c>
      <c r="T3296">
        <f t="shared" si="377"/>
        <v>386.808928571429</v>
      </c>
      <c r="U3296">
        <f t="shared" si="371"/>
        <v>254.8</v>
      </c>
      <c r="V3296">
        <f>U3296</f>
        <v>254.8</v>
      </c>
      <c r="W3296">
        <f t="shared" si="374"/>
        <v>3999.51666666667</v>
      </c>
      <c r="X3296">
        <f t="shared" si="372"/>
        <v>1.00265661153484</v>
      </c>
      <c r="AH3296" t="str">
        <f t="shared" si="375"/>
        <v>3rd Quality</v>
      </c>
      <c r="AJ3296">
        <f>((T3296-X3296)*2)/21.9</f>
        <v>35.2334494940543</v>
      </c>
      <c r="AK3296">
        <f t="shared" si="373"/>
        <v>452566.446428571</v>
      </c>
    </row>
    <row r="3297" spans="1:37">
      <c r="A3297" t="s">
        <v>3363</v>
      </c>
      <c r="B3297">
        <v>42</v>
      </c>
      <c r="C3297" t="s">
        <v>44</v>
      </c>
      <c r="D3297" t="s">
        <v>60</v>
      </c>
      <c r="E3297">
        <v>418</v>
      </c>
      <c r="F3297">
        <v>303</v>
      </c>
      <c r="G3297">
        <v>2</v>
      </c>
      <c r="H3297">
        <v>1561.19</v>
      </c>
      <c r="I3297">
        <v>2788.38</v>
      </c>
      <c r="J3297">
        <v>22</v>
      </c>
      <c r="K3297">
        <v>1</v>
      </c>
      <c r="L3297">
        <v>17.1</v>
      </c>
      <c r="M3297">
        <v>31.9</v>
      </c>
      <c r="N3297" t="s">
        <v>78</v>
      </c>
      <c r="O3297" t="s">
        <v>47</v>
      </c>
      <c r="P3297" t="s">
        <v>58</v>
      </c>
      <c r="R3297">
        <f>SUMIF(A3297:A8296,"C03296",I3297:I8296)</f>
        <v>2788.38</v>
      </c>
      <c r="S3297" s="1">
        <v>18960.99</v>
      </c>
      <c r="T3297">
        <f t="shared" si="377"/>
        <v>126.744545454545</v>
      </c>
      <c r="U3297">
        <f t="shared" si="371"/>
        <v>701.8</v>
      </c>
      <c r="V3297">
        <f>U3297</f>
        <v>701.8</v>
      </c>
      <c r="W3297">
        <f t="shared" si="374"/>
        <v>1450.19</v>
      </c>
      <c r="X3297">
        <f t="shared" si="372"/>
        <v>0.267744476969491</v>
      </c>
      <c r="AH3297" t="str">
        <f t="shared" si="375"/>
        <v>3rd Quality</v>
      </c>
      <c r="AJ3297">
        <f>((T3297-X3297)*2)/17.1</f>
        <v>14.7926083014708</v>
      </c>
      <c r="AK3297">
        <f t="shared" si="373"/>
        <v>52979.22</v>
      </c>
    </row>
    <row r="3298" spans="1:37">
      <c r="A3298" t="s">
        <v>3364</v>
      </c>
      <c r="B3298">
        <v>37</v>
      </c>
      <c r="C3298" t="s">
        <v>44</v>
      </c>
      <c r="D3298" t="s">
        <v>60</v>
      </c>
      <c r="E3298">
        <v>1016</v>
      </c>
      <c r="F3298">
        <v>309</v>
      </c>
      <c r="G3298">
        <v>5</v>
      </c>
      <c r="H3298">
        <v>1188.33</v>
      </c>
      <c r="I3298">
        <v>6114.21</v>
      </c>
      <c r="J3298">
        <v>36</v>
      </c>
      <c r="K3298">
        <v>0</v>
      </c>
      <c r="L3298">
        <v>20.2</v>
      </c>
      <c r="M3298">
        <v>18.2</v>
      </c>
      <c r="N3298" t="s">
        <v>61</v>
      </c>
      <c r="O3298" t="s">
        <v>47</v>
      </c>
      <c r="P3298" t="s">
        <v>48</v>
      </c>
      <c r="R3298">
        <f>SUMIF(A3298:A8297,"C03297",I3298:I8297)</f>
        <v>6114.21</v>
      </c>
      <c r="S3298" s="1">
        <v>111854.47</v>
      </c>
      <c r="T3298">
        <f t="shared" si="377"/>
        <v>169.839166666667</v>
      </c>
      <c r="U3298">
        <f t="shared" ref="U3298:U3361" si="378">J3298*M3298</f>
        <v>655.2</v>
      </c>
      <c r="V3298">
        <f t="shared" si="376"/>
        <v>54.6</v>
      </c>
      <c r="W3298">
        <f t="shared" si="374"/>
        <v>2434.51333333333</v>
      </c>
      <c r="X3298">
        <f t="shared" si="372"/>
        <v>0.854981360396523</v>
      </c>
      <c r="AH3298" t="str">
        <f t="shared" si="375"/>
        <v>3rd Quality</v>
      </c>
      <c r="AJ3298">
        <f>((T3298-X3298)*2)/20.2</f>
        <v>16.7311074560664</v>
      </c>
      <c r="AK3298">
        <f t="shared" si="373"/>
        <v>172556.593333333</v>
      </c>
    </row>
    <row r="3299" spans="1:37">
      <c r="A3299" t="s">
        <v>3365</v>
      </c>
      <c r="B3299">
        <v>28</v>
      </c>
      <c r="C3299" t="s">
        <v>50</v>
      </c>
      <c r="D3299" t="s">
        <v>60</v>
      </c>
      <c r="E3299">
        <v>534</v>
      </c>
      <c r="F3299">
        <v>15</v>
      </c>
      <c r="G3299">
        <v>2</v>
      </c>
      <c r="H3299">
        <v>18873.16</v>
      </c>
      <c r="I3299">
        <v>37989.67</v>
      </c>
      <c r="J3299">
        <v>19</v>
      </c>
      <c r="K3299">
        <v>0</v>
      </c>
      <c r="L3299">
        <v>0</v>
      </c>
      <c r="M3299">
        <v>39</v>
      </c>
      <c r="N3299" t="s">
        <v>78</v>
      </c>
      <c r="O3299" t="s">
        <v>47</v>
      </c>
      <c r="P3299" t="s">
        <v>68</v>
      </c>
      <c r="R3299">
        <f>SUMIF(A3299:A8298,"C03298",I3299:I8298)</f>
        <v>37989.67</v>
      </c>
      <c r="S3299" s="1">
        <v>4848.41</v>
      </c>
      <c r="T3299">
        <f t="shared" si="377"/>
        <v>1999.45631578947</v>
      </c>
      <c r="U3299">
        <f t="shared" si="378"/>
        <v>741</v>
      </c>
      <c r="V3299">
        <f t="shared" si="376"/>
        <v>61.75</v>
      </c>
      <c r="W3299">
        <f t="shared" si="374"/>
        <v>18954.61</v>
      </c>
      <c r="X3299">
        <f t="shared" si="372"/>
        <v>0.0282941489395523</v>
      </c>
      <c r="AH3299" t="str">
        <f t="shared" si="375"/>
        <v>2nd Quality</v>
      </c>
      <c r="AJ3299">
        <f>((T3299-X3299)*2)</f>
        <v>3998.85604328106</v>
      </c>
      <c r="AK3299">
        <f t="shared" si="373"/>
        <v>1067709.67263158</v>
      </c>
    </row>
    <row r="3300" spans="1:37">
      <c r="A3300" t="s">
        <v>3366</v>
      </c>
      <c r="B3300">
        <v>25</v>
      </c>
      <c r="C3300" t="s">
        <v>44</v>
      </c>
      <c r="D3300" t="s">
        <v>60</v>
      </c>
      <c r="E3300">
        <v>646</v>
      </c>
      <c r="F3300">
        <v>61</v>
      </c>
      <c r="G3300">
        <v>9</v>
      </c>
      <c r="H3300">
        <v>1994.35</v>
      </c>
      <c r="I3300">
        <v>18960.99</v>
      </c>
      <c r="J3300">
        <v>36</v>
      </c>
      <c r="K3300">
        <v>0</v>
      </c>
      <c r="L3300">
        <v>32.5</v>
      </c>
      <c r="M3300">
        <v>10.1</v>
      </c>
      <c r="N3300" t="s">
        <v>57</v>
      </c>
      <c r="O3300" t="s">
        <v>47</v>
      </c>
      <c r="P3300" t="s">
        <v>58</v>
      </c>
      <c r="R3300">
        <f>SUMIF(A3300:A8299,"C03299",I3300:I8299)</f>
        <v>18960.99</v>
      </c>
      <c r="S3300" s="1">
        <v>17171.45</v>
      </c>
      <c r="T3300">
        <f t="shared" si="377"/>
        <v>526.694166666667</v>
      </c>
      <c r="U3300">
        <f t="shared" si="378"/>
        <v>363.6</v>
      </c>
      <c r="V3300">
        <f t="shared" si="376"/>
        <v>30.3</v>
      </c>
      <c r="W3300">
        <f t="shared" si="374"/>
        <v>6985.44666666667</v>
      </c>
      <c r="X3300">
        <f t="shared" si="372"/>
        <v>0.323915060044626</v>
      </c>
      <c r="AH3300" t="str">
        <f t="shared" si="375"/>
        <v>2nd Quality</v>
      </c>
      <c r="AJ3300">
        <f>((T3300-X3300)*2)/32.5</f>
        <v>32.3920154834844</v>
      </c>
      <c r="AK3300">
        <f t="shared" si="373"/>
        <v>340244.431666667</v>
      </c>
    </row>
    <row r="3301" spans="1:37">
      <c r="A3301" t="s">
        <v>3367</v>
      </c>
      <c r="B3301">
        <v>36</v>
      </c>
      <c r="C3301" t="s">
        <v>56</v>
      </c>
      <c r="D3301" t="s">
        <v>60</v>
      </c>
      <c r="E3301">
        <v>1003</v>
      </c>
      <c r="F3301">
        <v>3</v>
      </c>
      <c r="G3301">
        <v>34</v>
      </c>
      <c r="H3301">
        <v>3211.64</v>
      </c>
      <c r="I3301">
        <v>111854.47</v>
      </c>
      <c r="J3301">
        <v>248</v>
      </c>
      <c r="K3301">
        <v>1</v>
      </c>
      <c r="L3301">
        <v>3.9</v>
      </c>
      <c r="M3301">
        <v>38.6</v>
      </c>
      <c r="N3301" t="s">
        <v>57</v>
      </c>
      <c r="O3301" t="s">
        <v>47</v>
      </c>
      <c r="P3301" t="s">
        <v>58</v>
      </c>
      <c r="R3301">
        <f>SUMIF(A3301:A8300,"C03300",I3301:I8300)</f>
        <v>111854.47</v>
      </c>
      <c r="S3301" s="1">
        <v>31646.19</v>
      </c>
      <c r="T3301">
        <f t="shared" si="377"/>
        <v>451.026088709677</v>
      </c>
      <c r="U3301">
        <f t="shared" si="378"/>
        <v>9572.8</v>
      </c>
      <c r="V3301">
        <f>U3301*1</f>
        <v>9572.8</v>
      </c>
      <c r="W3301">
        <f t="shared" si="374"/>
        <v>38355.7033333333</v>
      </c>
      <c r="X3301">
        <f t="shared" si="372"/>
        <v>0.312301503281812</v>
      </c>
      <c r="AH3301" t="str">
        <f t="shared" si="375"/>
        <v>2nd Quality</v>
      </c>
      <c r="AJ3301">
        <f>((T3301-X3301)*2)/3.9</f>
        <v>231.135275490459</v>
      </c>
      <c r="AK3301">
        <f t="shared" si="373"/>
        <v>452379.166975806</v>
      </c>
    </row>
    <row r="3302" spans="1:37">
      <c r="A3302" t="s">
        <v>3368</v>
      </c>
      <c r="B3302">
        <v>39</v>
      </c>
      <c r="C3302" t="s">
        <v>44</v>
      </c>
      <c r="D3302" t="s">
        <v>60</v>
      </c>
      <c r="E3302">
        <v>1005</v>
      </c>
      <c r="F3302">
        <v>112</v>
      </c>
      <c r="G3302">
        <v>4</v>
      </c>
      <c r="H3302">
        <v>1207.96</v>
      </c>
      <c r="I3302">
        <v>4848.41</v>
      </c>
      <c r="J3302">
        <v>23</v>
      </c>
      <c r="K3302">
        <v>1</v>
      </c>
      <c r="L3302">
        <v>14</v>
      </c>
      <c r="M3302">
        <v>20.1</v>
      </c>
      <c r="N3302" t="s">
        <v>57</v>
      </c>
      <c r="O3302" t="s">
        <v>47</v>
      </c>
      <c r="P3302" t="s">
        <v>58</v>
      </c>
      <c r="R3302">
        <f>SUMIF(A3302:A8301,"C03301",I3302:I8301)</f>
        <v>4848.41</v>
      </c>
      <c r="S3302" s="1">
        <v>2352.75</v>
      </c>
      <c r="T3302">
        <f t="shared" si="377"/>
        <v>210.800434782609</v>
      </c>
      <c r="U3302">
        <f t="shared" si="378"/>
        <v>462.3</v>
      </c>
      <c r="V3302">
        <f>U3302*1</f>
        <v>462.3</v>
      </c>
      <c r="W3302">
        <f t="shared" si="374"/>
        <v>2019.12333333333</v>
      </c>
      <c r="X3302">
        <f t="shared" si="372"/>
        <v>0.83198119143018</v>
      </c>
      <c r="AH3302" t="str">
        <f t="shared" si="375"/>
        <v>3rd Quality</v>
      </c>
      <c r="AJ3302">
        <f>((T3302-X3302)*2)/14</f>
        <v>29.9954933701684</v>
      </c>
      <c r="AK3302">
        <f t="shared" si="373"/>
        <v>211854.436956522</v>
      </c>
    </row>
    <row r="3303" spans="1:37">
      <c r="A3303" t="s">
        <v>3369</v>
      </c>
      <c r="B3303">
        <v>18</v>
      </c>
      <c r="C3303" t="s">
        <v>50</v>
      </c>
      <c r="D3303" t="s">
        <v>45</v>
      </c>
      <c r="E3303">
        <v>1414</v>
      </c>
      <c r="F3303">
        <v>54</v>
      </c>
      <c r="G3303">
        <v>9</v>
      </c>
      <c r="H3303">
        <v>1739.85</v>
      </c>
      <c r="I3303">
        <v>17171.45</v>
      </c>
      <c r="J3303">
        <v>57</v>
      </c>
      <c r="K3303">
        <v>1</v>
      </c>
      <c r="L3303">
        <v>16.4</v>
      </c>
      <c r="M3303">
        <v>18.4</v>
      </c>
      <c r="N3303" t="s">
        <v>63</v>
      </c>
      <c r="O3303" t="s">
        <v>75</v>
      </c>
      <c r="P3303" t="s">
        <v>48</v>
      </c>
      <c r="R3303">
        <f>SUMIF(A3303:A8302,"C03302",I3303:I8302)</f>
        <v>17171.45</v>
      </c>
      <c r="S3303" s="1">
        <v>986.93</v>
      </c>
      <c r="T3303">
        <f t="shared" si="377"/>
        <v>301.25350877193</v>
      </c>
      <c r="U3303">
        <f t="shared" si="378"/>
        <v>1048.8</v>
      </c>
      <c r="V3303">
        <f>U3303*1</f>
        <v>1048.8</v>
      </c>
      <c r="W3303">
        <f t="shared" si="374"/>
        <v>6304.1</v>
      </c>
      <c r="X3303">
        <f t="shared" si="372"/>
        <v>0.812713739690203</v>
      </c>
      <c r="AH3303" t="str">
        <f t="shared" si="375"/>
        <v>2nd Quality</v>
      </c>
      <c r="AJ3303">
        <f>((T3303-X3303)*2)/16.4</f>
        <v>36.6391213453951</v>
      </c>
      <c r="AK3303">
        <f t="shared" si="373"/>
        <v>425972.461403509</v>
      </c>
    </row>
    <row r="3304" spans="1:37">
      <c r="A3304" t="s">
        <v>3370</v>
      </c>
      <c r="B3304">
        <v>41</v>
      </c>
      <c r="C3304" t="s">
        <v>50</v>
      </c>
      <c r="D3304" t="s">
        <v>45</v>
      </c>
      <c r="E3304">
        <v>679</v>
      </c>
      <c r="F3304">
        <v>65</v>
      </c>
      <c r="G3304">
        <v>13</v>
      </c>
      <c r="H3304">
        <v>2542.06</v>
      </c>
      <c r="I3304">
        <v>31646.19</v>
      </c>
      <c r="J3304">
        <v>89</v>
      </c>
      <c r="K3304">
        <v>0</v>
      </c>
      <c r="L3304">
        <v>24.9</v>
      </c>
      <c r="M3304">
        <v>49</v>
      </c>
      <c r="N3304" t="s">
        <v>63</v>
      </c>
      <c r="O3304" t="s">
        <v>53</v>
      </c>
      <c r="P3304" t="s">
        <v>66</v>
      </c>
      <c r="R3304">
        <f>SUMIF(A3304:A8303,"C03303",I3304:I8303)</f>
        <v>31646.19</v>
      </c>
      <c r="S3304" s="1">
        <v>76881.59</v>
      </c>
      <c r="T3304">
        <f t="shared" si="377"/>
        <v>355.575168539326</v>
      </c>
      <c r="U3304">
        <f t="shared" si="378"/>
        <v>4361</v>
      </c>
      <c r="V3304">
        <f t="shared" si="376"/>
        <v>363.416666666667</v>
      </c>
      <c r="W3304">
        <f t="shared" si="374"/>
        <v>11396.4166666667</v>
      </c>
      <c r="X3304">
        <f t="shared" si="372"/>
        <v>0.267106205203654</v>
      </c>
      <c r="AH3304" t="str">
        <f t="shared" si="375"/>
        <v>2nd Quality</v>
      </c>
      <c r="AJ3304">
        <f>((T3304-X3304)*2)/24.9</f>
        <v>28.5388001874797</v>
      </c>
      <c r="AK3304">
        <f t="shared" si="373"/>
        <v>241435.539438202</v>
      </c>
    </row>
    <row r="3305" spans="1:37">
      <c r="A3305" t="s">
        <v>3371</v>
      </c>
      <c r="B3305">
        <v>21</v>
      </c>
      <c r="C3305" t="s">
        <v>44</v>
      </c>
      <c r="D3305" t="s">
        <v>60</v>
      </c>
      <c r="E3305">
        <v>1395</v>
      </c>
      <c r="F3305">
        <v>262</v>
      </c>
      <c r="G3305">
        <v>1</v>
      </c>
      <c r="H3305">
        <v>2489.23</v>
      </c>
      <c r="I3305">
        <v>2352.75</v>
      </c>
      <c r="J3305">
        <v>18</v>
      </c>
      <c r="K3305">
        <v>0</v>
      </c>
      <c r="L3305">
        <v>19</v>
      </c>
      <c r="M3305">
        <v>18.4</v>
      </c>
      <c r="N3305" t="s">
        <v>46</v>
      </c>
      <c r="O3305" t="s">
        <v>47</v>
      </c>
      <c r="P3305" t="s">
        <v>58</v>
      </c>
      <c r="R3305">
        <f>SUMIF(A3305:A8304,"C03304",I3305:I8304)</f>
        <v>2352.75</v>
      </c>
      <c r="S3305" s="1">
        <v>129630.62</v>
      </c>
      <c r="T3305">
        <f t="shared" si="377"/>
        <v>130.708333333333</v>
      </c>
      <c r="U3305">
        <f t="shared" si="378"/>
        <v>331.2</v>
      </c>
      <c r="V3305">
        <f t="shared" si="376"/>
        <v>27.6</v>
      </c>
      <c r="W3305">
        <f t="shared" si="374"/>
        <v>1614.32666666667</v>
      </c>
      <c r="X3305">
        <f t="shared" si="372"/>
        <v>0.560414264652121</v>
      </c>
      <c r="AH3305" t="str">
        <f t="shared" si="375"/>
        <v>3rd Quality</v>
      </c>
      <c r="AJ3305">
        <f>((T3305-X3305)*2)/19</f>
        <v>13.699780954598</v>
      </c>
      <c r="AK3305">
        <f t="shared" si="373"/>
        <v>182338.125</v>
      </c>
    </row>
    <row r="3306" spans="1:37">
      <c r="A3306" t="s">
        <v>3372</v>
      </c>
      <c r="B3306">
        <v>43</v>
      </c>
      <c r="C3306" t="s">
        <v>44</v>
      </c>
      <c r="D3306" t="s">
        <v>60</v>
      </c>
      <c r="E3306">
        <v>845</v>
      </c>
      <c r="F3306">
        <v>12</v>
      </c>
      <c r="G3306">
        <v>1</v>
      </c>
      <c r="H3306">
        <v>919.82</v>
      </c>
      <c r="I3306">
        <v>986.93</v>
      </c>
      <c r="J3306">
        <v>12</v>
      </c>
      <c r="K3306">
        <v>0</v>
      </c>
      <c r="L3306">
        <v>42.6</v>
      </c>
      <c r="M3306">
        <v>20.9</v>
      </c>
      <c r="N3306" t="s">
        <v>52</v>
      </c>
      <c r="O3306" t="s">
        <v>47</v>
      </c>
      <c r="P3306" t="s">
        <v>68</v>
      </c>
      <c r="R3306">
        <f>SUMIF(A3306:A8305,"C03305",I3306:I8305)</f>
        <v>986.93</v>
      </c>
      <c r="S3306" s="1">
        <v>117259.27</v>
      </c>
      <c r="T3306">
        <f t="shared" si="377"/>
        <v>82.2441666666667</v>
      </c>
      <c r="U3306">
        <f t="shared" si="378"/>
        <v>250.8</v>
      </c>
      <c r="V3306">
        <f t="shared" si="376"/>
        <v>20.9</v>
      </c>
      <c r="W3306">
        <f t="shared" si="374"/>
        <v>635.916666666667</v>
      </c>
      <c r="X3306">
        <f t="shared" si="372"/>
        <v>0.918657998304016</v>
      </c>
      <c r="AH3306" t="str">
        <f t="shared" si="375"/>
        <v>3rd Quality</v>
      </c>
      <c r="AJ3306">
        <f>((T3306-X3306)*2)/42.6</f>
        <v>3.81809899851468</v>
      </c>
      <c r="AK3306">
        <f t="shared" si="373"/>
        <v>69496.3208333333</v>
      </c>
    </row>
    <row r="3307" spans="1:37">
      <c r="A3307" t="s">
        <v>3373</v>
      </c>
      <c r="B3307">
        <v>32</v>
      </c>
      <c r="C3307" t="s">
        <v>50</v>
      </c>
      <c r="D3307" t="s">
        <v>60</v>
      </c>
      <c r="E3307">
        <v>650</v>
      </c>
      <c r="F3307">
        <v>4</v>
      </c>
      <c r="G3307">
        <v>30</v>
      </c>
      <c r="H3307">
        <v>2657.34</v>
      </c>
      <c r="I3307">
        <v>76881.59</v>
      </c>
      <c r="J3307">
        <v>221</v>
      </c>
      <c r="K3307">
        <v>0</v>
      </c>
      <c r="L3307">
        <v>5.2</v>
      </c>
      <c r="M3307">
        <v>63.1</v>
      </c>
      <c r="N3307" t="s">
        <v>57</v>
      </c>
      <c r="O3307" t="s">
        <v>47</v>
      </c>
      <c r="P3307" t="s">
        <v>68</v>
      </c>
      <c r="R3307">
        <f>SUMIF(A3307:A8306,"C03306",I3307:I8306)</f>
        <v>76881.59</v>
      </c>
      <c r="S3307" s="1">
        <v>39459.6</v>
      </c>
      <c r="T3307">
        <f t="shared" si="377"/>
        <v>347.880497737557</v>
      </c>
      <c r="U3307">
        <f t="shared" si="378"/>
        <v>13945.1</v>
      </c>
      <c r="V3307">
        <f t="shared" si="376"/>
        <v>1162.09166666667</v>
      </c>
      <c r="W3307">
        <f t="shared" si="374"/>
        <v>26513.31</v>
      </c>
      <c r="X3307">
        <f t="shared" si="372"/>
        <v>0.244605507763402</v>
      </c>
      <c r="AH3307" t="str">
        <f t="shared" si="375"/>
        <v>2nd Quality</v>
      </c>
      <c r="AJ3307">
        <f>((T3307-X3307)*2)/5.2</f>
        <v>133.706112396074</v>
      </c>
      <c r="AK3307">
        <f t="shared" si="373"/>
        <v>226122.323529412</v>
      </c>
    </row>
    <row r="3308" spans="1:37">
      <c r="A3308" t="s">
        <v>3374</v>
      </c>
      <c r="B3308">
        <v>38</v>
      </c>
      <c r="C3308" t="s">
        <v>44</v>
      </c>
      <c r="D3308" t="s">
        <v>45</v>
      </c>
      <c r="E3308">
        <v>1049</v>
      </c>
      <c r="F3308">
        <v>2</v>
      </c>
      <c r="G3308">
        <v>35</v>
      </c>
      <c r="H3308">
        <v>3648.5</v>
      </c>
      <c r="I3308">
        <v>129630.62</v>
      </c>
      <c r="J3308">
        <v>216</v>
      </c>
      <c r="K3308">
        <v>1</v>
      </c>
      <c r="L3308">
        <v>12.7</v>
      </c>
      <c r="M3308">
        <v>32.7</v>
      </c>
      <c r="N3308" t="s">
        <v>63</v>
      </c>
      <c r="O3308" t="s">
        <v>47</v>
      </c>
      <c r="P3308" t="s">
        <v>68</v>
      </c>
      <c r="R3308">
        <f>SUMIF(A3308:A8307,"C03307",I3308:I8307)</f>
        <v>129630.62</v>
      </c>
      <c r="S3308" s="1">
        <v>92074.76</v>
      </c>
      <c r="T3308">
        <f t="shared" si="377"/>
        <v>600.141759259259</v>
      </c>
      <c r="U3308">
        <f t="shared" si="378"/>
        <v>7063.2</v>
      </c>
      <c r="V3308">
        <f>U3308*1</f>
        <v>7063.2</v>
      </c>
      <c r="W3308">
        <f t="shared" si="374"/>
        <v>44426.7066666667</v>
      </c>
      <c r="X3308">
        <f t="shared" si="372"/>
        <v>0.287515417294779</v>
      </c>
      <c r="AH3308" t="str">
        <f t="shared" si="375"/>
        <v>2nd Quality</v>
      </c>
      <c r="AJ3308">
        <f>((T3308-X3308)*2)/12.7</f>
        <v>94.465235250703</v>
      </c>
      <c r="AK3308">
        <f t="shared" si="373"/>
        <v>629548.705462963</v>
      </c>
    </row>
    <row r="3309" spans="1:37">
      <c r="A3309" t="s">
        <v>3375</v>
      </c>
      <c r="B3309">
        <v>43</v>
      </c>
      <c r="C3309" t="s">
        <v>50</v>
      </c>
      <c r="D3309" t="s">
        <v>60</v>
      </c>
      <c r="E3309">
        <v>1039</v>
      </c>
      <c r="F3309">
        <v>8</v>
      </c>
      <c r="G3309">
        <v>23</v>
      </c>
      <c r="H3309">
        <v>4962.4</v>
      </c>
      <c r="I3309">
        <v>117259.27</v>
      </c>
      <c r="J3309">
        <v>123</v>
      </c>
      <c r="K3309">
        <v>2</v>
      </c>
      <c r="L3309">
        <v>0</v>
      </c>
      <c r="M3309">
        <v>23.5</v>
      </c>
      <c r="N3309" t="s">
        <v>61</v>
      </c>
      <c r="O3309" t="s">
        <v>47</v>
      </c>
      <c r="P3309" t="s">
        <v>68</v>
      </c>
      <c r="R3309">
        <f>SUMIF(A3309:A8308,"C03308",I3309:I8308)</f>
        <v>117259.27</v>
      </c>
      <c r="S3309" s="1">
        <v>2329.91</v>
      </c>
      <c r="T3309">
        <f t="shared" si="377"/>
        <v>953.327398373984</v>
      </c>
      <c r="U3309">
        <f t="shared" si="378"/>
        <v>2890.5</v>
      </c>
      <c r="V3309">
        <f>U3309*2</f>
        <v>5781</v>
      </c>
      <c r="W3309">
        <f t="shared" si="374"/>
        <v>40740.89</v>
      </c>
      <c r="X3309">
        <f t="shared" si="372"/>
        <v>0.209374496211511</v>
      </c>
      <c r="AH3309" t="str">
        <f t="shared" si="375"/>
        <v>2nd Quality</v>
      </c>
      <c r="AJ3309">
        <f>((T3309-X3309)*2)</f>
        <v>1906.23604775555</v>
      </c>
      <c r="AK3309">
        <f t="shared" si="373"/>
        <v>990507.166910569</v>
      </c>
    </row>
    <row r="3310" spans="1:37">
      <c r="A3310" t="s">
        <v>3376</v>
      </c>
      <c r="B3310">
        <v>39</v>
      </c>
      <c r="C3310" t="s">
        <v>44</v>
      </c>
      <c r="D3310" t="s">
        <v>60</v>
      </c>
      <c r="E3310">
        <v>1350</v>
      </c>
      <c r="F3310">
        <v>7</v>
      </c>
      <c r="G3310">
        <v>4</v>
      </c>
      <c r="H3310">
        <v>10376.77</v>
      </c>
      <c r="I3310">
        <v>39459.6</v>
      </c>
      <c r="J3310">
        <v>31</v>
      </c>
      <c r="K3310">
        <v>0</v>
      </c>
      <c r="L3310">
        <v>0</v>
      </c>
      <c r="M3310">
        <v>13.2</v>
      </c>
      <c r="N3310" t="s">
        <v>57</v>
      </c>
      <c r="O3310" t="s">
        <v>47</v>
      </c>
      <c r="P3310" t="s">
        <v>58</v>
      </c>
      <c r="R3310">
        <f>SUMIF(A3310:A8309,"C03309",I3310:I8309)</f>
        <v>39459.6</v>
      </c>
      <c r="S3310" s="1">
        <v>8614.06</v>
      </c>
      <c r="T3310">
        <f t="shared" si="377"/>
        <v>1272.89032258065</v>
      </c>
      <c r="U3310">
        <f t="shared" si="378"/>
        <v>409.2</v>
      </c>
      <c r="V3310">
        <f t="shared" si="376"/>
        <v>34.1</v>
      </c>
      <c r="W3310">
        <f t="shared" si="374"/>
        <v>16612.4566666667</v>
      </c>
      <c r="X3310">
        <f t="shared" si="372"/>
        <v>0.130098286846485</v>
      </c>
      <c r="AH3310" t="str">
        <f t="shared" si="375"/>
        <v>2nd Quality</v>
      </c>
      <c r="AJ3310">
        <f>((T3310-X3310)*2)</f>
        <v>2545.52044858761</v>
      </c>
      <c r="AK3310">
        <f t="shared" si="373"/>
        <v>1718401.93548387</v>
      </c>
    </row>
    <row r="3311" spans="1:37">
      <c r="A3311" t="s">
        <v>3377</v>
      </c>
      <c r="B3311">
        <v>27</v>
      </c>
      <c r="C3311" t="s">
        <v>44</v>
      </c>
      <c r="D3311" t="s">
        <v>45</v>
      </c>
      <c r="E3311">
        <v>1422</v>
      </c>
      <c r="F3311">
        <v>5</v>
      </c>
      <c r="G3311">
        <v>31</v>
      </c>
      <c r="H3311">
        <v>3076.67</v>
      </c>
      <c r="I3311">
        <v>92074.76</v>
      </c>
      <c r="J3311">
        <v>103</v>
      </c>
      <c r="K3311">
        <v>2</v>
      </c>
      <c r="L3311">
        <v>18.3</v>
      </c>
      <c r="M3311">
        <v>51.4</v>
      </c>
      <c r="N3311" t="s">
        <v>52</v>
      </c>
      <c r="O3311" t="s">
        <v>47</v>
      </c>
      <c r="P3311" t="s">
        <v>58</v>
      </c>
      <c r="R3311">
        <f>SUMIF(A3311:A8310,"C03310",I3311:I8310)</f>
        <v>92074.76</v>
      </c>
      <c r="S3311" s="1">
        <v>25955.87</v>
      </c>
      <c r="T3311">
        <f t="shared" si="377"/>
        <v>893.929708737864</v>
      </c>
      <c r="U3311">
        <f t="shared" si="378"/>
        <v>5294.2</v>
      </c>
      <c r="V3311">
        <f>U3311*2</f>
        <v>10588.4</v>
      </c>
      <c r="W3311">
        <f t="shared" si="374"/>
        <v>31717.4766666667</v>
      </c>
      <c r="X3311">
        <f t="shared" si="372"/>
        <v>0.462188014964231</v>
      </c>
      <c r="AH3311" t="str">
        <f t="shared" si="375"/>
        <v>1st Quality</v>
      </c>
      <c r="AJ3311">
        <f>((T3311-X3311)*2)/18.3</f>
        <v>97.6467235762732</v>
      </c>
      <c r="AK3311">
        <f t="shared" si="373"/>
        <v>1271168.04582524</v>
      </c>
    </row>
    <row r="3312" spans="1:37">
      <c r="A3312" t="s">
        <v>3378</v>
      </c>
      <c r="B3312">
        <v>50</v>
      </c>
      <c r="C3312" t="s">
        <v>50</v>
      </c>
      <c r="D3312" t="s">
        <v>60</v>
      </c>
      <c r="E3312">
        <v>1094</v>
      </c>
      <c r="F3312">
        <v>113</v>
      </c>
      <c r="G3312">
        <v>2</v>
      </c>
      <c r="H3312">
        <v>1309.28</v>
      </c>
      <c r="I3312">
        <v>2329.91</v>
      </c>
      <c r="J3312">
        <v>17</v>
      </c>
      <c r="K3312">
        <v>0</v>
      </c>
      <c r="L3312">
        <v>24.7</v>
      </c>
      <c r="M3312">
        <v>51.9</v>
      </c>
      <c r="N3312" t="s">
        <v>63</v>
      </c>
      <c r="O3312" t="s">
        <v>47</v>
      </c>
      <c r="P3312" t="s">
        <v>58</v>
      </c>
      <c r="R3312">
        <f>SUMIF(A3312:A8311,"C03311",I3312:I8311)</f>
        <v>2329.91</v>
      </c>
      <c r="S3312" s="1">
        <v>28898.62</v>
      </c>
      <c r="T3312">
        <f t="shared" si="377"/>
        <v>137.053529411765</v>
      </c>
      <c r="U3312">
        <f t="shared" si="378"/>
        <v>882.3</v>
      </c>
      <c r="V3312">
        <f t="shared" si="376"/>
        <v>73.525</v>
      </c>
      <c r="W3312">
        <f t="shared" si="374"/>
        <v>1213.39666666667</v>
      </c>
      <c r="X3312">
        <f t="shared" si="372"/>
        <v>0.835573750458267</v>
      </c>
      <c r="AH3312" t="str">
        <f t="shared" si="375"/>
        <v>3rd Quality</v>
      </c>
      <c r="AJ3312">
        <f>((T3312-X3312)*2)/24.7</f>
        <v>11.0297939806726</v>
      </c>
      <c r="AK3312">
        <f t="shared" si="373"/>
        <v>149936.561176471</v>
      </c>
    </row>
    <row r="3313" spans="1:37">
      <c r="A3313" t="s">
        <v>3379</v>
      </c>
      <c r="B3313">
        <v>31</v>
      </c>
      <c r="C3313" t="s">
        <v>50</v>
      </c>
      <c r="D3313" t="s">
        <v>45</v>
      </c>
      <c r="E3313">
        <v>1056</v>
      </c>
      <c r="F3313">
        <v>365</v>
      </c>
      <c r="G3313">
        <v>2</v>
      </c>
      <c r="H3313">
        <v>4547.65</v>
      </c>
      <c r="I3313">
        <v>8614.06</v>
      </c>
      <c r="J3313">
        <v>17</v>
      </c>
      <c r="K3313">
        <v>0</v>
      </c>
      <c r="L3313">
        <v>20.1</v>
      </c>
      <c r="M3313">
        <v>48.5</v>
      </c>
      <c r="N3313" t="s">
        <v>81</v>
      </c>
      <c r="O3313" t="s">
        <v>47</v>
      </c>
      <c r="P3313" t="s">
        <v>58</v>
      </c>
      <c r="R3313">
        <f>SUMIF(A3313:A8312,"C03312",I3313:I8312)</f>
        <v>8614.06</v>
      </c>
      <c r="S3313" s="1">
        <v>12386.42</v>
      </c>
      <c r="T3313">
        <f t="shared" si="377"/>
        <v>506.709411764706</v>
      </c>
      <c r="U3313">
        <f t="shared" si="378"/>
        <v>824.5</v>
      </c>
      <c r="V3313">
        <f t="shared" si="376"/>
        <v>68.7083333333333</v>
      </c>
      <c r="W3313">
        <f t="shared" si="374"/>
        <v>4387.57</v>
      </c>
      <c r="X3313">
        <f t="shared" si="372"/>
        <v>0.232207843611536</v>
      </c>
      <c r="AH3313" t="str">
        <f t="shared" si="375"/>
        <v>3rd Quality</v>
      </c>
      <c r="AJ3313">
        <f>((T3313-X3313)*2)/20.1</f>
        <v>50.395741683691</v>
      </c>
      <c r="AK3313">
        <f t="shared" si="373"/>
        <v>535085.138823529</v>
      </c>
    </row>
    <row r="3314" spans="1:37">
      <c r="A3314" t="s">
        <v>3380</v>
      </c>
      <c r="B3314">
        <v>25</v>
      </c>
      <c r="C3314" t="s">
        <v>44</v>
      </c>
      <c r="D3314" t="s">
        <v>45</v>
      </c>
      <c r="E3314">
        <v>683</v>
      </c>
      <c r="F3314">
        <v>17</v>
      </c>
      <c r="G3314">
        <v>4</v>
      </c>
      <c r="H3314">
        <v>6771.6</v>
      </c>
      <c r="I3314">
        <v>25955.87</v>
      </c>
      <c r="J3314">
        <v>41</v>
      </c>
      <c r="K3314">
        <v>0</v>
      </c>
      <c r="L3314">
        <v>13.9</v>
      </c>
      <c r="M3314">
        <v>28.3</v>
      </c>
      <c r="N3314" t="s">
        <v>46</v>
      </c>
      <c r="O3314" t="s">
        <v>47</v>
      </c>
      <c r="P3314" t="s">
        <v>48</v>
      </c>
      <c r="R3314">
        <f>SUMIF(A3314:A8313,"C03313",I3314:I8313)</f>
        <v>25955.87</v>
      </c>
      <c r="S3314" s="1">
        <v>87418.68</v>
      </c>
      <c r="T3314">
        <f t="shared" si="377"/>
        <v>633.07</v>
      </c>
      <c r="U3314">
        <f t="shared" si="378"/>
        <v>1160.3</v>
      </c>
      <c r="V3314">
        <f t="shared" si="376"/>
        <v>96.6916666666667</v>
      </c>
      <c r="W3314">
        <f t="shared" si="374"/>
        <v>10909.49</v>
      </c>
      <c r="X3314">
        <f t="shared" si="372"/>
        <v>0.100862425423829</v>
      </c>
      <c r="AH3314" t="str">
        <f t="shared" si="375"/>
        <v>2nd Quality</v>
      </c>
      <c r="AJ3314">
        <f>((T3314-X3314)*2)/13.9</f>
        <v>91.0746960538958</v>
      </c>
      <c r="AK3314">
        <f t="shared" si="373"/>
        <v>432386.81</v>
      </c>
    </row>
    <row r="3315" spans="1:37">
      <c r="A3315" t="s">
        <v>3381</v>
      </c>
      <c r="B3315">
        <v>39</v>
      </c>
      <c r="C3315" t="s">
        <v>44</v>
      </c>
      <c r="D3315" t="s">
        <v>60</v>
      </c>
      <c r="E3315">
        <v>611</v>
      </c>
      <c r="F3315">
        <v>102</v>
      </c>
      <c r="G3315">
        <v>5</v>
      </c>
      <c r="H3315">
        <v>6537.9</v>
      </c>
      <c r="I3315">
        <v>28898.62</v>
      </c>
      <c r="J3315">
        <v>20</v>
      </c>
      <c r="K3315">
        <v>0</v>
      </c>
      <c r="L3315">
        <v>0</v>
      </c>
      <c r="M3315">
        <v>29.4</v>
      </c>
      <c r="N3315" t="s">
        <v>52</v>
      </c>
      <c r="O3315" t="s">
        <v>47</v>
      </c>
      <c r="P3315" t="s">
        <v>66</v>
      </c>
      <c r="R3315">
        <f>SUMIF(A3315:A8314,"C03314",I3315:I8314)</f>
        <v>28898.62</v>
      </c>
      <c r="S3315" s="1">
        <v>3470.59</v>
      </c>
      <c r="T3315">
        <f t="shared" si="377"/>
        <v>1444.931</v>
      </c>
      <c r="U3315">
        <f t="shared" si="378"/>
        <v>588</v>
      </c>
      <c r="V3315">
        <f t="shared" si="376"/>
        <v>49</v>
      </c>
      <c r="W3315">
        <f t="shared" si="374"/>
        <v>11812.5066666667</v>
      </c>
      <c r="X3315">
        <f t="shared" si="372"/>
        <v>0.0934550849661206</v>
      </c>
      <c r="AH3315" t="str">
        <f t="shared" si="375"/>
        <v>2nd Quality</v>
      </c>
      <c r="AJ3315">
        <f>((T3315-X3315)*2)</f>
        <v>2889.67508983007</v>
      </c>
      <c r="AK3315">
        <f t="shared" si="373"/>
        <v>882852.841</v>
      </c>
    </row>
    <row r="3316" spans="1:37">
      <c r="A3316" t="s">
        <v>3382</v>
      </c>
      <c r="B3316">
        <v>25</v>
      </c>
      <c r="C3316" t="s">
        <v>101</v>
      </c>
      <c r="D3316" t="s">
        <v>45</v>
      </c>
      <c r="E3316">
        <v>1018</v>
      </c>
      <c r="F3316">
        <v>23</v>
      </c>
      <c r="G3316">
        <v>8</v>
      </c>
      <c r="H3316">
        <v>1436.86</v>
      </c>
      <c r="I3316">
        <v>12386.42</v>
      </c>
      <c r="J3316">
        <v>20</v>
      </c>
      <c r="K3316">
        <v>0</v>
      </c>
      <c r="L3316">
        <v>33.6</v>
      </c>
      <c r="M3316">
        <v>22.2</v>
      </c>
      <c r="N3316" t="s">
        <v>63</v>
      </c>
      <c r="O3316" t="s">
        <v>47</v>
      </c>
      <c r="P3316" t="s">
        <v>66</v>
      </c>
      <c r="R3316">
        <f>SUMIF(A3316:A8315,"C03315",I3316:I8315)</f>
        <v>12386.42</v>
      </c>
      <c r="S3316" s="1">
        <v>98059.61</v>
      </c>
      <c r="T3316">
        <f t="shared" si="377"/>
        <v>619.321</v>
      </c>
      <c r="U3316">
        <f t="shared" si="378"/>
        <v>444</v>
      </c>
      <c r="V3316">
        <f t="shared" si="376"/>
        <v>37</v>
      </c>
      <c r="W3316">
        <f t="shared" si="374"/>
        <v>4608.09333333333</v>
      </c>
      <c r="X3316">
        <f t="shared" si="372"/>
        <v>0.708489344821347</v>
      </c>
      <c r="AH3316" t="str">
        <f t="shared" si="375"/>
        <v>3rd Quality</v>
      </c>
      <c r="AJ3316">
        <f>((T3316-X3316)*2)/33.6</f>
        <v>36.8221732532844</v>
      </c>
      <c r="AK3316">
        <f t="shared" si="373"/>
        <v>630468.778</v>
      </c>
    </row>
    <row r="3317" spans="1:37">
      <c r="A3317" t="s">
        <v>3383</v>
      </c>
      <c r="B3317">
        <v>19</v>
      </c>
      <c r="C3317" t="s">
        <v>50</v>
      </c>
      <c r="D3317" t="s">
        <v>51</v>
      </c>
      <c r="E3317">
        <v>1126</v>
      </c>
      <c r="F3317">
        <v>14</v>
      </c>
      <c r="G3317">
        <v>27</v>
      </c>
      <c r="H3317">
        <v>2963.64</v>
      </c>
      <c r="I3317">
        <v>87418.68</v>
      </c>
      <c r="J3317">
        <v>87</v>
      </c>
      <c r="K3317">
        <v>2</v>
      </c>
      <c r="L3317">
        <v>1.8</v>
      </c>
      <c r="M3317">
        <v>34</v>
      </c>
      <c r="N3317" t="s">
        <v>61</v>
      </c>
      <c r="O3317" t="s">
        <v>75</v>
      </c>
      <c r="P3317" t="s">
        <v>58</v>
      </c>
      <c r="R3317">
        <f>SUMIF(A3317:A8316,"C03316",I3317:I8316)</f>
        <v>87418.68</v>
      </c>
      <c r="S3317" s="1">
        <v>83543.21</v>
      </c>
      <c r="T3317">
        <f t="shared" si="377"/>
        <v>1004.8124137931</v>
      </c>
      <c r="U3317">
        <f t="shared" si="378"/>
        <v>2958</v>
      </c>
      <c r="V3317">
        <f>U3317*2</f>
        <v>5916</v>
      </c>
      <c r="W3317">
        <f t="shared" si="374"/>
        <v>30127.7733333333</v>
      </c>
      <c r="X3317">
        <f t="shared" si="372"/>
        <v>0.379938184124927</v>
      </c>
      <c r="AH3317" t="str">
        <f t="shared" si="375"/>
        <v>1st Quality</v>
      </c>
      <c r="AJ3317">
        <f>((T3317-X3317)*2)/1.8</f>
        <v>1116.03608400997</v>
      </c>
      <c r="AK3317">
        <f t="shared" si="373"/>
        <v>1131418.77793103</v>
      </c>
    </row>
    <row r="3318" spans="1:37">
      <c r="A3318" t="s">
        <v>3384</v>
      </c>
      <c r="B3318">
        <v>26</v>
      </c>
      <c r="C3318" t="s">
        <v>50</v>
      </c>
      <c r="D3318" t="s">
        <v>45</v>
      </c>
      <c r="E3318">
        <v>771</v>
      </c>
      <c r="F3318">
        <v>105</v>
      </c>
      <c r="G3318">
        <v>3</v>
      </c>
      <c r="H3318">
        <v>1253.99</v>
      </c>
      <c r="I3318">
        <v>3470.59</v>
      </c>
      <c r="J3318">
        <v>28</v>
      </c>
      <c r="K3318">
        <v>0</v>
      </c>
      <c r="L3318">
        <v>31.3</v>
      </c>
      <c r="M3318">
        <v>37.1</v>
      </c>
      <c r="N3318" t="s">
        <v>81</v>
      </c>
      <c r="O3318" t="s">
        <v>47</v>
      </c>
      <c r="P3318" t="s">
        <v>58</v>
      </c>
      <c r="R3318">
        <f>SUMIF(A3318:A8317,"C03317",I3318:I8317)</f>
        <v>3470.59</v>
      </c>
      <c r="S3318" s="1">
        <v>8303.21</v>
      </c>
      <c r="T3318">
        <f t="shared" si="377"/>
        <v>123.949642857143</v>
      </c>
      <c r="U3318">
        <f t="shared" si="378"/>
        <v>1038.8</v>
      </c>
      <c r="V3318">
        <f t="shared" si="376"/>
        <v>86.5666666666667</v>
      </c>
      <c r="W3318">
        <f t="shared" si="374"/>
        <v>1575.19333333333</v>
      </c>
      <c r="X3318">
        <f t="shared" si="372"/>
        <v>0.614837438895047</v>
      </c>
      <c r="AH3318" t="str">
        <f t="shared" si="375"/>
        <v>3rd Quality</v>
      </c>
      <c r="AJ3318">
        <f>((T3318-X3318)*2)/31.3</f>
        <v>7.88081823758773</v>
      </c>
      <c r="AK3318">
        <f t="shared" si="373"/>
        <v>95565.1746428571</v>
      </c>
    </row>
    <row r="3319" spans="1:37">
      <c r="A3319" t="s">
        <v>3385</v>
      </c>
      <c r="B3319">
        <v>34</v>
      </c>
      <c r="C3319" t="s">
        <v>44</v>
      </c>
      <c r="D3319" t="s">
        <v>51</v>
      </c>
      <c r="E3319">
        <v>927</v>
      </c>
      <c r="F3319">
        <v>10</v>
      </c>
      <c r="G3319">
        <v>20</v>
      </c>
      <c r="H3319">
        <v>4781.97</v>
      </c>
      <c r="I3319">
        <v>98059.61</v>
      </c>
      <c r="J3319">
        <v>63</v>
      </c>
      <c r="K3319">
        <v>1</v>
      </c>
      <c r="L3319">
        <v>28.4</v>
      </c>
      <c r="M3319">
        <v>53.6</v>
      </c>
      <c r="N3319" t="s">
        <v>46</v>
      </c>
      <c r="O3319" t="s">
        <v>47</v>
      </c>
      <c r="P3319" t="s">
        <v>58</v>
      </c>
      <c r="R3319">
        <f>SUMIF(A3319:A8318,"C03318",I3319:I8318)</f>
        <v>98059.61</v>
      </c>
      <c r="S3319" s="1">
        <v>50821.56</v>
      </c>
      <c r="T3319">
        <f t="shared" si="377"/>
        <v>1556.50174603175</v>
      </c>
      <c r="U3319">
        <f t="shared" si="378"/>
        <v>3376.8</v>
      </c>
      <c r="V3319">
        <f>U3319*1</f>
        <v>3376.8</v>
      </c>
      <c r="W3319">
        <f t="shared" si="374"/>
        <v>34280.86</v>
      </c>
      <c r="X3319">
        <f t="shared" si="372"/>
        <v>0.193853160935765</v>
      </c>
      <c r="AH3319" t="str">
        <f t="shared" si="375"/>
        <v>2nd Quality</v>
      </c>
      <c r="AJ3319">
        <f>((T3319-X3319)*2)/28.4</f>
        <v>109.599147385269</v>
      </c>
      <c r="AK3319">
        <f t="shared" si="373"/>
        <v>1442877.11857143</v>
      </c>
    </row>
    <row r="3320" spans="1:37">
      <c r="A3320" t="s">
        <v>3386</v>
      </c>
      <c r="B3320">
        <v>26</v>
      </c>
      <c r="C3320" t="s">
        <v>44</v>
      </c>
      <c r="D3320" t="s">
        <v>45</v>
      </c>
      <c r="E3320">
        <v>996</v>
      </c>
      <c r="F3320">
        <v>17</v>
      </c>
      <c r="G3320">
        <v>42</v>
      </c>
      <c r="H3320">
        <v>2017.22</v>
      </c>
      <c r="I3320">
        <v>83543.21</v>
      </c>
      <c r="J3320">
        <v>216</v>
      </c>
      <c r="K3320">
        <v>1</v>
      </c>
      <c r="L3320">
        <v>2.8</v>
      </c>
      <c r="M3320">
        <v>31.6</v>
      </c>
      <c r="N3320" t="s">
        <v>52</v>
      </c>
      <c r="O3320" t="s">
        <v>47</v>
      </c>
      <c r="P3320" t="s">
        <v>66</v>
      </c>
      <c r="R3320">
        <f>SUMIF(A3320:A8319,"C03319",I3320:I8319)</f>
        <v>83543.21</v>
      </c>
      <c r="S3320" s="1">
        <v>11341.71</v>
      </c>
      <c r="T3320">
        <f t="shared" si="377"/>
        <v>386.77412037037</v>
      </c>
      <c r="U3320">
        <f t="shared" si="378"/>
        <v>6825.6</v>
      </c>
      <c r="V3320">
        <f>U3320*1</f>
        <v>6825.6</v>
      </c>
      <c r="W3320">
        <f t="shared" si="374"/>
        <v>28520.4766666667</v>
      </c>
      <c r="X3320">
        <f t="shared" ref="X3320:X3383" si="379">E3320/H3320</f>
        <v>0.493748822637095</v>
      </c>
      <c r="AH3320" t="str">
        <f t="shared" si="375"/>
        <v>1st Quality</v>
      </c>
      <c r="AJ3320">
        <f>((T3320-X3320)*2)/2.8</f>
        <v>275.914551105524</v>
      </c>
      <c r="AK3320">
        <f t="shared" si="373"/>
        <v>385227.023888889</v>
      </c>
    </row>
    <row r="3321" spans="1:37">
      <c r="A3321" t="s">
        <v>3387</v>
      </c>
      <c r="B3321">
        <v>30</v>
      </c>
      <c r="C3321" t="s">
        <v>50</v>
      </c>
      <c r="D3321" t="s">
        <v>51</v>
      </c>
      <c r="E3321">
        <v>908</v>
      </c>
      <c r="F3321">
        <v>32</v>
      </c>
      <c r="G3321">
        <v>9</v>
      </c>
      <c r="H3321">
        <v>1013.07</v>
      </c>
      <c r="I3321">
        <v>8303.21</v>
      </c>
      <c r="J3321">
        <v>32</v>
      </c>
      <c r="K3321">
        <v>0</v>
      </c>
      <c r="L3321">
        <v>31.4</v>
      </c>
      <c r="M3321">
        <v>19.5</v>
      </c>
      <c r="N3321" t="s">
        <v>63</v>
      </c>
      <c r="O3321" t="s">
        <v>47</v>
      </c>
      <c r="P3321" t="s">
        <v>48</v>
      </c>
      <c r="R3321">
        <f>SUMIF(A3321:A8320,"C03320",I3321:I8320)</f>
        <v>8303.21</v>
      </c>
      <c r="S3321" s="1">
        <v>899.35</v>
      </c>
      <c r="T3321">
        <f t="shared" si="377"/>
        <v>259.4753125</v>
      </c>
      <c r="U3321">
        <f t="shared" si="378"/>
        <v>624</v>
      </c>
      <c r="V3321">
        <f t="shared" si="376"/>
        <v>52</v>
      </c>
      <c r="W3321">
        <f t="shared" si="374"/>
        <v>3105.76</v>
      </c>
      <c r="X3321">
        <f t="shared" si="379"/>
        <v>0.89628554788909</v>
      </c>
      <c r="AH3321" t="str">
        <f t="shared" si="375"/>
        <v>3rd Quality</v>
      </c>
      <c r="AJ3321">
        <f>((T3321-X3321)*2)/31.4</f>
        <v>16.470001716695</v>
      </c>
      <c r="AK3321">
        <f t="shared" si="373"/>
        <v>235603.58375</v>
      </c>
    </row>
    <row r="3322" spans="1:37">
      <c r="A3322" t="s">
        <v>3388</v>
      </c>
      <c r="B3322">
        <v>18</v>
      </c>
      <c r="C3322" t="s">
        <v>50</v>
      </c>
      <c r="D3322" t="s">
        <v>45</v>
      </c>
      <c r="E3322">
        <v>420</v>
      </c>
      <c r="F3322">
        <v>5</v>
      </c>
      <c r="G3322">
        <v>25</v>
      </c>
      <c r="H3322">
        <v>2294.45</v>
      </c>
      <c r="I3322">
        <v>50821.56</v>
      </c>
      <c r="J3322">
        <v>184</v>
      </c>
      <c r="K3322">
        <v>3</v>
      </c>
      <c r="L3322">
        <v>15.8</v>
      </c>
      <c r="M3322">
        <v>28.1</v>
      </c>
      <c r="N3322" t="s">
        <v>46</v>
      </c>
      <c r="O3322" t="s">
        <v>75</v>
      </c>
      <c r="P3322" t="s">
        <v>58</v>
      </c>
      <c r="R3322">
        <f>SUMIF(A3322:A8321,"C03321",I3322:I8321)</f>
        <v>50821.56</v>
      </c>
      <c r="S3322" s="1">
        <v>2422.07</v>
      </c>
      <c r="T3322">
        <f t="shared" si="377"/>
        <v>276.204130434783</v>
      </c>
      <c r="U3322">
        <f t="shared" si="378"/>
        <v>5170.4</v>
      </c>
      <c r="V3322">
        <f>U3322*3</f>
        <v>15511.2</v>
      </c>
      <c r="W3322">
        <f t="shared" si="374"/>
        <v>17705.67</v>
      </c>
      <c r="X3322">
        <f t="shared" si="379"/>
        <v>0.183050404236309</v>
      </c>
      <c r="AH3322" t="str">
        <f t="shared" si="375"/>
        <v>3rd Quality</v>
      </c>
      <c r="AJ3322">
        <f>((T3322-X3322)*2)/15.8</f>
        <v>34.9393772190565</v>
      </c>
      <c r="AK3322">
        <f t="shared" si="373"/>
        <v>116005.734782609</v>
      </c>
    </row>
    <row r="3323" spans="1:37">
      <c r="A3323" t="s">
        <v>3389</v>
      </c>
      <c r="B3323">
        <v>47</v>
      </c>
      <c r="C3323" t="s">
        <v>44</v>
      </c>
      <c r="D3323" t="s">
        <v>51</v>
      </c>
      <c r="E3323">
        <v>902</v>
      </c>
      <c r="F3323">
        <v>55</v>
      </c>
      <c r="G3323">
        <v>6</v>
      </c>
      <c r="H3323">
        <v>1818.89</v>
      </c>
      <c r="I3323">
        <v>11341.71</v>
      </c>
      <c r="J3323">
        <v>36</v>
      </c>
      <c r="K3323">
        <v>1</v>
      </c>
      <c r="L3323">
        <v>18.3</v>
      </c>
      <c r="M3323">
        <v>3.3</v>
      </c>
      <c r="N3323" t="s">
        <v>81</v>
      </c>
      <c r="O3323" t="s">
        <v>47</v>
      </c>
      <c r="P3323" t="s">
        <v>68</v>
      </c>
      <c r="R3323">
        <f>SUMIF(A3323:A8322,"C03322",I3323:I8322)</f>
        <v>11341.71</v>
      </c>
      <c r="S3323" s="1">
        <v>66187.45</v>
      </c>
      <c r="T3323">
        <f t="shared" si="377"/>
        <v>315.0475</v>
      </c>
      <c r="U3323">
        <f t="shared" si="378"/>
        <v>118.8</v>
      </c>
      <c r="V3323">
        <f>U3323*1</f>
        <v>118.8</v>
      </c>
      <c r="W3323">
        <f t="shared" si="374"/>
        <v>4387.2</v>
      </c>
      <c r="X3323">
        <f t="shared" si="379"/>
        <v>0.495906844284151</v>
      </c>
      <c r="AH3323" t="str">
        <f t="shared" si="375"/>
        <v>3rd Quality</v>
      </c>
      <c r="AJ3323">
        <f>((T3323-X3323)*2)/18.3</f>
        <v>34.3772232957066</v>
      </c>
      <c r="AK3323">
        <f t="shared" si="373"/>
        <v>284172.845</v>
      </c>
    </row>
    <row r="3324" spans="1:37">
      <c r="A3324" t="s">
        <v>3390</v>
      </c>
      <c r="B3324">
        <v>34</v>
      </c>
      <c r="C3324" t="s">
        <v>44</v>
      </c>
      <c r="D3324" t="s">
        <v>60</v>
      </c>
      <c r="E3324">
        <v>603</v>
      </c>
      <c r="F3324">
        <v>36</v>
      </c>
      <c r="G3324">
        <v>1</v>
      </c>
      <c r="H3324">
        <v>1000.25</v>
      </c>
      <c r="I3324">
        <v>899.35</v>
      </c>
      <c r="J3324">
        <v>20</v>
      </c>
      <c r="K3324">
        <v>0</v>
      </c>
      <c r="L3324">
        <v>43.6</v>
      </c>
      <c r="M3324">
        <v>16.3</v>
      </c>
      <c r="N3324" t="s">
        <v>57</v>
      </c>
      <c r="O3324" t="s">
        <v>53</v>
      </c>
      <c r="P3324" t="s">
        <v>58</v>
      </c>
      <c r="R3324">
        <f>SUMIF(A3324:A8323,"C03323",I3324:I8323)</f>
        <v>899.35</v>
      </c>
      <c r="S3324" s="1">
        <v>1751.62</v>
      </c>
      <c r="T3324">
        <f t="shared" si="377"/>
        <v>44.9675</v>
      </c>
      <c r="U3324">
        <f t="shared" si="378"/>
        <v>326</v>
      </c>
      <c r="V3324">
        <f t="shared" si="376"/>
        <v>27.1666666666667</v>
      </c>
      <c r="W3324">
        <f t="shared" si="374"/>
        <v>633.533333333333</v>
      </c>
      <c r="X3324">
        <f t="shared" si="379"/>
        <v>0.60284928767808</v>
      </c>
      <c r="AH3324" t="str">
        <f t="shared" si="375"/>
        <v>3rd Quality</v>
      </c>
      <c r="AJ3324">
        <f>((T3324-X3324)*2)/43.6</f>
        <v>2.03507572074871</v>
      </c>
      <c r="AK3324">
        <f t="shared" si="373"/>
        <v>27115.4025</v>
      </c>
    </row>
    <row r="3325" spans="1:37">
      <c r="A3325" t="s">
        <v>3391</v>
      </c>
      <c r="B3325">
        <v>25</v>
      </c>
      <c r="C3325" t="s">
        <v>50</v>
      </c>
      <c r="D3325" t="s">
        <v>51</v>
      </c>
      <c r="E3325">
        <v>492</v>
      </c>
      <c r="F3325">
        <v>64</v>
      </c>
      <c r="G3325">
        <v>3</v>
      </c>
      <c r="H3325">
        <v>738.09</v>
      </c>
      <c r="I3325">
        <v>2422.07</v>
      </c>
      <c r="J3325">
        <v>25</v>
      </c>
      <c r="K3325">
        <v>1</v>
      </c>
      <c r="L3325">
        <v>22.6</v>
      </c>
      <c r="M3325">
        <v>53.4</v>
      </c>
      <c r="N3325" t="s">
        <v>61</v>
      </c>
      <c r="O3325" t="s">
        <v>53</v>
      </c>
      <c r="P3325" t="s">
        <v>58</v>
      </c>
      <c r="R3325">
        <f>SUMIF(A3325:A8324,"C03324",I3325:I8324)</f>
        <v>2422.07</v>
      </c>
      <c r="S3325" s="1">
        <v>4407.41</v>
      </c>
      <c r="T3325">
        <f t="shared" si="377"/>
        <v>96.8828</v>
      </c>
      <c r="U3325">
        <f t="shared" si="378"/>
        <v>1335</v>
      </c>
      <c r="V3325">
        <f>U3325*1</f>
        <v>1335</v>
      </c>
      <c r="W3325">
        <f t="shared" si="374"/>
        <v>1053.72</v>
      </c>
      <c r="X3325">
        <f t="shared" si="379"/>
        <v>0.666585375767183</v>
      </c>
      <c r="AH3325" t="str">
        <f t="shared" si="375"/>
        <v>3rd Quality</v>
      </c>
      <c r="AJ3325">
        <f>((T3325-X3325)*2)/22.6</f>
        <v>8.51470925878166</v>
      </c>
      <c r="AK3325">
        <f t="shared" si="373"/>
        <v>47666.3376</v>
      </c>
    </row>
    <row r="3326" spans="1:37">
      <c r="A3326" t="s">
        <v>3392</v>
      </c>
      <c r="B3326">
        <v>48</v>
      </c>
      <c r="C3326" t="s">
        <v>44</v>
      </c>
      <c r="D3326" t="s">
        <v>51</v>
      </c>
      <c r="E3326">
        <v>881</v>
      </c>
      <c r="F3326">
        <v>51</v>
      </c>
      <c r="G3326">
        <v>6</v>
      </c>
      <c r="H3326">
        <v>10314.22</v>
      </c>
      <c r="I3326">
        <v>66187.45</v>
      </c>
      <c r="J3326">
        <v>53</v>
      </c>
      <c r="K3326">
        <v>0</v>
      </c>
      <c r="L3326">
        <v>5.7</v>
      </c>
      <c r="M3326">
        <v>57.6</v>
      </c>
      <c r="N3326" t="s">
        <v>52</v>
      </c>
      <c r="O3326" t="s">
        <v>75</v>
      </c>
      <c r="P3326" t="s">
        <v>58</v>
      </c>
      <c r="R3326">
        <f>SUMIF(A3326:A8325,"C03325",I3326:I8325)</f>
        <v>66187.45</v>
      </c>
      <c r="S3326" s="1">
        <v>1878.73</v>
      </c>
      <c r="T3326">
        <f t="shared" si="377"/>
        <v>1248.81981132075</v>
      </c>
      <c r="U3326">
        <f t="shared" si="378"/>
        <v>3052.8</v>
      </c>
      <c r="V3326">
        <f t="shared" si="376"/>
        <v>254.4</v>
      </c>
      <c r="W3326">
        <f t="shared" si="374"/>
        <v>25500.89</v>
      </c>
      <c r="X3326">
        <f t="shared" si="379"/>
        <v>0.0854160566673971</v>
      </c>
      <c r="AH3326" t="str">
        <f t="shared" si="375"/>
        <v>3rd Quality</v>
      </c>
      <c r="AJ3326">
        <f>((T3326-X3326)*2)/5.7</f>
        <v>438.152419390906</v>
      </c>
      <c r="AK3326">
        <f t="shared" si="373"/>
        <v>1100210.25377358</v>
      </c>
    </row>
    <row r="3327" spans="1:37">
      <c r="A3327" t="s">
        <v>3393</v>
      </c>
      <c r="B3327">
        <v>18</v>
      </c>
      <c r="C3327" t="s">
        <v>50</v>
      </c>
      <c r="D3327" t="s">
        <v>60</v>
      </c>
      <c r="E3327">
        <v>1231</v>
      </c>
      <c r="F3327">
        <v>77</v>
      </c>
      <c r="G3327">
        <v>3</v>
      </c>
      <c r="H3327">
        <v>554.05</v>
      </c>
      <c r="I3327">
        <v>1751.62</v>
      </c>
      <c r="J3327">
        <v>13</v>
      </c>
      <c r="K3327">
        <v>0</v>
      </c>
      <c r="L3327">
        <v>33.5</v>
      </c>
      <c r="M3327">
        <v>15.8</v>
      </c>
      <c r="N3327" t="s">
        <v>81</v>
      </c>
      <c r="O3327" t="s">
        <v>47</v>
      </c>
      <c r="P3327" t="s">
        <v>68</v>
      </c>
      <c r="R3327">
        <f>SUMIF(A3327:A8326,"C03326",I3327:I8326)</f>
        <v>1751.62</v>
      </c>
      <c r="S3327" s="1">
        <v>20691.59</v>
      </c>
      <c r="T3327">
        <f t="shared" si="377"/>
        <v>134.74</v>
      </c>
      <c r="U3327">
        <f t="shared" si="378"/>
        <v>205.4</v>
      </c>
      <c r="V3327">
        <f t="shared" si="376"/>
        <v>17.1166666666667</v>
      </c>
      <c r="W3327">
        <f t="shared" si="374"/>
        <v>768.89</v>
      </c>
      <c r="X3327">
        <f t="shared" si="379"/>
        <v>2.2218211352766</v>
      </c>
      <c r="AH3327" t="str">
        <f t="shared" si="375"/>
        <v>3rd Quality</v>
      </c>
      <c r="AJ3327">
        <f>((T3327-X3327)*2)/33.5</f>
        <v>7.91153306655065</v>
      </c>
      <c r="AK3327">
        <f t="shared" si="373"/>
        <v>165864.94</v>
      </c>
    </row>
    <row r="3328" spans="1:37">
      <c r="A3328" t="s">
        <v>3394</v>
      </c>
      <c r="B3328">
        <v>23</v>
      </c>
      <c r="C3328" t="s">
        <v>50</v>
      </c>
      <c r="D3328" t="s">
        <v>51</v>
      </c>
      <c r="E3328">
        <v>1239</v>
      </c>
      <c r="F3328">
        <v>46</v>
      </c>
      <c r="G3328">
        <v>4</v>
      </c>
      <c r="H3328">
        <v>1018.1</v>
      </c>
      <c r="I3328">
        <v>4407.41</v>
      </c>
      <c r="J3328">
        <v>26</v>
      </c>
      <c r="K3328">
        <v>0</v>
      </c>
      <c r="L3328">
        <v>21.3</v>
      </c>
      <c r="M3328">
        <v>39.5</v>
      </c>
      <c r="N3328" t="s">
        <v>78</v>
      </c>
      <c r="O3328" t="s">
        <v>47</v>
      </c>
      <c r="P3328" t="s">
        <v>66</v>
      </c>
      <c r="R3328">
        <f>SUMIF(A3328:A8327,"C03327",I3328:I8327)</f>
        <v>4407.41</v>
      </c>
      <c r="S3328" s="1">
        <v>6621.45</v>
      </c>
      <c r="T3328">
        <f t="shared" si="377"/>
        <v>169.515769230769</v>
      </c>
      <c r="U3328">
        <f t="shared" si="378"/>
        <v>1027</v>
      </c>
      <c r="V3328">
        <f t="shared" si="376"/>
        <v>85.5833333333333</v>
      </c>
      <c r="W3328">
        <f t="shared" si="374"/>
        <v>1808.83666666667</v>
      </c>
      <c r="X3328">
        <f t="shared" si="379"/>
        <v>1.21697279245654</v>
      </c>
      <c r="AH3328" t="str">
        <f t="shared" si="375"/>
        <v>3rd Quality</v>
      </c>
      <c r="AJ3328">
        <f>((T3328-X3328)*2)/21.3</f>
        <v>15.8027038909214</v>
      </c>
      <c r="AK3328">
        <f t="shared" si="373"/>
        <v>210030.038076923</v>
      </c>
    </row>
    <row r="3329" spans="1:37">
      <c r="A3329" t="s">
        <v>3395</v>
      </c>
      <c r="B3329">
        <v>28</v>
      </c>
      <c r="C3329" t="s">
        <v>50</v>
      </c>
      <c r="D3329" t="s">
        <v>60</v>
      </c>
      <c r="E3329">
        <v>748</v>
      </c>
      <c r="F3329">
        <v>107</v>
      </c>
      <c r="G3329">
        <v>4</v>
      </c>
      <c r="H3329">
        <v>518.65</v>
      </c>
      <c r="I3329">
        <v>1878.73</v>
      </c>
      <c r="J3329">
        <v>30</v>
      </c>
      <c r="K3329">
        <v>1</v>
      </c>
      <c r="L3329">
        <v>50.8</v>
      </c>
      <c r="M3329">
        <v>32.6</v>
      </c>
      <c r="N3329" t="s">
        <v>46</v>
      </c>
      <c r="O3329" t="s">
        <v>75</v>
      </c>
      <c r="P3329" t="s">
        <v>58</v>
      </c>
      <c r="R3329">
        <f>SUMIF(A3329:A8328,"C03328",I3329:I8328)</f>
        <v>1878.73</v>
      </c>
      <c r="S3329" s="1">
        <v>1175.04</v>
      </c>
      <c r="T3329">
        <f t="shared" si="377"/>
        <v>62.6243333333333</v>
      </c>
      <c r="U3329">
        <f t="shared" si="378"/>
        <v>978</v>
      </c>
      <c r="V3329">
        <f>U3329*1</f>
        <v>978</v>
      </c>
      <c r="W3329">
        <f t="shared" si="374"/>
        <v>799.46</v>
      </c>
      <c r="X3329">
        <f t="shared" si="379"/>
        <v>1.44220572640509</v>
      </c>
      <c r="AH3329" t="str">
        <f t="shared" si="375"/>
        <v>3rd Quality</v>
      </c>
      <c r="AJ3329">
        <f>((T3329-X3329)*2)/50.8</f>
        <v>2.40874518137513</v>
      </c>
      <c r="AK3329">
        <f t="shared" si="373"/>
        <v>46843.0013333333</v>
      </c>
    </row>
    <row r="3330" spans="1:37">
      <c r="A3330" t="s">
        <v>3396</v>
      </c>
      <c r="B3330">
        <v>26</v>
      </c>
      <c r="C3330" t="s">
        <v>44</v>
      </c>
      <c r="D3330" t="s">
        <v>51</v>
      </c>
      <c r="E3330">
        <v>989</v>
      </c>
      <c r="F3330">
        <v>17</v>
      </c>
      <c r="G3330">
        <v>2</v>
      </c>
      <c r="H3330">
        <v>10040.01</v>
      </c>
      <c r="I3330">
        <v>20691.59</v>
      </c>
      <c r="J3330">
        <v>15</v>
      </c>
      <c r="K3330">
        <v>1</v>
      </c>
      <c r="L3330">
        <v>0</v>
      </c>
      <c r="M3330">
        <v>34.2</v>
      </c>
      <c r="N3330" t="s">
        <v>52</v>
      </c>
      <c r="O3330" t="s">
        <v>47</v>
      </c>
      <c r="P3330" t="s">
        <v>58</v>
      </c>
      <c r="R3330">
        <f>SUMIF(A3330:A8329,"C03329",I3330:I8329)</f>
        <v>20691.59</v>
      </c>
      <c r="S3330" s="1">
        <v>4591.64</v>
      </c>
      <c r="T3330">
        <f t="shared" si="377"/>
        <v>1379.43933333333</v>
      </c>
      <c r="U3330">
        <f t="shared" si="378"/>
        <v>513</v>
      </c>
      <c r="V3330">
        <f>U3330*1</f>
        <v>513</v>
      </c>
      <c r="W3330">
        <f t="shared" si="374"/>
        <v>10244.2</v>
      </c>
      <c r="X3330">
        <f t="shared" si="379"/>
        <v>0.0985058779821932</v>
      </c>
      <c r="AH3330" t="str">
        <f t="shared" si="375"/>
        <v>2nd Quality</v>
      </c>
      <c r="AJ3330">
        <f>((T3330-X3330)*2)</f>
        <v>2758.6816549107</v>
      </c>
      <c r="AK3330">
        <f t="shared" si="373"/>
        <v>1364265.50066667</v>
      </c>
    </row>
    <row r="3331" spans="1:37">
      <c r="A3331" t="s">
        <v>3397</v>
      </c>
      <c r="B3331">
        <v>28</v>
      </c>
      <c r="C3331" t="s">
        <v>50</v>
      </c>
      <c r="D3331" t="s">
        <v>60</v>
      </c>
      <c r="E3331">
        <v>571</v>
      </c>
      <c r="F3331">
        <v>30</v>
      </c>
      <c r="G3331">
        <v>5</v>
      </c>
      <c r="H3331">
        <v>1424.68</v>
      </c>
      <c r="I3331">
        <v>6621.45</v>
      </c>
      <c r="J3331">
        <v>52</v>
      </c>
      <c r="K3331">
        <v>0</v>
      </c>
      <c r="L3331">
        <v>33.3</v>
      </c>
      <c r="M3331">
        <v>45.3</v>
      </c>
      <c r="N3331" t="s">
        <v>46</v>
      </c>
      <c r="O3331" t="s">
        <v>53</v>
      </c>
      <c r="P3331" t="s">
        <v>58</v>
      </c>
      <c r="R3331">
        <f>SUMIF(A3331:A8330,"C03330",I3331:I8330)</f>
        <v>6621.45</v>
      </c>
      <c r="S3331" s="1">
        <v>73926.3</v>
      </c>
      <c r="T3331">
        <f t="shared" si="377"/>
        <v>127.335576923077</v>
      </c>
      <c r="U3331">
        <f t="shared" si="378"/>
        <v>2355.6</v>
      </c>
      <c r="V3331">
        <f t="shared" si="376"/>
        <v>196.3</v>
      </c>
      <c r="W3331">
        <f t="shared" si="374"/>
        <v>2682.37666666667</v>
      </c>
      <c r="X3331">
        <f t="shared" si="379"/>
        <v>0.400791756745374</v>
      </c>
      <c r="AH3331" t="str">
        <f t="shared" si="375"/>
        <v>3rd Quality</v>
      </c>
      <c r="AJ3331">
        <f>((T3331-X3331)*2)/33.3</f>
        <v>7.6237108208007</v>
      </c>
      <c r="AK3331">
        <f t="shared" ref="AK3331:AK3394" si="380">I3331/J3331*E3331</f>
        <v>72708.6144230769</v>
      </c>
    </row>
    <row r="3332" spans="1:37">
      <c r="A3332" t="s">
        <v>3398</v>
      </c>
      <c r="B3332">
        <v>40</v>
      </c>
      <c r="C3332" t="s">
        <v>50</v>
      </c>
      <c r="D3332" t="s">
        <v>45</v>
      </c>
      <c r="E3332">
        <v>676</v>
      </c>
      <c r="F3332">
        <v>76</v>
      </c>
      <c r="G3332">
        <v>1</v>
      </c>
      <c r="H3332">
        <v>1169.49</v>
      </c>
      <c r="I3332">
        <v>1175.04</v>
      </c>
      <c r="J3332">
        <v>19</v>
      </c>
      <c r="K3332">
        <v>1</v>
      </c>
      <c r="L3332">
        <v>1.2</v>
      </c>
      <c r="M3332">
        <v>27</v>
      </c>
      <c r="N3332" t="s">
        <v>63</v>
      </c>
      <c r="O3332" t="s">
        <v>47</v>
      </c>
      <c r="P3332" t="s">
        <v>58</v>
      </c>
      <c r="R3332">
        <f>SUMIF(A3332:A8331,"C03331",I3332:I8331)</f>
        <v>1175.04</v>
      </c>
      <c r="S3332" s="1">
        <v>7711.58</v>
      </c>
      <c r="T3332">
        <f t="shared" si="377"/>
        <v>61.8442105263158</v>
      </c>
      <c r="U3332">
        <f t="shared" si="378"/>
        <v>513</v>
      </c>
      <c r="V3332">
        <f>U3332*1</f>
        <v>513</v>
      </c>
      <c r="W3332">
        <f t="shared" si="374"/>
        <v>781.843333333333</v>
      </c>
      <c r="X3332">
        <f t="shared" si="379"/>
        <v>0.57802973945908</v>
      </c>
      <c r="AH3332" t="str">
        <f t="shared" si="375"/>
        <v>3rd Quality</v>
      </c>
      <c r="AJ3332">
        <f>((T3332-X3332)*2)/1.2</f>
        <v>102.110301311428</v>
      </c>
      <c r="AK3332">
        <f t="shared" si="380"/>
        <v>41806.6863157895</v>
      </c>
    </row>
    <row r="3333" spans="1:37">
      <c r="A3333" t="s">
        <v>3399</v>
      </c>
      <c r="B3333">
        <v>44</v>
      </c>
      <c r="C3333" t="s">
        <v>44</v>
      </c>
      <c r="D3333" t="s">
        <v>60</v>
      </c>
      <c r="E3333">
        <v>850</v>
      </c>
      <c r="F3333">
        <v>69</v>
      </c>
      <c r="G3333">
        <v>3</v>
      </c>
      <c r="H3333">
        <v>1584.33</v>
      </c>
      <c r="I3333">
        <v>4591.64</v>
      </c>
      <c r="J3333">
        <v>21</v>
      </c>
      <c r="K3333">
        <v>0</v>
      </c>
      <c r="L3333">
        <v>1.8</v>
      </c>
      <c r="M3333">
        <v>37.9</v>
      </c>
      <c r="N3333" t="s">
        <v>81</v>
      </c>
      <c r="O3333" t="s">
        <v>47</v>
      </c>
      <c r="P3333" t="s">
        <v>58</v>
      </c>
      <c r="R3333">
        <f>SUMIF(A3333:A8332,"C03332",I3333:I8332)</f>
        <v>4591.64</v>
      </c>
      <c r="S3333" s="1">
        <v>11358.53</v>
      </c>
      <c r="T3333">
        <f t="shared" si="377"/>
        <v>218.649523809524</v>
      </c>
      <c r="U3333">
        <f t="shared" si="378"/>
        <v>795.9</v>
      </c>
      <c r="V3333">
        <f t="shared" si="376"/>
        <v>66.325</v>
      </c>
      <c r="W3333">
        <f t="shared" si="374"/>
        <v>2058.99</v>
      </c>
      <c r="X3333">
        <f t="shared" si="379"/>
        <v>0.536504389868272</v>
      </c>
      <c r="AH3333" t="str">
        <f t="shared" si="375"/>
        <v>3rd Quality</v>
      </c>
      <c r="AJ3333">
        <f>((T3333-X3333)*2)/1.8</f>
        <v>242.347799355173</v>
      </c>
      <c r="AK3333">
        <f t="shared" si="380"/>
        <v>185852.095238095</v>
      </c>
    </row>
    <row r="3334" spans="1:37">
      <c r="A3334" t="s">
        <v>3400</v>
      </c>
      <c r="B3334">
        <v>45</v>
      </c>
      <c r="C3334" t="s">
        <v>44</v>
      </c>
      <c r="D3334" t="s">
        <v>51</v>
      </c>
      <c r="E3334">
        <v>795</v>
      </c>
      <c r="F3334">
        <v>7</v>
      </c>
      <c r="G3334">
        <v>17</v>
      </c>
      <c r="H3334">
        <v>4781.98</v>
      </c>
      <c r="I3334">
        <v>73926.3</v>
      </c>
      <c r="J3334">
        <v>145</v>
      </c>
      <c r="K3334">
        <v>1</v>
      </c>
      <c r="L3334">
        <v>9.4</v>
      </c>
      <c r="M3334">
        <v>9</v>
      </c>
      <c r="N3334" t="s">
        <v>61</v>
      </c>
      <c r="O3334" t="s">
        <v>47</v>
      </c>
      <c r="P3334" t="s">
        <v>66</v>
      </c>
      <c r="R3334">
        <f>SUMIF(A3334:A8333,"C03333",I3334:I8333)</f>
        <v>73926.3</v>
      </c>
      <c r="S3334" s="1">
        <v>5969.79</v>
      </c>
      <c r="T3334">
        <f t="shared" si="377"/>
        <v>509.836551724138</v>
      </c>
      <c r="U3334">
        <f t="shared" si="378"/>
        <v>1305</v>
      </c>
      <c r="V3334">
        <f>U3334*1</f>
        <v>1305</v>
      </c>
      <c r="W3334">
        <f t="shared" si="374"/>
        <v>26236.4266666667</v>
      </c>
      <c r="X3334">
        <f t="shared" si="379"/>
        <v>0.166249126930686</v>
      </c>
      <c r="AH3334" t="str">
        <f t="shared" si="375"/>
        <v>3rd Quality</v>
      </c>
      <c r="AJ3334">
        <f>((T3334-X3334)*2)/9.4</f>
        <v>108.440489914299</v>
      </c>
      <c r="AK3334">
        <f t="shared" si="380"/>
        <v>405320.05862069</v>
      </c>
    </row>
    <row r="3335" spans="1:37">
      <c r="A3335" t="s">
        <v>3401</v>
      </c>
      <c r="B3335">
        <v>49</v>
      </c>
      <c r="C3335" t="s">
        <v>44</v>
      </c>
      <c r="D3335" t="s">
        <v>45</v>
      </c>
      <c r="E3335">
        <v>1071</v>
      </c>
      <c r="F3335">
        <v>72</v>
      </c>
      <c r="G3335">
        <v>8</v>
      </c>
      <c r="H3335">
        <v>912.58</v>
      </c>
      <c r="I3335">
        <v>7711.58</v>
      </c>
      <c r="J3335">
        <v>32</v>
      </c>
      <c r="K3335">
        <v>0</v>
      </c>
      <c r="L3335">
        <v>27.2</v>
      </c>
      <c r="M3335">
        <v>21.8</v>
      </c>
      <c r="N3335" t="s">
        <v>78</v>
      </c>
      <c r="O3335" t="s">
        <v>47</v>
      </c>
      <c r="P3335" t="s">
        <v>58</v>
      </c>
      <c r="R3335">
        <f>SUMIF(A3335:A8334,"C03334",I3335:I8334)</f>
        <v>7711.58</v>
      </c>
      <c r="S3335" s="1">
        <v>31020.05</v>
      </c>
      <c r="T3335">
        <f t="shared" si="377"/>
        <v>240.986875</v>
      </c>
      <c r="U3335">
        <f t="shared" si="378"/>
        <v>697.6</v>
      </c>
      <c r="V3335">
        <f t="shared" si="376"/>
        <v>58.1333333333333</v>
      </c>
      <c r="W3335">
        <f t="shared" si="374"/>
        <v>2875.05333333333</v>
      </c>
      <c r="X3335">
        <f t="shared" si="379"/>
        <v>1.1735957395516</v>
      </c>
      <c r="AH3335" t="str">
        <f t="shared" si="375"/>
        <v>3rd Quality</v>
      </c>
      <c r="AJ3335">
        <f>((T3335-X3335)*2)/27.2</f>
        <v>17.6333293573859</v>
      </c>
      <c r="AK3335">
        <f t="shared" si="380"/>
        <v>258096.943125</v>
      </c>
    </row>
    <row r="3336" spans="1:37">
      <c r="A3336" t="s">
        <v>3402</v>
      </c>
      <c r="B3336">
        <v>26</v>
      </c>
      <c r="C3336" t="s">
        <v>50</v>
      </c>
      <c r="D3336" t="s">
        <v>51</v>
      </c>
      <c r="E3336">
        <v>1183</v>
      </c>
      <c r="F3336">
        <v>28</v>
      </c>
      <c r="G3336">
        <v>10</v>
      </c>
      <c r="H3336">
        <v>1192.56</v>
      </c>
      <c r="I3336">
        <v>11358.53</v>
      </c>
      <c r="J3336">
        <v>86</v>
      </c>
      <c r="K3336">
        <v>0</v>
      </c>
      <c r="L3336">
        <v>32.4</v>
      </c>
      <c r="M3336">
        <v>45.4</v>
      </c>
      <c r="N3336" t="s">
        <v>61</v>
      </c>
      <c r="O3336" t="s">
        <v>47</v>
      </c>
      <c r="P3336" t="s">
        <v>68</v>
      </c>
      <c r="R3336">
        <f>SUMIF(A3336:A8335,"C03335",I3336:I8335)</f>
        <v>11358.53</v>
      </c>
      <c r="S3336" s="1">
        <v>1841.59</v>
      </c>
      <c r="T3336">
        <f t="shared" si="377"/>
        <v>132.075930232558</v>
      </c>
      <c r="U3336">
        <f t="shared" si="378"/>
        <v>3904.4</v>
      </c>
      <c r="V3336">
        <f t="shared" si="376"/>
        <v>325.366666666667</v>
      </c>
      <c r="W3336">
        <f t="shared" si="374"/>
        <v>4184.03</v>
      </c>
      <c r="X3336">
        <f t="shared" si="379"/>
        <v>0.991983631850808</v>
      </c>
      <c r="AH3336" t="str">
        <f t="shared" si="375"/>
        <v>3rd Quality</v>
      </c>
      <c r="AJ3336">
        <f>((T3336-X3336)*2)/32.4</f>
        <v>8.09160164201896</v>
      </c>
      <c r="AK3336">
        <f t="shared" si="380"/>
        <v>156245.825465116</v>
      </c>
    </row>
    <row r="3337" spans="1:37">
      <c r="A3337" t="s">
        <v>3403</v>
      </c>
      <c r="B3337">
        <v>38</v>
      </c>
      <c r="C3337" t="s">
        <v>44</v>
      </c>
      <c r="D3337" t="s">
        <v>60</v>
      </c>
      <c r="E3337">
        <v>973</v>
      </c>
      <c r="F3337">
        <v>48</v>
      </c>
      <c r="G3337">
        <v>4</v>
      </c>
      <c r="H3337">
        <v>1640.96</v>
      </c>
      <c r="I3337">
        <v>5969.79</v>
      </c>
      <c r="J3337">
        <v>30</v>
      </c>
      <c r="K3337">
        <v>0</v>
      </c>
      <c r="L3337">
        <v>33.3</v>
      </c>
      <c r="M3337">
        <v>39.6</v>
      </c>
      <c r="N3337" t="s">
        <v>52</v>
      </c>
      <c r="O3337" t="s">
        <v>47</v>
      </c>
      <c r="P3337" t="s">
        <v>48</v>
      </c>
      <c r="R3337">
        <f>SUMIF(A3337:A8336,"C03336",I3337:I8336)</f>
        <v>5969.79</v>
      </c>
      <c r="S3337" s="1">
        <v>10610.75</v>
      </c>
      <c r="T3337">
        <f t="shared" si="377"/>
        <v>198.993</v>
      </c>
      <c r="U3337">
        <f t="shared" si="378"/>
        <v>1188</v>
      </c>
      <c r="V3337">
        <f t="shared" si="376"/>
        <v>99</v>
      </c>
      <c r="W3337">
        <f t="shared" ref="W3337:W3400" si="381">(H3337+I3337+1)/3</f>
        <v>2537.25</v>
      </c>
      <c r="X3337">
        <f t="shared" si="379"/>
        <v>0.592945592823713</v>
      </c>
      <c r="AH3337" t="str">
        <f t="shared" si="375"/>
        <v>3rd Quality</v>
      </c>
      <c r="AJ3337">
        <f>((T3337-X3337)*2)/33.3</f>
        <v>11.9159191836142</v>
      </c>
      <c r="AK3337">
        <f t="shared" si="380"/>
        <v>193620.189</v>
      </c>
    </row>
    <row r="3338" spans="1:37">
      <c r="A3338" t="s">
        <v>3404</v>
      </c>
      <c r="B3338">
        <v>25</v>
      </c>
      <c r="C3338" t="s">
        <v>50</v>
      </c>
      <c r="D3338" t="s">
        <v>60</v>
      </c>
      <c r="E3338">
        <v>401</v>
      </c>
      <c r="F3338">
        <v>11</v>
      </c>
      <c r="G3338">
        <v>3</v>
      </c>
      <c r="H3338">
        <v>9477.04</v>
      </c>
      <c r="I3338">
        <v>31020.05</v>
      </c>
      <c r="J3338">
        <v>14</v>
      </c>
      <c r="K3338">
        <v>1</v>
      </c>
      <c r="L3338">
        <v>7.4</v>
      </c>
      <c r="M3338">
        <v>22.9</v>
      </c>
      <c r="N3338" t="s">
        <v>46</v>
      </c>
      <c r="O3338" t="s">
        <v>53</v>
      </c>
      <c r="P3338" t="s">
        <v>58</v>
      </c>
      <c r="R3338">
        <f>SUMIF(A3338:A8337,"C03337",I3338:I8337)</f>
        <v>31020.05</v>
      </c>
      <c r="S3338" s="1">
        <v>21081.71</v>
      </c>
      <c r="T3338">
        <f t="shared" si="377"/>
        <v>2215.71785714286</v>
      </c>
      <c r="U3338">
        <f t="shared" si="378"/>
        <v>320.6</v>
      </c>
      <c r="V3338">
        <f>U3338*1</f>
        <v>320.6</v>
      </c>
      <c r="W3338">
        <f t="shared" si="381"/>
        <v>13499.3633333333</v>
      </c>
      <c r="X3338">
        <f t="shared" si="379"/>
        <v>0.0423127896474004</v>
      </c>
      <c r="AH3338" t="str">
        <f t="shared" si="375"/>
        <v>3rd Quality</v>
      </c>
      <c r="AJ3338">
        <f>((T3338-X3338)*2)/7.4</f>
        <v>598.831228203571</v>
      </c>
      <c r="AK3338">
        <f t="shared" si="380"/>
        <v>888502.860714286</v>
      </c>
    </row>
    <row r="3339" spans="1:37">
      <c r="A3339" t="s">
        <v>3405</v>
      </c>
      <c r="B3339">
        <v>25</v>
      </c>
      <c r="C3339" t="s">
        <v>44</v>
      </c>
      <c r="D3339" t="s">
        <v>45</v>
      </c>
      <c r="E3339">
        <v>1263</v>
      </c>
      <c r="F3339">
        <v>365</v>
      </c>
      <c r="G3339">
        <v>2</v>
      </c>
      <c r="H3339">
        <v>1009.3</v>
      </c>
      <c r="I3339">
        <v>1841.59</v>
      </c>
      <c r="J3339">
        <v>20</v>
      </c>
      <c r="K3339">
        <v>0</v>
      </c>
      <c r="L3339">
        <v>20.5</v>
      </c>
      <c r="M3339">
        <v>34.7</v>
      </c>
      <c r="N3339" t="s">
        <v>63</v>
      </c>
      <c r="O3339" t="s">
        <v>47</v>
      </c>
      <c r="P3339" t="s">
        <v>66</v>
      </c>
      <c r="R3339">
        <f>SUMIF(A3339:A8338,"C03338",I3339:I8338)</f>
        <v>1841.59</v>
      </c>
      <c r="S3339" s="1">
        <v>15251.88</v>
      </c>
      <c r="T3339">
        <f t="shared" si="377"/>
        <v>92.0795</v>
      </c>
      <c r="U3339">
        <f t="shared" si="378"/>
        <v>694</v>
      </c>
      <c r="V3339">
        <f t="shared" si="376"/>
        <v>57.8333333333333</v>
      </c>
      <c r="W3339">
        <f t="shared" si="381"/>
        <v>950.63</v>
      </c>
      <c r="X3339">
        <f t="shared" si="379"/>
        <v>1.25136233032795</v>
      </c>
      <c r="AH3339" t="str">
        <f t="shared" si="375"/>
        <v>3rd Quality</v>
      </c>
      <c r="AJ3339">
        <f>((T3339-X3339)*2)/20.5</f>
        <v>8.86128172387044</v>
      </c>
      <c r="AK3339">
        <f t="shared" si="380"/>
        <v>116296.4085</v>
      </c>
    </row>
    <row r="3340" spans="1:37">
      <c r="A3340" t="s">
        <v>3406</v>
      </c>
      <c r="B3340">
        <v>18</v>
      </c>
      <c r="C3340" t="s">
        <v>50</v>
      </c>
      <c r="D3340" t="s">
        <v>60</v>
      </c>
      <c r="E3340">
        <v>866</v>
      </c>
      <c r="F3340">
        <v>29</v>
      </c>
      <c r="G3340">
        <v>10</v>
      </c>
      <c r="H3340">
        <v>1141.8</v>
      </c>
      <c r="I3340">
        <v>10610.75</v>
      </c>
      <c r="J3340">
        <v>75</v>
      </c>
      <c r="K3340">
        <v>0</v>
      </c>
      <c r="L3340">
        <v>23.7</v>
      </c>
      <c r="M3340">
        <v>9.6</v>
      </c>
      <c r="N3340" t="s">
        <v>57</v>
      </c>
      <c r="O3340" t="s">
        <v>75</v>
      </c>
      <c r="P3340" t="s">
        <v>66</v>
      </c>
      <c r="R3340">
        <f>SUMIF(A3340:A8339,"C03339",I3340:I8339)</f>
        <v>10610.75</v>
      </c>
      <c r="S3340" s="1">
        <v>6110.42</v>
      </c>
      <c r="T3340">
        <f t="shared" si="377"/>
        <v>141.476666666667</v>
      </c>
      <c r="U3340">
        <f t="shared" si="378"/>
        <v>720</v>
      </c>
      <c r="V3340">
        <f t="shared" si="376"/>
        <v>60</v>
      </c>
      <c r="W3340">
        <f t="shared" si="381"/>
        <v>3917.85</v>
      </c>
      <c r="X3340">
        <f t="shared" si="379"/>
        <v>0.758451567700123</v>
      </c>
      <c r="AH3340" t="str">
        <f t="shared" si="375"/>
        <v>3rd Quality</v>
      </c>
      <c r="AJ3340">
        <f>((T3340-X3340)*2)/23.7</f>
        <v>11.8749548606723</v>
      </c>
      <c r="AK3340">
        <f t="shared" si="380"/>
        <v>122518.793333333</v>
      </c>
    </row>
    <row r="3341" spans="1:37">
      <c r="A3341" t="s">
        <v>3407</v>
      </c>
      <c r="B3341">
        <v>50</v>
      </c>
      <c r="C3341" t="s">
        <v>50</v>
      </c>
      <c r="D3341" t="s">
        <v>45</v>
      </c>
      <c r="E3341">
        <v>1290</v>
      </c>
      <c r="F3341">
        <v>18</v>
      </c>
      <c r="G3341">
        <v>3</v>
      </c>
      <c r="H3341">
        <v>7934.18</v>
      </c>
      <c r="I3341">
        <v>21081.71</v>
      </c>
      <c r="J3341">
        <v>23</v>
      </c>
      <c r="K3341">
        <v>0</v>
      </c>
      <c r="L3341">
        <v>16.7</v>
      </c>
      <c r="M3341">
        <v>13.1</v>
      </c>
      <c r="N3341" t="s">
        <v>61</v>
      </c>
      <c r="O3341" t="s">
        <v>47</v>
      </c>
      <c r="P3341" t="s">
        <v>66</v>
      </c>
      <c r="R3341">
        <f>SUMIF(A3341:A8340,"C03340",I3341:I8340)</f>
        <v>21081.71</v>
      </c>
      <c r="S3341" s="1">
        <v>157281.76</v>
      </c>
      <c r="T3341">
        <f t="shared" si="377"/>
        <v>916.596086956522</v>
      </c>
      <c r="U3341">
        <f t="shared" si="378"/>
        <v>301.3</v>
      </c>
      <c r="V3341">
        <f t="shared" si="376"/>
        <v>25.1083333333333</v>
      </c>
      <c r="W3341">
        <f t="shared" si="381"/>
        <v>9672.29666666667</v>
      </c>
      <c r="X3341">
        <f t="shared" si="379"/>
        <v>0.162587690221296</v>
      </c>
      <c r="AH3341" t="str">
        <f t="shared" si="375"/>
        <v>3rd Quality</v>
      </c>
      <c r="AJ3341">
        <f>((T3341-X3341)*2)/16.7</f>
        <v>109.752514882192</v>
      </c>
      <c r="AK3341">
        <f t="shared" si="380"/>
        <v>1182408.95217391</v>
      </c>
    </row>
    <row r="3342" spans="1:37">
      <c r="A3342" t="s">
        <v>3408</v>
      </c>
      <c r="B3342">
        <v>47</v>
      </c>
      <c r="C3342" t="s">
        <v>50</v>
      </c>
      <c r="D3342" t="s">
        <v>60</v>
      </c>
      <c r="E3342">
        <v>668</v>
      </c>
      <c r="F3342">
        <v>11</v>
      </c>
      <c r="G3342">
        <v>12</v>
      </c>
      <c r="H3342">
        <v>1265.35</v>
      </c>
      <c r="I3342">
        <v>15251.88</v>
      </c>
      <c r="J3342">
        <v>83</v>
      </c>
      <c r="K3342">
        <v>1</v>
      </c>
      <c r="L3342">
        <v>13.4</v>
      </c>
      <c r="M3342">
        <v>39.8</v>
      </c>
      <c r="N3342" t="s">
        <v>46</v>
      </c>
      <c r="O3342" t="s">
        <v>47</v>
      </c>
      <c r="P3342" t="s">
        <v>66</v>
      </c>
      <c r="R3342">
        <f>SUMIF(A3342:A8341,"C03341",I3342:I8341)</f>
        <v>15251.88</v>
      </c>
      <c r="S3342" s="1">
        <v>59454.85</v>
      </c>
      <c r="T3342">
        <f t="shared" si="377"/>
        <v>183.757590361446</v>
      </c>
      <c r="U3342">
        <f t="shared" si="378"/>
        <v>3303.4</v>
      </c>
      <c r="V3342">
        <f>U3342*1</f>
        <v>3303.4</v>
      </c>
      <c r="W3342">
        <f t="shared" si="381"/>
        <v>5506.07666666667</v>
      </c>
      <c r="X3342">
        <f t="shared" si="379"/>
        <v>0.527917177065634</v>
      </c>
      <c r="AH3342" t="str">
        <f t="shared" ref="AH3342:AH3405" si="382">IF(AND(W3342&gt;=12550,B3342&lt;=33,E3342&gt;=915),"1st Quality",IF(AND(W3342&gt;=6275,B3342&lt;=43,E3342&gt;=457),"2nd Quality","3rd Quality"))</f>
        <v>3rd Quality</v>
      </c>
      <c r="AJ3342">
        <f>((T3342-X3342)*2)/13.4</f>
        <v>27.3477124155792</v>
      </c>
      <c r="AK3342">
        <f t="shared" si="380"/>
        <v>122750.070361446</v>
      </c>
    </row>
    <row r="3343" spans="1:37">
      <c r="A3343" t="s">
        <v>3409</v>
      </c>
      <c r="B3343">
        <v>59</v>
      </c>
      <c r="C3343" t="s">
        <v>50</v>
      </c>
      <c r="D3343" t="s">
        <v>60</v>
      </c>
      <c r="E3343">
        <v>1047</v>
      </c>
      <c r="F3343">
        <v>365</v>
      </c>
      <c r="G3343">
        <v>7</v>
      </c>
      <c r="H3343">
        <v>809.7</v>
      </c>
      <c r="I3343">
        <v>6110.42</v>
      </c>
      <c r="J3343">
        <v>38</v>
      </c>
      <c r="K3343">
        <v>2</v>
      </c>
      <c r="L3343">
        <v>24.3</v>
      </c>
      <c r="M3343">
        <v>23.5</v>
      </c>
      <c r="N3343" t="s">
        <v>52</v>
      </c>
      <c r="O3343" t="s">
        <v>75</v>
      </c>
      <c r="P3343" t="s">
        <v>58</v>
      </c>
      <c r="R3343">
        <f>SUMIF(A3343:A8342,"C03342",I3343:I8342)</f>
        <v>6110.42</v>
      </c>
      <c r="S3343" s="1">
        <v>9822.43</v>
      </c>
      <c r="T3343">
        <f t="shared" si="377"/>
        <v>160.800526315789</v>
      </c>
      <c r="U3343">
        <f t="shared" si="378"/>
        <v>893</v>
      </c>
      <c r="V3343">
        <f>U3343*2</f>
        <v>1786</v>
      </c>
      <c r="W3343">
        <f t="shared" si="381"/>
        <v>2307.04</v>
      </c>
      <c r="X3343">
        <f t="shared" si="379"/>
        <v>1.29307150796591</v>
      </c>
      <c r="AH3343" t="str">
        <f t="shared" si="382"/>
        <v>3rd Quality</v>
      </c>
      <c r="AJ3343">
        <f>((T3343-X3343)*2)/24.3</f>
        <v>13.1281855808908</v>
      </c>
      <c r="AK3343">
        <f t="shared" si="380"/>
        <v>168358.151052632</v>
      </c>
    </row>
    <row r="3344" spans="1:37">
      <c r="A3344" t="s">
        <v>3410</v>
      </c>
      <c r="B3344">
        <v>43</v>
      </c>
      <c r="C3344" t="s">
        <v>44</v>
      </c>
      <c r="D3344" t="s">
        <v>60</v>
      </c>
      <c r="E3344">
        <v>637</v>
      </c>
      <c r="F3344">
        <v>2</v>
      </c>
      <c r="G3344">
        <v>25</v>
      </c>
      <c r="H3344">
        <v>5802.18</v>
      </c>
      <c r="I3344">
        <v>157281.76</v>
      </c>
      <c r="J3344">
        <v>207</v>
      </c>
      <c r="K3344">
        <v>0</v>
      </c>
      <c r="L3344">
        <v>15</v>
      </c>
      <c r="M3344">
        <v>52.7</v>
      </c>
      <c r="N3344" t="s">
        <v>78</v>
      </c>
      <c r="O3344" t="s">
        <v>47</v>
      </c>
      <c r="P3344" t="s">
        <v>54</v>
      </c>
      <c r="R3344">
        <f>SUMIF(A3344:A8343,"C03343",I3344:I8343)</f>
        <v>157281.76</v>
      </c>
      <c r="S3344" s="1">
        <v>2886.59</v>
      </c>
      <c r="T3344">
        <f t="shared" si="377"/>
        <v>759.815265700483</v>
      </c>
      <c r="U3344">
        <f t="shared" si="378"/>
        <v>10908.9</v>
      </c>
      <c r="V3344">
        <f t="shared" si="376"/>
        <v>909.075</v>
      </c>
      <c r="W3344">
        <f t="shared" si="381"/>
        <v>54361.6466666667</v>
      </c>
      <c r="X3344">
        <f t="shared" si="379"/>
        <v>0.109786321692881</v>
      </c>
      <c r="AH3344" t="str">
        <f t="shared" si="382"/>
        <v>2nd Quality</v>
      </c>
      <c r="AJ3344">
        <f>((T3344-X3344)*2)/15</f>
        <v>101.294063917172</v>
      </c>
      <c r="AK3344">
        <f t="shared" si="380"/>
        <v>484002.324251208</v>
      </c>
    </row>
    <row r="3345" spans="1:37">
      <c r="A3345" t="s">
        <v>3411</v>
      </c>
      <c r="B3345">
        <v>38</v>
      </c>
      <c r="C3345" t="s">
        <v>50</v>
      </c>
      <c r="D3345" t="s">
        <v>45</v>
      </c>
      <c r="E3345">
        <v>971</v>
      </c>
      <c r="F3345">
        <v>34</v>
      </c>
      <c r="G3345">
        <v>19</v>
      </c>
      <c r="H3345">
        <v>2956.24</v>
      </c>
      <c r="I3345">
        <v>59454.85</v>
      </c>
      <c r="J3345">
        <v>157</v>
      </c>
      <c r="K3345">
        <v>1</v>
      </c>
      <c r="L3345">
        <v>16.4</v>
      </c>
      <c r="M3345">
        <v>19</v>
      </c>
      <c r="N3345" t="s">
        <v>63</v>
      </c>
      <c r="O3345" t="s">
        <v>75</v>
      </c>
      <c r="P3345" t="s">
        <v>58</v>
      </c>
      <c r="R3345">
        <f>SUMIF(A3345:A8344,"C03344",I3345:I8344)</f>
        <v>59454.85</v>
      </c>
      <c r="S3345" s="1">
        <v>10543.71</v>
      </c>
      <c r="T3345">
        <f t="shared" si="377"/>
        <v>378.693312101911</v>
      </c>
      <c r="U3345">
        <f t="shared" si="378"/>
        <v>2983</v>
      </c>
      <c r="V3345">
        <f>U3345*1</f>
        <v>2983</v>
      </c>
      <c r="W3345">
        <f t="shared" si="381"/>
        <v>20804.03</v>
      </c>
      <c r="X3345">
        <f t="shared" si="379"/>
        <v>0.328457770681677</v>
      </c>
      <c r="AH3345" t="str">
        <f t="shared" si="382"/>
        <v>2nd Quality</v>
      </c>
      <c r="AJ3345">
        <f>((T3345-X3345)*2)/16.4</f>
        <v>46.1420554062475</v>
      </c>
      <c r="AK3345">
        <f t="shared" si="380"/>
        <v>367711.206050955</v>
      </c>
    </row>
    <row r="3346" spans="1:37">
      <c r="A3346" t="s">
        <v>3412</v>
      </c>
      <c r="B3346">
        <v>28</v>
      </c>
      <c r="C3346" t="s">
        <v>50</v>
      </c>
      <c r="D3346" t="s">
        <v>45</v>
      </c>
      <c r="E3346">
        <v>1282</v>
      </c>
      <c r="F3346">
        <v>80</v>
      </c>
      <c r="G3346">
        <v>2</v>
      </c>
      <c r="H3346">
        <v>4945.22</v>
      </c>
      <c r="I3346">
        <v>9822.43</v>
      </c>
      <c r="J3346">
        <v>16</v>
      </c>
      <c r="K3346">
        <v>0</v>
      </c>
      <c r="L3346">
        <v>15.4</v>
      </c>
      <c r="M3346">
        <v>3.9</v>
      </c>
      <c r="N3346" t="s">
        <v>52</v>
      </c>
      <c r="O3346" t="s">
        <v>47</v>
      </c>
      <c r="P3346" t="s">
        <v>68</v>
      </c>
      <c r="R3346">
        <f>SUMIF(A3346:A8345,"C03345",I3346:I8345)</f>
        <v>9822.43</v>
      </c>
      <c r="S3346" s="1">
        <v>19496.66</v>
      </c>
      <c r="T3346">
        <f t="shared" si="377"/>
        <v>613.901875</v>
      </c>
      <c r="U3346">
        <f t="shared" si="378"/>
        <v>62.4</v>
      </c>
      <c r="V3346">
        <f t="shared" ref="V3346:V3381" si="383">U3346/12</f>
        <v>5.2</v>
      </c>
      <c r="W3346">
        <f t="shared" si="381"/>
        <v>4922.88333333333</v>
      </c>
      <c r="X3346">
        <f t="shared" si="379"/>
        <v>0.2592402360259</v>
      </c>
      <c r="AH3346" t="str">
        <f t="shared" si="382"/>
        <v>3rd Quality</v>
      </c>
      <c r="AJ3346">
        <f>((T3346-X3346)*2)/15.4</f>
        <v>79.693848670646</v>
      </c>
      <c r="AK3346">
        <f t="shared" si="380"/>
        <v>787022.20375</v>
      </c>
    </row>
    <row r="3347" spans="1:37">
      <c r="A3347" t="s">
        <v>3413</v>
      </c>
      <c r="B3347">
        <v>46</v>
      </c>
      <c r="C3347" t="s">
        <v>44</v>
      </c>
      <c r="D3347" t="s">
        <v>60</v>
      </c>
      <c r="E3347">
        <v>988</v>
      </c>
      <c r="F3347">
        <v>24</v>
      </c>
      <c r="G3347">
        <v>3</v>
      </c>
      <c r="H3347">
        <v>879.95</v>
      </c>
      <c r="I3347">
        <v>2886.59</v>
      </c>
      <c r="J3347">
        <v>23</v>
      </c>
      <c r="K3347">
        <v>0</v>
      </c>
      <c r="L3347">
        <v>28.5</v>
      </c>
      <c r="M3347">
        <v>45.4</v>
      </c>
      <c r="N3347" t="s">
        <v>81</v>
      </c>
      <c r="O3347" t="s">
        <v>47</v>
      </c>
      <c r="P3347" t="s">
        <v>58</v>
      </c>
      <c r="R3347">
        <f>SUMIF(A3347:A8346,"C03346",I3347:I8346)</f>
        <v>2886.59</v>
      </c>
      <c r="S3347" s="1">
        <v>2023.96</v>
      </c>
      <c r="T3347">
        <f t="shared" si="377"/>
        <v>125.503913043478</v>
      </c>
      <c r="U3347">
        <f t="shared" si="378"/>
        <v>1044.2</v>
      </c>
      <c r="V3347">
        <f t="shared" si="383"/>
        <v>87.0166666666667</v>
      </c>
      <c r="W3347">
        <f t="shared" si="381"/>
        <v>1255.84666666667</v>
      </c>
      <c r="X3347">
        <f t="shared" si="379"/>
        <v>1.1227910676743</v>
      </c>
      <c r="AH3347" t="str">
        <f t="shared" si="382"/>
        <v>3rd Quality</v>
      </c>
      <c r="AJ3347">
        <f>((T3347-X3347)*2)/28.5</f>
        <v>8.7284997877757</v>
      </c>
      <c r="AK3347">
        <f t="shared" si="380"/>
        <v>123997.866086957</v>
      </c>
    </row>
    <row r="3348" spans="1:37">
      <c r="A3348" t="s">
        <v>3414</v>
      </c>
      <c r="B3348">
        <v>38</v>
      </c>
      <c r="C3348" t="s">
        <v>44</v>
      </c>
      <c r="D3348" t="s">
        <v>60</v>
      </c>
      <c r="E3348">
        <v>1459</v>
      </c>
      <c r="F3348">
        <v>83</v>
      </c>
      <c r="G3348">
        <v>6</v>
      </c>
      <c r="H3348">
        <v>1651.41</v>
      </c>
      <c r="I3348">
        <v>10543.71</v>
      </c>
      <c r="J3348">
        <v>22</v>
      </c>
      <c r="K3348">
        <v>1</v>
      </c>
      <c r="L3348">
        <v>25.5</v>
      </c>
      <c r="M3348">
        <v>14.9</v>
      </c>
      <c r="N3348" t="s">
        <v>81</v>
      </c>
      <c r="O3348" t="s">
        <v>47</v>
      </c>
      <c r="P3348" t="s">
        <v>58</v>
      </c>
      <c r="R3348">
        <f>SUMIF(A3348:A8347,"C03347",I3348:I8347)</f>
        <v>10543.71</v>
      </c>
      <c r="S3348" s="1">
        <v>11082.91</v>
      </c>
      <c r="T3348">
        <f t="shared" si="377"/>
        <v>479.259545454545</v>
      </c>
      <c r="U3348">
        <f t="shared" si="378"/>
        <v>327.8</v>
      </c>
      <c r="V3348">
        <f>U3348*1</f>
        <v>327.8</v>
      </c>
      <c r="W3348">
        <f t="shared" si="381"/>
        <v>4065.37333333333</v>
      </c>
      <c r="X3348">
        <f t="shared" si="379"/>
        <v>0.883487444062952</v>
      </c>
      <c r="AH3348" t="str">
        <f t="shared" si="382"/>
        <v>3rd Quality</v>
      </c>
      <c r="AJ3348">
        <f>((T3348-X3348)*2)/25.5</f>
        <v>37.5196908243515</v>
      </c>
      <c r="AK3348">
        <f t="shared" si="380"/>
        <v>699239.676818182</v>
      </c>
    </row>
    <row r="3349" spans="1:37">
      <c r="A3349" t="s">
        <v>3415</v>
      </c>
      <c r="B3349">
        <v>20</v>
      </c>
      <c r="C3349" t="s">
        <v>44</v>
      </c>
      <c r="D3349" t="s">
        <v>45</v>
      </c>
      <c r="E3349">
        <v>798</v>
      </c>
      <c r="F3349">
        <v>24</v>
      </c>
      <c r="G3349">
        <v>2</v>
      </c>
      <c r="H3349">
        <v>8915.47</v>
      </c>
      <c r="I3349">
        <v>19496.66</v>
      </c>
      <c r="J3349">
        <v>19</v>
      </c>
      <c r="K3349">
        <v>0</v>
      </c>
      <c r="L3349">
        <v>10.9</v>
      </c>
      <c r="M3349">
        <v>26.2</v>
      </c>
      <c r="N3349" t="s">
        <v>78</v>
      </c>
      <c r="O3349" t="s">
        <v>47</v>
      </c>
      <c r="P3349" t="s">
        <v>58</v>
      </c>
      <c r="R3349">
        <f>SUMIF(A3349:A8348,"C03348",I3349:I8348)</f>
        <v>19496.66</v>
      </c>
      <c r="S3349" s="1">
        <v>88414.58</v>
      </c>
      <c r="T3349">
        <f t="shared" si="377"/>
        <v>1026.14</v>
      </c>
      <c r="U3349">
        <f t="shared" si="378"/>
        <v>497.8</v>
      </c>
      <c r="V3349">
        <f t="shared" si="383"/>
        <v>41.4833333333333</v>
      </c>
      <c r="W3349">
        <f t="shared" si="381"/>
        <v>9471.04333333333</v>
      </c>
      <c r="X3349">
        <f t="shared" si="379"/>
        <v>0.0895073394896736</v>
      </c>
      <c r="AH3349" t="str">
        <f t="shared" si="382"/>
        <v>2nd Quality</v>
      </c>
      <c r="AJ3349">
        <f>((T3349-X3349)*2)/10.9</f>
        <v>188.266145442295</v>
      </c>
      <c r="AK3349">
        <f t="shared" si="380"/>
        <v>818859.72</v>
      </c>
    </row>
    <row r="3350" spans="1:37">
      <c r="A3350" t="s">
        <v>3416</v>
      </c>
      <c r="B3350">
        <v>35</v>
      </c>
      <c r="C3350" t="s">
        <v>44</v>
      </c>
      <c r="D3350" t="s">
        <v>60</v>
      </c>
      <c r="E3350">
        <v>508</v>
      </c>
      <c r="F3350">
        <v>85</v>
      </c>
      <c r="G3350">
        <v>3</v>
      </c>
      <c r="H3350">
        <v>719.65</v>
      </c>
      <c r="I3350">
        <v>2023.96</v>
      </c>
      <c r="J3350">
        <v>26</v>
      </c>
      <c r="K3350">
        <v>0</v>
      </c>
      <c r="L3350">
        <v>21.3</v>
      </c>
      <c r="M3350">
        <v>51.5</v>
      </c>
      <c r="N3350" t="s">
        <v>46</v>
      </c>
      <c r="O3350" t="s">
        <v>53</v>
      </c>
      <c r="P3350" t="s">
        <v>58</v>
      </c>
      <c r="R3350">
        <f>SUMIF(A3350:A8349,"C03349",I3350:I8349)</f>
        <v>2023.96</v>
      </c>
      <c r="S3350" s="1">
        <v>62914.31</v>
      </c>
      <c r="T3350">
        <f t="shared" ref="T3350:T3413" si="384">I3350/J3350</f>
        <v>77.8446153846154</v>
      </c>
      <c r="U3350">
        <f t="shared" si="378"/>
        <v>1339</v>
      </c>
      <c r="V3350">
        <f t="shared" si="383"/>
        <v>111.583333333333</v>
      </c>
      <c r="W3350">
        <f t="shared" si="381"/>
        <v>914.87</v>
      </c>
      <c r="X3350">
        <f t="shared" si="379"/>
        <v>0.705898700757313</v>
      </c>
      <c r="AH3350" t="str">
        <f t="shared" si="382"/>
        <v>3rd Quality</v>
      </c>
      <c r="AJ3350">
        <f>((T3350-X3350)*2)/21.3</f>
        <v>7.24307198909465</v>
      </c>
      <c r="AK3350">
        <f t="shared" si="380"/>
        <v>39545.0646153846</v>
      </c>
    </row>
    <row r="3351" spans="1:37">
      <c r="A3351" t="s">
        <v>3417</v>
      </c>
      <c r="B3351">
        <v>19</v>
      </c>
      <c r="C3351" t="s">
        <v>101</v>
      </c>
      <c r="D3351" t="s">
        <v>45</v>
      </c>
      <c r="E3351">
        <v>881</v>
      </c>
      <c r="F3351">
        <v>40</v>
      </c>
      <c r="G3351">
        <v>9</v>
      </c>
      <c r="H3351">
        <v>1202.21</v>
      </c>
      <c r="I3351">
        <v>11082.91</v>
      </c>
      <c r="J3351">
        <v>52</v>
      </c>
      <c r="K3351">
        <v>0</v>
      </c>
      <c r="L3351">
        <v>33.7</v>
      </c>
      <c r="M3351">
        <v>37.8</v>
      </c>
      <c r="N3351" t="s">
        <v>81</v>
      </c>
      <c r="O3351" t="s">
        <v>75</v>
      </c>
      <c r="P3351" t="s">
        <v>58</v>
      </c>
      <c r="R3351">
        <f>SUMIF(A3351:A8350,"C03350",I3351:I8350)</f>
        <v>11082.91</v>
      </c>
      <c r="S3351" s="1">
        <v>52965.96</v>
      </c>
      <c r="T3351">
        <f t="shared" si="384"/>
        <v>213.132884615385</v>
      </c>
      <c r="U3351">
        <f t="shared" si="378"/>
        <v>1965.6</v>
      </c>
      <c r="V3351">
        <f t="shared" si="383"/>
        <v>163.8</v>
      </c>
      <c r="W3351">
        <f t="shared" si="381"/>
        <v>4095.37333333333</v>
      </c>
      <c r="X3351">
        <f t="shared" si="379"/>
        <v>0.732817061910981</v>
      </c>
      <c r="AH3351" t="str">
        <f t="shared" si="382"/>
        <v>3rd Quality</v>
      </c>
      <c r="AJ3351">
        <f>((T3351-X3351)*2)/33.7</f>
        <v>12.605345255399</v>
      </c>
      <c r="AK3351">
        <f t="shared" si="380"/>
        <v>187770.071346154</v>
      </c>
    </row>
    <row r="3352" spans="1:37">
      <c r="A3352" t="s">
        <v>3418</v>
      </c>
      <c r="B3352">
        <v>38</v>
      </c>
      <c r="C3352" t="s">
        <v>44</v>
      </c>
      <c r="D3352" t="s">
        <v>45</v>
      </c>
      <c r="E3352">
        <v>1278</v>
      </c>
      <c r="F3352">
        <v>21</v>
      </c>
      <c r="G3352">
        <v>25</v>
      </c>
      <c r="H3352">
        <v>3995.33</v>
      </c>
      <c r="I3352">
        <v>88414.58</v>
      </c>
      <c r="J3352">
        <v>108</v>
      </c>
      <c r="K3352">
        <v>3</v>
      </c>
      <c r="L3352">
        <v>5.5</v>
      </c>
      <c r="M3352">
        <v>56.1</v>
      </c>
      <c r="N3352" t="s">
        <v>57</v>
      </c>
      <c r="O3352" t="s">
        <v>47</v>
      </c>
      <c r="P3352" t="s">
        <v>58</v>
      </c>
      <c r="R3352">
        <f>SUMIF(A3352:A8351,"C03351",I3352:I8351)</f>
        <v>88414.58</v>
      </c>
      <c r="S3352" s="1">
        <v>13268.48</v>
      </c>
      <c r="T3352">
        <f t="shared" si="384"/>
        <v>818.653518518519</v>
      </c>
      <c r="U3352">
        <f t="shared" si="378"/>
        <v>6058.8</v>
      </c>
      <c r="V3352">
        <f>U3352*3</f>
        <v>18176.4</v>
      </c>
      <c r="W3352">
        <f t="shared" si="381"/>
        <v>30803.6366666667</v>
      </c>
      <c r="X3352">
        <f t="shared" si="379"/>
        <v>0.319873452255508</v>
      </c>
      <c r="AH3352" t="str">
        <f t="shared" si="382"/>
        <v>2nd Quality</v>
      </c>
      <c r="AJ3352">
        <f>((T3352-X3352)*2)/5.5</f>
        <v>297.575870933187</v>
      </c>
      <c r="AK3352">
        <f t="shared" si="380"/>
        <v>1046239.19666667</v>
      </c>
    </row>
    <row r="3353" spans="1:37">
      <c r="A3353" t="s">
        <v>3419</v>
      </c>
      <c r="B3353">
        <v>44</v>
      </c>
      <c r="C3353" t="s">
        <v>50</v>
      </c>
      <c r="D3353" t="s">
        <v>60</v>
      </c>
      <c r="E3353">
        <v>944</v>
      </c>
      <c r="F3353">
        <v>3</v>
      </c>
      <c r="G3353">
        <v>22</v>
      </c>
      <c r="H3353">
        <v>2845.07</v>
      </c>
      <c r="I3353">
        <v>62914.31</v>
      </c>
      <c r="J3353">
        <v>72</v>
      </c>
      <c r="K3353">
        <v>2</v>
      </c>
      <c r="L3353">
        <v>7.1</v>
      </c>
      <c r="M3353">
        <v>42.5</v>
      </c>
      <c r="N3353" t="s">
        <v>52</v>
      </c>
      <c r="O3353" t="s">
        <v>53</v>
      </c>
      <c r="P3353" t="s">
        <v>58</v>
      </c>
      <c r="R3353">
        <f>SUMIF(A3353:A8352,"C03352",I3353:I8352)</f>
        <v>62914.31</v>
      </c>
      <c r="S3353" s="1">
        <v>79069.51</v>
      </c>
      <c r="T3353">
        <f t="shared" si="384"/>
        <v>873.809861111111</v>
      </c>
      <c r="U3353">
        <f t="shared" si="378"/>
        <v>3060</v>
      </c>
      <c r="V3353">
        <f>U3353*2</f>
        <v>6120</v>
      </c>
      <c r="W3353">
        <f t="shared" si="381"/>
        <v>21920.1266666667</v>
      </c>
      <c r="X3353">
        <f t="shared" si="379"/>
        <v>0.331802029475549</v>
      </c>
      <c r="AH3353" t="str">
        <f t="shared" si="382"/>
        <v>3rd Quality</v>
      </c>
      <c r="AJ3353">
        <f>((T3353-X3353)*2)/7.1</f>
        <v>246.050157487785</v>
      </c>
      <c r="AK3353">
        <f t="shared" si="380"/>
        <v>824876.508888889</v>
      </c>
    </row>
    <row r="3354" spans="1:37">
      <c r="A3354" t="s">
        <v>3420</v>
      </c>
      <c r="B3354">
        <v>30</v>
      </c>
      <c r="C3354" t="s">
        <v>44</v>
      </c>
      <c r="D3354" t="s">
        <v>45</v>
      </c>
      <c r="E3354">
        <v>1036</v>
      </c>
      <c r="F3354">
        <v>8</v>
      </c>
      <c r="G3354">
        <v>27</v>
      </c>
      <c r="H3354">
        <v>1798.98</v>
      </c>
      <c r="I3354">
        <v>52965.96</v>
      </c>
      <c r="J3354">
        <v>94</v>
      </c>
      <c r="K3354">
        <v>0</v>
      </c>
      <c r="L3354">
        <v>14.3</v>
      </c>
      <c r="M3354">
        <v>28.7</v>
      </c>
      <c r="N3354" t="s">
        <v>63</v>
      </c>
      <c r="O3354" t="s">
        <v>47</v>
      </c>
      <c r="P3354" t="s">
        <v>68</v>
      </c>
      <c r="R3354">
        <f>SUMIF(A3354:A8353,"C03353",I3354:I8353)</f>
        <v>52965.96</v>
      </c>
      <c r="S3354" s="1">
        <v>14238.9</v>
      </c>
      <c r="T3354">
        <f t="shared" si="384"/>
        <v>563.467659574468</v>
      </c>
      <c r="U3354">
        <f t="shared" si="378"/>
        <v>2697.8</v>
      </c>
      <c r="V3354">
        <f t="shared" si="383"/>
        <v>224.816666666667</v>
      </c>
      <c r="W3354">
        <f t="shared" si="381"/>
        <v>18255.3133333333</v>
      </c>
      <c r="X3354">
        <f t="shared" si="379"/>
        <v>0.575881888625777</v>
      </c>
      <c r="AH3354" t="str">
        <f t="shared" si="382"/>
        <v>1st Quality</v>
      </c>
      <c r="AJ3354">
        <f>((T3354-X3354)*2)/14.3</f>
        <v>78.7261227532646</v>
      </c>
      <c r="AK3354">
        <f t="shared" si="380"/>
        <v>583752.495319149</v>
      </c>
    </row>
    <row r="3355" spans="1:37">
      <c r="A3355" t="s">
        <v>3421</v>
      </c>
      <c r="B3355">
        <v>25</v>
      </c>
      <c r="C3355" t="s">
        <v>50</v>
      </c>
      <c r="D3355" t="s">
        <v>45</v>
      </c>
      <c r="E3355">
        <v>1243</v>
      </c>
      <c r="F3355">
        <v>22</v>
      </c>
      <c r="G3355">
        <v>12</v>
      </c>
      <c r="H3355">
        <v>1045.85</v>
      </c>
      <c r="I3355">
        <v>13268.48</v>
      </c>
      <c r="J3355">
        <v>95</v>
      </c>
      <c r="K3355">
        <v>1</v>
      </c>
      <c r="L3355">
        <v>16.9</v>
      </c>
      <c r="M3355">
        <v>43.4</v>
      </c>
      <c r="N3355" t="s">
        <v>81</v>
      </c>
      <c r="O3355" t="s">
        <v>47</v>
      </c>
      <c r="P3355" t="s">
        <v>58</v>
      </c>
      <c r="R3355">
        <f>SUMIF(A3355:A8354,"C03354",I3355:I8354)</f>
        <v>13268.48</v>
      </c>
      <c r="S3355" s="1">
        <v>51988.95</v>
      </c>
      <c r="T3355">
        <f t="shared" si="384"/>
        <v>139.668210526316</v>
      </c>
      <c r="U3355">
        <f t="shared" si="378"/>
        <v>4123</v>
      </c>
      <c r="V3355">
        <f>U3355*1</f>
        <v>4123</v>
      </c>
      <c r="W3355">
        <f t="shared" si="381"/>
        <v>4771.77666666667</v>
      </c>
      <c r="X3355">
        <f t="shared" si="379"/>
        <v>1.18850695606445</v>
      </c>
      <c r="AH3355" t="str">
        <f t="shared" si="382"/>
        <v>3rd Quality</v>
      </c>
      <c r="AJ3355">
        <f>((T3355-X3355)*2)/16.9</f>
        <v>16.3881306000298</v>
      </c>
      <c r="AK3355">
        <f t="shared" si="380"/>
        <v>173607.585684211</v>
      </c>
    </row>
    <row r="3356" spans="1:37">
      <c r="A3356" t="s">
        <v>3422</v>
      </c>
      <c r="B3356">
        <v>55</v>
      </c>
      <c r="C3356" t="s">
        <v>44</v>
      </c>
      <c r="D3356" t="s">
        <v>45</v>
      </c>
      <c r="E3356">
        <v>656</v>
      </c>
      <c r="F3356">
        <v>17</v>
      </c>
      <c r="G3356">
        <v>8</v>
      </c>
      <c r="H3356">
        <v>9269.31</v>
      </c>
      <c r="I3356">
        <v>79069.51</v>
      </c>
      <c r="J3356">
        <v>34</v>
      </c>
      <c r="K3356">
        <v>1</v>
      </c>
      <c r="L3356">
        <v>0</v>
      </c>
      <c r="M3356">
        <v>20.7</v>
      </c>
      <c r="N3356" t="s">
        <v>52</v>
      </c>
      <c r="O3356" t="s">
        <v>75</v>
      </c>
      <c r="P3356" t="s">
        <v>58</v>
      </c>
      <c r="R3356">
        <f>SUMIF(A3356:A8355,"C03355",I3356:I8355)</f>
        <v>79069.51</v>
      </c>
      <c r="S3356" s="1">
        <v>18858.77</v>
      </c>
      <c r="T3356">
        <f t="shared" si="384"/>
        <v>2325.57382352941</v>
      </c>
      <c r="U3356">
        <f t="shared" si="378"/>
        <v>703.8</v>
      </c>
      <c r="V3356">
        <f>U3356*1</f>
        <v>703.8</v>
      </c>
      <c r="W3356">
        <f t="shared" si="381"/>
        <v>29446.6066666667</v>
      </c>
      <c r="X3356">
        <f t="shared" si="379"/>
        <v>0.0707711793002931</v>
      </c>
      <c r="AH3356" t="str">
        <f t="shared" si="382"/>
        <v>3rd Quality</v>
      </c>
      <c r="AJ3356">
        <f>((T3356-X3356)*2)</f>
        <v>4651.00610470022</v>
      </c>
      <c r="AK3356">
        <f t="shared" si="380"/>
        <v>1525576.42823529</v>
      </c>
    </row>
    <row r="3357" spans="1:37">
      <c r="A3357" t="s">
        <v>3423</v>
      </c>
      <c r="B3357">
        <v>37</v>
      </c>
      <c r="C3357" t="s">
        <v>44</v>
      </c>
      <c r="D3357" t="s">
        <v>60</v>
      </c>
      <c r="E3357">
        <v>1183</v>
      </c>
      <c r="F3357">
        <v>33</v>
      </c>
      <c r="G3357">
        <v>9</v>
      </c>
      <c r="H3357">
        <v>1654.74</v>
      </c>
      <c r="I3357">
        <v>14238.9</v>
      </c>
      <c r="J3357">
        <v>79</v>
      </c>
      <c r="K3357">
        <v>2</v>
      </c>
      <c r="L3357">
        <v>30.1</v>
      </c>
      <c r="M3357">
        <v>31.9</v>
      </c>
      <c r="N3357" t="s">
        <v>78</v>
      </c>
      <c r="O3357" t="s">
        <v>47</v>
      </c>
      <c r="P3357" t="s">
        <v>66</v>
      </c>
      <c r="R3357">
        <f>SUMIF(A3357:A8356,"C03356",I3357:I8356)</f>
        <v>14238.9</v>
      </c>
      <c r="S3357" s="1">
        <v>816.35</v>
      </c>
      <c r="T3357">
        <f t="shared" si="384"/>
        <v>180.239240506329</v>
      </c>
      <c r="U3357">
        <f t="shared" si="378"/>
        <v>2520.1</v>
      </c>
      <c r="V3357">
        <f>U3357*2</f>
        <v>5040.2</v>
      </c>
      <c r="W3357">
        <f t="shared" si="381"/>
        <v>5298.21333333333</v>
      </c>
      <c r="X3357">
        <f t="shared" si="379"/>
        <v>0.714915938455588</v>
      </c>
      <c r="AH3357" t="str">
        <f t="shared" si="382"/>
        <v>3rd Quality</v>
      </c>
      <c r="AJ3357">
        <f>((T3357-X3357)*2)/30.1</f>
        <v>11.9285265493604</v>
      </c>
      <c r="AK3357">
        <f t="shared" si="380"/>
        <v>213223.021518987</v>
      </c>
    </row>
    <row r="3358" spans="1:37">
      <c r="A3358" t="s">
        <v>3424</v>
      </c>
      <c r="B3358">
        <v>40</v>
      </c>
      <c r="C3358" t="s">
        <v>44</v>
      </c>
      <c r="D3358" t="s">
        <v>51</v>
      </c>
      <c r="E3358">
        <v>1410</v>
      </c>
      <c r="F3358">
        <v>22</v>
      </c>
      <c r="G3358">
        <v>7</v>
      </c>
      <c r="H3358">
        <v>7613.08</v>
      </c>
      <c r="I3358">
        <v>51988.95</v>
      </c>
      <c r="J3358">
        <v>64</v>
      </c>
      <c r="K3358">
        <v>0</v>
      </c>
      <c r="L3358">
        <v>0</v>
      </c>
      <c r="M3358">
        <v>20.8</v>
      </c>
      <c r="N3358" t="s">
        <v>63</v>
      </c>
      <c r="O3358" t="s">
        <v>47</v>
      </c>
      <c r="P3358" t="s">
        <v>48</v>
      </c>
      <c r="R3358">
        <f>SUMIF(A3358:A8357,"C03357",I3358:I8357)</f>
        <v>51988.95</v>
      </c>
      <c r="S3358" s="1">
        <v>1709.32</v>
      </c>
      <c r="T3358">
        <f t="shared" si="384"/>
        <v>812.32734375</v>
      </c>
      <c r="U3358">
        <f t="shared" si="378"/>
        <v>1331.2</v>
      </c>
      <c r="V3358">
        <f t="shared" si="383"/>
        <v>110.933333333333</v>
      </c>
      <c r="W3358">
        <f t="shared" si="381"/>
        <v>19867.6766666667</v>
      </c>
      <c r="X3358">
        <f t="shared" si="379"/>
        <v>0.185207563824365</v>
      </c>
      <c r="AH3358" t="str">
        <f t="shared" si="382"/>
        <v>2nd Quality</v>
      </c>
      <c r="AJ3358">
        <f>((T3358-X3358)*2)</f>
        <v>1624.28427237235</v>
      </c>
      <c r="AK3358">
        <f t="shared" si="380"/>
        <v>1145381.5546875</v>
      </c>
    </row>
    <row r="3359" spans="1:37">
      <c r="A3359" t="s">
        <v>3425</v>
      </c>
      <c r="B3359">
        <v>38</v>
      </c>
      <c r="C3359" t="s">
        <v>44</v>
      </c>
      <c r="D3359" t="s">
        <v>60</v>
      </c>
      <c r="E3359">
        <v>583</v>
      </c>
      <c r="F3359">
        <v>2</v>
      </c>
      <c r="G3359">
        <v>14</v>
      </c>
      <c r="H3359">
        <v>1206.28</v>
      </c>
      <c r="I3359">
        <v>18858.77</v>
      </c>
      <c r="J3359">
        <v>33</v>
      </c>
      <c r="K3359">
        <v>1</v>
      </c>
      <c r="L3359">
        <v>23.8</v>
      </c>
      <c r="M3359">
        <v>1.9</v>
      </c>
      <c r="N3359" t="s">
        <v>63</v>
      </c>
      <c r="O3359" t="s">
        <v>47</v>
      </c>
      <c r="P3359" t="s">
        <v>68</v>
      </c>
      <c r="R3359">
        <f>SUMIF(A3359:A8358,"C03358",I3359:I8358)</f>
        <v>18858.77</v>
      </c>
      <c r="S3359" s="1">
        <v>12690.13</v>
      </c>
      <c r="T3359">
        <f t="shared" si="384"/>
        <v>571.477878787879</v>
      </c>
      <c r="U3359">
        <f t="shared" si="378"/>
        <v>62.7</v>
      </c>
      <c r="V3359">
        <f>U3359*1</f>
        <v>62.7</v>
      </c>
      <c r="W3359">
        <f t="shared" si="381"/>
        <v>6688.68333333333</v>
      </c>
      <c r="X3359">
        <f t="shared" si="379"/>
        <v>0.483304042179262</v>
      </c>
      <c r="AH3359" t="str">
        <f t="shared" si="382"/>
        <v>2nd Quality</v>
      </c>
      <c r="AJ3359">
        <f>((T3359-X3359)*2)/23.8</f>
        <v>47.9827373735882</v>
      </c>
      <c r="AK3359">
        <f t="shared" si="380"/>
        <v>333171.603333333</v>
      </c>
    </row>
    <row r="3360" spans="1:37">
      <c r="A3360" t="s">
        <v>3426</v>
      </c>
      <c r="B3360">
        <v>45</v>
      </c>
      <c r="C3360" t="s">
        <v>101</v>
      </c>
      <c r="D3360" t="s">
        <v>60</v>
      </c>
      <c r="E3360">
        <v>571</v>
      </c>
      <c r="F3360">
        <v>108</v>
      </c>
      <c r="G3360">
        <v>1</v>
      </c>
      <c r="H3360">
        <v>864.64</v>
      </c>
      <c r="I3360">
        <v>816.35</v>
      </c>
      <c r="J3360">
        <v>17</v>
      </c>
      <c r="K3360">
        <v>0</v>
      </c>
      <c r="L3360">
        <v>29.2</v>
      </c>
      <c r="M3360">
        <v>43.6</v>
      </c>
      <c r="N3360" t="s">
        <v>61</v>
      </c>
      <c r="O3360" t="s">
        <v>47</v>
      </c>
      <c r="P3360" t="s">
        <v>66</v>
      </c>
      <c r="R3360">
        <f>SUMIF(A3360:A8359,"C03359",I3360:I8359)</f>
        <v>816.35</v>
      </c>
      <c r="S3360" s="1">
        <v>15441.08</v>
      </c>
      <c r="T3360">
        <f t="shared" si="384"/>
        <v>48.0205882352941</v>
      </c>
      <c r="U3360">
        <f t="shared" si="378"/>
        <v>741.2</v>
      </c>
      <c r="V3360">
        <f t="shared" si="383"/>
        <v>61.7666666666667</v>
      </c>
      <c r="W3360">
        <f t="shared" si="381"/>
        <v>560.663333333333</v>
      </c>
      <c r="X3360">
        <f t="shared" si="379"/>
        <v>0.660390451517395</v>
      </c>
      <c r="AH3360" t="str">
        <f t="shared" si="382"/>
        <v>3rd Quality</v>
      </c>
      <c r="AJ3360">
        <f>((T3360-X3360)*2)/29.2</f>
        <v>3.24384916327238</v>
      </c>
      <c r="AK3360">
        <f t="shared" si="380"/>
        <v>27419.7558823529</v>
      </c>
    </row>
    <row r="3361" spans="1:37">
      <c r="A3361" t="s">
        <v>3427</v>
      </c>
      <c r="B3361">
        <v>42</v>
      </c>
      <c r="C3361" t="s">
        <v>44</v>
      </c>
      <c r="D3361" t="s">
        <v>45</v>
      </c>
      <c r="E3361">
        <v>1436</v>
      </c>
      <c r="F3361">
        <v>12</v>
      </c>
      <c r="G3361">
        <v>3</v>
      </c>
      <c r="H3361">
        <v>632.59</v>
      </c>
      <c r="I3361">
        <v>1709.32</v>
      </c>
      <c r="J3361">
        <v>19</v>
      </c>
      <c r="K3361">
        <v>0</v>
      </c>
      <c r="L3361">
        <v>15.7</v>
      </c>
      <c r="M3361">
        <v>62.8</v>
      </c>
      <c r="N3361" t="s">
        <v>81</v>
      </c>
      <c r="O3361" t="s">
        <v>47</v>
      </c>
      <c r="P3361" t="s">
        <v>48</v>
      </c>
      <c r="R3361">
        <f>SUMIF(A3361:A8360,"C03360",I3361:I8360)</f>
        <v>1709.32</v>
      </c>
      <c r="S3361" s="1">
        <v>12173.01</v>
      </c>
      <c r="T3361">
        <f t="shared" si="384"/>
        <v>89.9642105263158</v>
      </c>
      <c r="U3361">
        <f t="shared" si="378"/>
        <v>1193.2</v>
      </c>
      <c r="V3361">
        <f t="shared" si="383"/>
        <v>99.4333333333333</v>
      </c>
      <c r="W3361">
        <f t="shared" si="381"/>
        <v>780.97</v>
      </c>
      <c r="X3361">
        <f t="shared" si="379"/>
        <v>2.27003272261654</v>
      </c>
      <c r="AH3361" t="str">
        <f t="shared" si="382"/>
        <v>3rd Quality</v>
      </c>
      <c r="AJ3361">
        <f>((T3361-X3361)*2)/15.7</f>
        <v>11.1712328412356</v>
      </c>
      <c r="AK3361">
        <f t="shared" si="380"/>
        <v>129188.606315789</v>
      </c>
    </row>
    <row r="3362" spans="1:37">
      <c r="A3362" t="s">
        <v>3428</v>
      </c>
      <c r="B3362">
        <v>31</v>
      </c>
      <c r="C3362" t="s">
        <v>44</v>
      </c>
      <c r="D3362" t="s">
        <v>45</v>
      </c>
      <c r="E3362">
        <v>1430</v>
      </c>
      <c r="F3362">
        <v>68</v>
      </c>
      <c r="G3362">
        <v>10</v>
      </c>
      <c r="H3362">
        <v>1303.74</v>
      </c>
      <c r="I3362">
        <v>12690.13</v>
      </c>
      <c r="J3362">
        <v>63</v>
      </c>
      <c r="K3362">
        <v>3</v>
      </c>
      <c r="L3362">
        <v>14.7</v>
      </c>
      <c r="M3362">
        <v>18.3</v>
      </c>
      <c r="N3362" t="s">
        <v>57</v>
      </c>
      <c r="O3362" t="s">
        <v>47</v>
      </c>
      <c r="P3362" t="s">
        <v>66</v>
      </c>
      <c r="R3362">
        <f>SUMIF(A3362:A8361,"C03361",I3362:I8361)</f>
        <v>12690.13</v>
      </c>
      <c r="S3362" s="1">
        <v>57026.84</v>
      </c>
      <c r="T3362">
        <f t="shared" si="384"/>
        <v>201.430634920635</v>
      </c>
      <c r="U3362">
        <f t="shared" ref="U3362:U3425" si="385">J3362*M3362</f>
        <v>1152.9</v>
      </c>
      <c r="V3362">
        <f>U3362*3</f>
        <v>3458.7</v>
      </c>
      <c r="W3362">
        <f t="shared" si="381"/>
        <v>4664.95666666667</v>
      </c>
      <c r="X3362">
        <f t="shared" si="379"/>
        <v>1.09684446285302</v>
      </c>
      <c r="AH3362" t="str">
        <f t="shared" si="382"/>
        <v>3rd Quality</v>
      </c>
      <c r="AJ3362">
        <f>((T3362-X3362)*2)/14.7</f>
        <v>27.2562980214669</v>
      </c>
      <c r="AK3362">
        <f t="shared" si="380"/>
        <v>288045.807936508</v>
      </c>
    </row>
    <row r="3363" spans="1:37">
      <c r="A3363" t="s">
        <v>3429</v>
      </c>
      <c r="B3363">
        <v>18</v>
      </c>
      <c r="C3363" t="s">
        <v>44</v>
      </c>
      <c r="D3363" t="s">
        <v>45</v>
      </c>
      <c r="E3363">
        <v>1423</v>
      </c>
      <c r="F3363">
        <v>36</v>
      </c>
      <c r="G3363">
        <v>9</v>
      </c>
      <c r="H3363">
        <v>1612.27</v>
      </c>
      <c r="I3363">
        <v>15441.08</v>
      </c>
      <c r="J3363">
        <v>57</v>
      </c>
      <c r="K3363">
        <v>4</v>
      </c>
      <c r="L3363">
        <v>24.5</v>
      </c>
      <c r="M3363">
        <v>29.2</v>
      </c>
      <c r="N3363" t="s">
        <v>61</v>
      </c>
      <c r="O3363" t="s">
        <v>47</v>
      </c>
      <c r="P3363" t="s">
        <v>54</v>
      </c>
      <c r="R3363">
        <f>SUMIF(A3363:A8362,"C03362",I3363:I8362)</f>
        <v>15441.08</v>
      </c>
      <c r="S3363" s="1">
        <v>12982.72</v>
      </c>
      <c r="T3363">
        <f t="shared" si="384"/>
        <v>270.896140350877</v>
      </c>
      <c r="U3363">
        <f t="shared" si="385"/>
        <v>1664.4</v>
      </c>
      <c r="V3363">
        <f>U3363*4</f>
        <v>6657.6</v>
      </c>
      <c r="W3363">
        <f t="shared" si="381"/>
        <v>5684.78333333333</v>
      </c>
      <c r="X3363">
        <f t="shared" si="379"/>
        <v>0.882606511316343</v>
      </c>
      <c r="AH3363" t="str">
        <f t="shared" si="382"/>
        <v>3rd Quality</v>
      </c>
      <c r="AJ3363">
        <f>((T3363-X3363)*2)/24.5</f>
        <v>22.0419211297601</v>
      </c>
      <c r="AK3363">
        <f t="shared" si="380"/>
        <v>385485.207719298</v>
      </c>
    </row>
    <row r="3364" spans="1:37">
      <c r="A3364" t="s">
        <v>3430</v>
      </c>
      <c r="B3364">
        <v>27</v>
      </c>
      <c r="C3364" t="s">
        <v>50</v>
      </c>
      <c r="D3364" t="s">
        <v>45</v>
      </c>
      <c r="E3364">
        <v>1305</v>
      </c>
      <c r="F3364">
        <v>21</v>
      </c>
      <c r="G3364">
        <v>2</v>
      </c>
      <c r="H3364">
        <v>6052.21</v>
      </c>
      <c r="I3364">
        <v>12173.01</v>
      </c>
      <c r="J3364">
        <v>16</v>
      </c>
      <c r="K3364">
        <v>0</v>
      </c>
      <c r="L3364">
        <v>14.6</v>
      </c>
      <c r="M3364">
        <v>11.1</v>
      </c>
      <c r="N3364" t="s">
        <v>63</v>
      </c>
      <c r="O3364" t="s">
        <v>75</v>
      </c>
      <c r="P3364" t="s">
        <v>68</v>
      </c>
      <c r="R3364">
        <f>SUMIF(A3364:A8363,"C03363",I3364:I8363)</f>
        <v>12173.01</v>
      </c>
      <c r="S3364" s="1">
        <v>4748.54</v>
      </c>
      <c r="T3364">
        <f t="shared" si="384"/>
        <v>760.813125</v>
      </c>
      <c r="U3364">
        <f t="shared" si="385"/>
        <v>177.6</v>
      </c>
      <c r="V3364">
        <f t="shared" si="383"/>
        <v>14.8</v>
      </c>
      <c r="W3364">
        <f t="shared" si="381"/>
        <v>6075.40666666667</v>
      </c>
      <c r="X3364">
        <f t="shared" si="379"/>
        <v>0.215623714312623</v>
      </c>
      <c r="AH3364" t="str">
        <f t="shared" si="382"/>
        <v>3rd Quality</v>
      </c>
      <c r="AJ3364">
        <f>((T3364-X3364)*2)/14.6</f>
        <v>104.191438532286</v>
      </c>
      <c r="AK3364">
        <f t="shared" si="380"/>
        <v>992861.128125</v>
      </c>
    </row>
    <row r="3365" spans="1:37">
      <c r="A3365" t="s">
        <v>3431</v>
      </c>
      <c r="B3365">
        <v>35</v>
      </c>
      <c r="C3365" t="s">
        <v>50</v>
      </c>
      <c r="D3365" t="s">
        <v>45</v>
      </c>
      <c r="E3365">
        <v>674</v>
      </c>
      <c r="F3365">
        <v>7</v>
      </c>
      <c r="G3365">
        <v>6</v>
      </c>
      <c r="H3365">
        <v>10673.3</v>
      </c>
      <c r="I3365">
        <v>57026.84</v>
      </c>
      <c r="J3365">
        <v>54</v>
      </c>
      <c r="K3365">
        <v>2</v>
      </c>
      <c r="L3365">
        <v>0.7</v>
      </c>
      <c r="M3365">
        <v>22.1</v>
      </c>
      <c r="N3365" t="s">
        <v>63</v>
      </c>
      <c r="O3365" t="s">
        <v>53</v>
      </c>
      <c r="P3365" t="s">
        <v>58</v>
      </c>
      <c r="R3365">
        <f>SUMIF(A3365:A8364,"C03364",I3365:I8364)</f>
        <v>57026.84</v>
      </c>
      <c r="S3365" s="1">
        <v>6093.43</v>
      </c>
      <c r="T3365">
        <f t="shared" si="384"/>
        <v>1056.05259259259</v>
      </c>
      <c r="U3365">
        <f t="shared" si="385"/>
        <v>1193.4</v>
      </c>
      <c r="V3365">
        <f>U3365*2</f>
        <v>2386.8</v>
      </c>
      <c r="W3365">
        <f t="shared" si="381"/>
        <v>22567.0466666667</v>
      </c>
      <c r="X3365">
        <f t="shared" si="379"/>
        <v>0.0631482296946586</v>
      </c>
      <c r="AH3365" t="str">
        <f t="shared" si="382"/>
        <v>2nd Quality</v>
      </c>
      <c r="AJ3365">
        <f>((T3365-X3365)*2)/0.7</f>
        <v>3017.1126981797</v>
      </c>
      <c r="AK3365">
        <f t="shared" si="380"/>
        <v>711779.447407407</v>
      </c>
    </row>
    <row r="3366" spans="1:37">
      <c r="A3366" t="s">
        <v>3432</v>
      </c>
      <c r="B3366">
        <v>46</v>
      </c>
      <c r="C3366" t="s">
        <v>44</v>
      </c>
      <c r="D3366" t="s">
        <v>45</v>
      </c>
      <c r="E3366">
        <v>981</v>
      </c>
      <c r="F3366">
        <v>42</v>
      </c>
      <c r="G3366">
        <v>14</v>
      </c>
      <c r="H3366">
        <v>892.07</v>
      </c>
      <c r="I3366">
        <v>12982.72</v>
      </c>
      <c r="J3366">
        <v>52</v>
      </c>
      <c r="K3366">
        <v>1</v>
      </c>
      <c r="L3366">
        <v>15.8</v>
      </c>
      <c r="M3366">
        <v>38.4</v>
      </c>
      <c r="N3366" t="s">
        <v>61</v>
      </c>
      <c r="O3366" t="s">
        <v>47</v>
      </c>
      <c r="P3366" t="s">
        <v>58</v>
      </c>
      <c r="R3366">
        <f>SUMIF(A3366:A8365,"C03365",I3366:I8365)</f>
        <v>12982.72</v>
      </c>
      <c r="S3366" s="1">
        <v>44106.16</v>
      </c>
      <c r="T3366">
        <f t="shared" si="384"/>
        <v>249.667692307692</v>
      </c>
      <c r="U3366">
        <f t="shared" si="385"/>
        <v>1996.8</v>
      </c>
      <c r="V3366">
        <f>U3366*1</f>
        <v>1996.8</v>
      </c>
      <c r="W3366">
        <f t="shared" si="381"/>
        <v>4625.26333333333</v>
      </c>
      <c r="X3366">
        <f t="shared" si="379"/>
        <v>1.09968948625108</v>
      </c>
      <c r="AH3366" t="str">
        <f t="shared" si="382"/>
        <v>3rd Quality</v>
      </c>
      <c r="AJ3366">
        <f>((T3366-X3366)*2)/15.8</f>
        <v>31.4643041546128</v>
      </c>
      <c r="AK3366">
        <f t="shared" si="380"/>
        <v>244924.006153846</v>
      </c>
    </row>
    <row r="3367" spans="1:37">
      <c r="A3367" t="s">
        <v>3433</v>
      </c>
      <c r="B3367">
        <v>51</v>
      </c>
      <c r="C3367" t="s">
        <v>44</v>
      </c>
      <c r="D3367" t="s">
        <v>60</v>
      </c>
      <c r="E3367">
        <v>1459</v>
      </c>
      <c r="F3367">
        <v>31</v>
      </c>
      <c r="G3367">
        <v>5</v>
      </c>
      <c r="H3367">
        <v>898.88</v>
      </c>
      <c r="I3367">
        <v>4748.54</v>
      </c>
      <c r="J3367">
        <v>45</v>
      </c>
      <c r="K3367">
        <v>1</v>
      </c>
      <c r="L3367">
        <v>26.4</v>
      </c>
      <c r="M3367">
        <v>74.8</v>
      </c>
      <c r="N3367" t="s">
        <v>61</v>
      </c>
      <c r="O3367" t="s">
        <v>53</v>
      </c>
      <c r="P3367" t="s">
        <v>68</v>
      </c>
      <c r="R3367">
        <f>SUMIF(A3367:A8366,"C03366",I3367:I8366)</f>
        <v>4748.54</v>
      </c>
      <c r="S3367" s="1">
        <v>41686.72</v>
      </c>
      <c r="T3367">
        <f t="shared" si="384"/>
        <v>105.523111111111</v>
      </c>
      <c r="U3367">
        <f t="shared" si="385"/>
        <v>3366</v>
      </c>
      <c r="V3367">
        <f>U3367*1</f>
        <v>3366</v>
      </c>
      <c r="W3367">
        <f t="shared" si="381"/>
        <v>1882.80666666667</v>
      </c>
      <c r="X3367">
        <f t="shared" si="379"/>
        <v>1.62313100747597</v>
      </c>
      <c r="AH3367" t="str">
        <f t="shared" si="382"/>
        <v>3rd Quality</v>
      </c>
      <c r="AJ3367">
        <f>((T3367-X3367)*2)/26.4</f>
        <v>7.87121061391175</v>
      </c>
      <c r="AK3367">
        <f t="shared" si="380"/>
        <v>153958.219111111</v>
      </c>
    </row>
    <row r="3368" spans="1:37">
      <c r="A3368" t="s">
        <v>3434</v>
      </c>
      <c r="B3368">
        <v>31</v>
      </c>
      <c r="C3368" t="s">
        <v>50</v>
      </c>
      <c r="D3368" t="s">
        <v>60</v>
      </c>
      <c r="E3368">
        <v>1136</v>
      </c>
      <c r="F3368">
        <v>87</v>
      </c>
      <c r="G3368">
        <v>9</v>
      </c>
      <c r="H3368">
        <v>660.75</v>
      </c>
      <c r="I3368">
        <v>6093.43</v>
      </c>
      <c r="J3368">
        <v>81</v>
      </c>
      <c r="K3368">
        <v>0</v>
      </c>
      <c r="L3368">
        <v>34.6</v>
      </c>
      <c r="M3368">
        <v>25.2</v>
      </c>
      <c r="N3368" t="s">
        <v>81</v>
      </c>
      <c r="O3368" t="s">
        <v>47</v>
      </c>
      <c r="P3368" t="s">
        <v>58</v>
      </c>
      <c r="R3368">
        <f>SUMIF(A3368:A8367,"C03367",I3368:I8367)</f>
        <v>6093.43</v>
      </c>
      <c r="S3368" s="1">
        <v>8852.96</v>
      </c>
      <c r="T3368">
        <f t="shared" si="384"/>
        <v>75.2275308641975</v>
      </c>
      <c r="U3368">
        <f t="shared" si="385"/>
        <v>2041.2</v>
      </c>
      <c r="V3368">
        <f t="shared" si="383"/>
        <v>170.1</v>
      </c>
      <c r="W3368">
        <f t="shared" si="381"/>
        <v>2251.72666666667</v>
      </c>
      <c r="X3368">
        <f t="shared" si="379"/>
        <v>1.71925841846387</v>
      </c>
      <c r="AH3368" t="str">
        <f t="shared" si="382"/>
        <v>3rd Quality</v>
      </c>
      <c r="AJ3368">
        <f>((T3368-X3368)*2)/34.6</f>
        <v>4.24903308934876</v>
      </c>
      <c r="AK3368">
        <f t="shared" si="380"/>
        <v>85458.4750617284</v>
      </c>
    </row>
    <row r="3369" spans="1:37">
      <c r="A3369" t="s">
        <v>3435</v>
      </c>
      <c r="B3369">
        <v>55</v>
      </c>
      <c r="C3369" t="s">
        <v>50</v>
      </c>
      <c r="D3369" t="s">
        <v>60</v>
      </c>
      <c r="E3369">
        <v>942</v>
      </c>
      <c r="F3369">
        <v>31</v>
      </c>
      <c r="G3369">
        <v>3</v>
      </c>
      <c r="H3369">
        <v>15961.04</v>
      </c>
      <c r="I3369">
        <v>44106.16</v>
      </c>
      <c r="J3369">
        <v>21</v>
      </c>
      <c r="K3369">
        <v>0</v>
      </c>
      <c r="L3369">
        <v>12.5</v>
      </c>
      <c r="M3369">
        <v>27.9</v>
      </c>
      <c r="N3369" t="s">
        <v>78</v>
      </c>
      <c r="O3369" t="s">
        <v>53</v>
      </c>
      <c r="P3369" t="s">
        <v>68</v>
      </c>
      <c r="R3369">
        <f>SUMIF(A3369:A8368,"C03368",I3369:I8368)</f>
        <v>44106.16</v>
      </c>
      <c r="S3369" s="1">
        <v>1625.73</v>
      </c>
      <c r="T3369">
        <f t="shared" si="384"/>
        <v>2100.29333333333</v>
      </c>
      <c r="U3369">
        <f t="shared" si="385"/>
        <v>585.9</v>
      </c>
      <c r="V3369">
        <f t="shared" si="383"/>
        <v>48.825</v>
      </c>
      <c r="W3369">
        <f t="shared" si="381"/>
        <v>20022.7333333333</v>
      </c>
      <c r="X3369">
        <f t="shared" si="379"/>
        <v>0.0590187105602141</v>
      </c>
      <c r="AH3369" t="str">
        <f t="shared" si="382"/>
        <v>3rd Quality</v>
      </c>
      <c r="AJ3369">
        <f>((T3369-X3369)*2)/12.5</f>
        <v>336.037490339643</v>
      </c>
      <c r="AK3369">
        <f t="shared" si="380"/>
        <v>1978476.32</v>
      </c>
    </row>
    <row r="3370" spans="1:37">
      <c r="A3370" t="s">
        <v>3436</v>
      </c>
      <c r="B3370">
        <v>40</v>
      </c>
      <c r="C3370" t="s">
        <v>50</v>
      </c>
      <c r="D3370" t="s">
        <v>45</v>
      </c>
      <c r="E3370">
        <v>1033</v>
      </c>
      <c r="F3370">
        <v>14</v>
      </c>
      <c r="G3370">
        <v>27</v>
      </c>
      <c r="H3370">
        <v>1667.6</v>
      </c>
      <c r="I3370">
        <v>41686.72</v>
      </c>
      <c r="J3370">
        <v>196</v>
      </c>
      <c r="K3370">
        <v>0</v>
      </c>
      <c r="L3370">
        <v>10.5</v>
      </c>
      <c r="M3370">
        <v>42.8</v>
      </c>
      <c r="N3370" t="s">
        <v>46</v>
      </c>
      <c r="O3370" t="s">
        <v>47</v>
      </c>
      <c r="P3370" t="s">
        <v>58</v>
      </c>
      <c r="R3370">
        <f>SUMIF(A3370:A8369,"C03369",I3370:I8369)</f>
        <v>41686.72</v>
      </c>
      <c r="S3370" s="1">
        <v>139803.62</v>
      </c>
      <c r="T3370">
        <f t="shared" si="384"/>
        <v>212.687346938776</v>
      </c>
      <c r="U3370">
        <f t="shared" si="385"/>
        <v>8388.8</v>
      </c>
      <c r="V3370">
        <f t="shared" si="383"/>
        <v>699.066666666667</v>
      </c>
      <c r="W3370">
        <f t="shared" si="381"/>
        <v>14451.7733333333</v>
      </c>
      <c r="X3370">
        <f t="shared" si="379"/>
        <v>0.619453106260494</v>
      </c>
      <c r="AH3370" t="str">
        <f t="shared" si="382"/>
        <v>2nd Quality</v>
      </c>
      <c r="AJ3370">
        <f>((T3370-X3370)*2)/10.5</f>
        <v>40.3938845395268</v>
      </c>
      <c r="AK3370">
        <f t="shared" si="380"/>
        <v>219706.029387755</v>
      </c>
    </row>
    <row r="3371" spans="1:37">
      <c r="A3371" t="s">
        <v>3437</v>
      </c>
      <c r="B3371">
        <v>36</v>
      </c>
      <c r="C3371" t="s">
        <v>44</v>
      </c>
      <c r="D3371" t="s">
        <v>60</v>
      </c>
      <c r="E3371">
        <v>617</v>
      </c>
      <c r="F3371">
        <v>41</v>
      </c>
      <c r="G3371">
        <v>8</v>
      </c>
      <c r="H3371">
        <v>1131.79</v>
      </c>
      <c r="I3371">
        <v>8852.96</v>
      </c>
      <c r="J3371">
        <v>65</v>
      </c>
      <c r="K3371">
        <v>2</v>
      </c>
      <c r="L3371">
        <v>18.3</v>
      </c>
      <c r="M3371">
        <v>4.9</v>
      </c>
      <c r="N3371" t="s">
        <v>52</v>
      </c>
      <c r="O3371" t="s">
        <v>75</v>
      </c>
      <c r="P3371" t="s">
        <v>58</v>
      </c>
      <c r="R3371">
        <f>SUMIF(A3371:A8370,"C03370",I3371:I8370)</f>
        <v>8852.96</v>
      </c>
      <c r="S3371" s="1">
        <v>1935.61</v>
      </c>
      <c r="T3371">
        <f t="shared" si="384"/>
        <v>136.199384615385</v>
      </c>
      <c r="U3371">
        <f t="shared" si="385"/>
        <v>318.5</v>
      </c>
      <c r="V3371">
        <f>U3371*2</f>
        <v>637</v>
      </c>
      <c r="W3371">
        <f t="shared" si="381"/>
        <v>3328.58333333333</v>
      </c>
      <c r="X3371">
        <f t="shared" si="379"/>
        <v>0.545154136368054</v>
      </c>
      <c r="AH3371" t="str">
        <f t="shared" si="382"/>
        <v>3rd Quality</v>
      </c>
      <c r="AJ3371">
        <f>((T3371-X3371)*2)/18.3</f>
        <v>14.8255989594554</v>
      </c>
      <c r="AK3371">
        <f t="shared" si="380"/>
        <v>84035.0203076923</v>
      </c>
    </row>
    <row r="3372" spans="1:37">
      <c r="A3372" t="s">
        <v>3438</v>
      </c>
      <c r="B3372">
        <v>37</v>
      </c>
      <c r="C3372" t="s">
        <v>50</v>
      </c>
      <c r="D3372" t="s">
        <v>60</v>
      </c>
      <c r="E3372">
        <v>753</v>
      </c>
      <c r="F3372">
        <v>365</v>
      </c>
      <c r="G3372">
        <v>1</v>
      </c>
      <c r="H3372">
        <v>1683</v>
      </c>
      <c r="I3372">
        <v>1625.73</v>
      </c>
      <c r="J3372">
        <v>16</v>
      </c>
      <c r="K3372">
        <v>0</v>
      </c>
      <c r="L3372">
        <v>22.5</v>
      </c>
      <c r="M3372">
        <v>29.1</v>
      </c>
      <c r="N3372" t="s">
        <v>61</v>
      </c>
      <c r="O3372" t="s">
        <v>47</v>
      </c>
      <c r="P3372" t="s">
        <v>58</v>
      </c>
      <c r="R3372">
        <f>SUMIF(A3372:A8371,"C03371",I3372:I8371)</f>
        <v>1625.73</v>
      </c>
      <c r="S3372" s="1">
        <v>81098.21</v>
      </c>
      <c r="T3372">
        <f t="shared" si="384"/>
        <v>101.608125</v>
      </c>
      <c r="U3372">
        <f t="shared" si="385"/>
        <v>465.6</v>
      </c>
      <c r="V3372">
        <f t="shared" si="383"/>
        <v>38.8</v>
      </c>
      <c r="W3372">
        <f t="shared" si="381"/>
        <v>1103.24333333333</v>
      </c>
      <c r="X3372">
        <f t="shared" si="379"/>
        <v>0.447415329768271</v>
      </c>
      <c r="AH3372" t="str">
        <f t="shared" si="382"/>
        <v>3rd Quality</v>
      </c>
      <c r="AJ3372">
        <f>((T3372-X3372)*2)/22.5</f>
        <v>8.99206308179838</v>
      </c>
      <c r="AK3372">
        <f t="shared" si="380"/>
        <v>76510.918125</v>
      </c>
    </row>
    <row r="3373" spans="1:37">
      <c r="A3373" t="s">
        <v>3439</v>
      </c>
      <c r="B3373">
        <v>42</v>
      </c>
      <c r="C3373" t="s">
        <v>50</v>
      </c>
      <c r="D3373" t="s">
        <v>60</v>
      </c>
      <c r="E3373">
        <v>1156</v>
      </c>
      <c r="F3373">
        <v>14</v>
      </c>
      <c r="G3373">
        <v>31</v>
      </c>
      <c r="H3373">
        <v>4986.22</v>
      </c>
      <c r="I3373">
        <v>139803.62</v>
      </c>
      <c r="J3373">
        <v>102</v>
      </c>
      <c r="K3373">
        <v>4</v>
      </c>
      <c r="L3373">
        <v>8.4</v>
      </c>
      <c r="M3373">
        <v>43.2</v>
      </c>
      <c r="N3373" t="s">
        <v>46</v>
      </c>
      <c r="O3373" t="s">
        <v>47</v>
      </c>
      <c r="P3373" t="s">
        <v>68</v>
      </c>
      <c r="R3373">
        <f>SUMIF(A3373:A8372,"C03372",I3373:I8372)</f>
        <v>139803.62</v>
      </c>
      <c r="S3373" s="1">
        <v>42656.63</v>
      </c>
      <c r="T3373">
        <f t="shared" si="384"/>
        <v>1370.6237254902</v>
      </c>
      <c r="U3373">
        <f t="shared" si="385"/>
        <v>4406.4</v>
      </c>
      <c r="V3373">
        <f>U3373*4</f>
        <v>17625.6</v>
      </c>
      <c r="W3373">
        <f t="shared" si="381"/>
        <v>48263.6133333333</v>
      </c>
      <c r="X3373">
        <f t="shared" si="379"/>
        <v>0.231838948141077</v>
      </c>
      <c r="AH3373" t="str">
        <f t="shared" si="382"/>
        <v>2nd Quality</v>
      </c>
      <c r="AJ3373">
        <f>((T3373-X3373)*2)/8.4</f>
        <v>326.283782510014</v>
      </c>
      <c r="AK3373">
        <f t="shared" si="380"/>
        <v>1584441.02666667</v>
      </c>
    </row>
    <row r="3374" spans="1:37">
      <c r="A3374" t="s">
        <v>3440</v>
      </c>
      <c r="B3374">
        <v>35</v>
      </c>
      <c r="C3374" t="s">
        <v>44</v>
      </c>
      <c r="D3374" t="s">
        <v>60</v>
      </c>
      <c r="E3374">
        <v>1421</v>
      </c>
      <c r="F3374">
        <v>105</v>
      </c>
      <c r="G3374">
        <v>1</v>
      </c>
      <c r="H3374">
        <v>1781.93</v>
      </c>
      <c r="I3374">
        <v>1935.61</v>
      </c>
      <c r="J3374">
        <v>11</v>
      </c>
      <c r="K3374">
        <v>0</v>
      </c>
      <c r="L3374">
        <v>33.7</v>
      </c>
      <c r="M3374">
        <v>8.9</v>
      </c>
      <c r="N3374" t="s">
        <v>57</v>
      </c>
      <c r="O3374" t="s">
        <v>47</v>
      </c>
      <c r="P3374" t="s">
        <v>68</v>
      </c>
      <c r="R3374">
        <f>SUMIF(A3374:A8373,"C03373",I3374:I8373)</f>
        <v>1935.61</v>
      </c>
      <c r="S3374" s="1">
        <v>6609.23</v>
      </c>
      <c r="T3374">
        <f t="shared" si="384"/>
        <v>175.964545454545</v>
      </c>
      <c r="U3374">
        <f t="shared" si="385"/>
        <v>97.9</v>
      </c>
      <c r="V3374">
        <f t="shared" si="383"/>
        <v>8.15833333333333</v>
      </c>
      <c r="W3374">
        <f t="shared" si="381"/>
        <v>1239.51333333333</v>
      </c>
      <c r="X3374">
        <f t="shared" si="379"/>
        <v>0.797449955946642</v>
      </c>
      <c r="AH3374" t="str">
        <f t="shared" si="382"/>
        <v>3rd Quality</v>
      </c>
      <c r="AJ3374">
        <f>((T3374-X3374)*2)/33.7</f>
        <v>10.395673323359</v>
      </c>
      <c r="AK3374">
        <f t="shared" si="380"/>
        <v>250045.619090909</v>
      </c>
    </row>
    <row r="3375" spans="1:37">
      <c r="A3375" t="s">
        <v>3441</v>
      </c>
      <c r="B3375">
        <v>35</v>
      </c>
      <c r="C3375" t="s">
        <v>50</v>
      </c>
      <c r="D3375" t="s">
        <v>60</v>
      </c>
      <c r="E3375">
        <v>422</v>
      </c>
      <c r="F3375">
        <v>9</v>
      </c>
      <c r="G3375">
        <v>27</v>
      </c>
      <c r="H3375">
        <v>2725.85</v>
      </c>
      <c r="I3375">
        <v>81098.21</v>
      </c>
      <c r="J3375">
        <v>144</v>
      </c>
      <c r="K3375">
        <v>1</v>
      </c>
      <c r="L3375">
        <v>5.4</v>
      </c>
      <c r="M3375">
        <v>33.6</v>
      </c>
      <c r="N3375" t="s">
        <v>52</v>
      </c>
      <c r="O3375" t="s">
        <v>47</v>
      </c>
      <c r="P3375" t="s">
        <v>68</v>
      </c>
      <c r="R3375">
        <f>SUMIF(A3375:A8374,"C03374",I3375:I8374)</f>
        <v>81098.21</v>
      </c>
      <c r="S3375" s="1">
        <v>84773.96</v>
      </c>
      <c r="T3375">
        <f t="shared" si="384"/>
        <v>563.182013888889</v>
      </c>
      <c r="U3375">
        <f t="shared" si="385"/>
        <v>4838.4</v>
      </c>
      <c r="V3375">
        <f>U3375*1</f>
        <v>4838.4</v>
      </c>
      <c r="W3375">
        <f t="shared" si="381"/>
        <v>27941.6866666667</v>
      </c>
      <c r="X3375">
        <f t="shared" si="379"/>
        <v>0.154814094686061</v>
      </c>
      <c r="AH3375" t="str">
        <f t="shared" si="382"/>
        <v>3rd Quality</v>
      </c>
      <c r="AJ3375">
        <f>((T3375-X3375)*2)/5.4</f>
        <v>208.528592516371</v>
      </c>
      <c r="AK3375">
        <f t="shared" si="380"/>
        <v>237662.809861111</v>
      </c>
    </row>
    <row r="3376" spans="1:37">
      <c r="A3376" t="s">
        <v>3442</v>
      </c>
      <c r="B3376">
        <v>44</v>
      </c>
      <c r="C3376" t="s">
        <v>101</v>
      </c>
      <c r="D3376" t="s">
        <v>60</v>
      </c>
      <c r="E3376">
        <v>822</v>
      </c>
      <c r="F3376">
        <v>12</v>
      </c>
      <c r="G3376">
        <v>4</v>
      </c>
      <c r="H3376">
        <v>11660.98</v>
      </c>
      <c r="I3376">
        <v>42656.63</v>
      </c>
      <c r="J3376">
        <v>35</v>
      </c>
      <c r="K3376">
        <v>0</v>
      </c>
      <c r="L3376">
        <v>4.5</v>
      </c>
      <c r="M3376">
        <v>33.1</v>
      </c>
      <c r="N3376" t="s">
        <v>78</v>
      </c>
      <c r="O3376" t="s">
        <v>53</v>
      </c>
      <c r="P3376" t="s">
        <v>66</v>
      </c>
      <c r="R3376">
        <f>SUMIF(A3376:A8375,"C03375",I3376:I8375)</f>
        <v>42656.63</v>
      </c>
      <c r="S3376" s="1">
        <v>1844.83</v>
      </c>
      <c r="T3376">
        <f t="shared" si="384"/>
        <v>1218.76085714286</v>
      </c>
      <c r="U3376">
        <f t="shared" si="385"/>
        <v>1158.5</v>
      </c>
      <c r="V3376">
        <f t="shared" si="383"/>
        <v>96.5416666666667</v>
      </c>
      <c r="W3376">
        <f t="shared" si="381"/>
        <v>18106.2033333333</v>
      </c>
      <c r="X3376">
        <f t="shared" si="379"/>
        <v>0.0704915024294699</v>
      </c>
      <c r="AH3376" t="str">
        <f t="shared" si="382"/>
        <v>3rd Quality</v>
      </c>
      <c r="AJ3376">
        <f>((T3376-X3376)*2)/4.5</f>
        <v>541.640162506858</v>
      </c>
      <c r="AK3376">
        <f t="shared" si="380"/>
        <v>1001821.42457143</v>
      </c>
    </row>
    <row r="3377" spans="1:37">
      <c r="A3377" t="s">
        <v>3443</v>
      </c>
      <c r="B3377">
        <v>47</v>
      </c>
      <c r="C3377" t="s">
        <v>50</v>
      </c>
      <c r="D3377" t="s">
        <v>51</v>
      </c>
      <c r="E3377">
        <v>1120</v>
      </c>
      <c r="F3377">
        <v>7</v>
      </c>
      <c r="G3377">
        <v>5</v>
      </c>
      <c r="H3377">
        <v>1302.36</v>
      </c>
      <c r="I3377">
        <v>6609.23</v>
      </c>
      <c r="J3377">
        <v>42</v>
      </c>
      <c r="K3377">
        <v>1</v>
      </c>
      <c r="L3377">
        <v>25.7</v>
      </c>
      <c r="M3377">
        <v>13.7</v>
      </c>
      <c r="N3377" t="s">
        <v>57</v>
      </c>
      <c r="O3377" t="s">
        <v>53</v>
      </c>
      <c r="P3377" t="s">
        <v>66</v>
      </c>
      <c r="R3377">
        <f>SUMIF(A3377:A8376,"C03376",I3377:I8376)</f>
        <v>6609.23</v>
      </c>
      <c r="S3377" s="1">
        <v>9793.01</v>
      </c>
      <c r="T3377">
        <f t="shared" si="384"/>
        <v>157.362619047619</v>
      </c>
      <c r="U3377">
        <f t="shared" si="385"/>
        <v>575.4</v>
      </c>
      <c r="V3377">
        <f>U3377*1</f>
        <v>575.4</v>
      </c>
      <c r="W3377">
        <f t="shared" si="381"/>
        <v>2637.53</v>
      </c>
      <c r="X3377">
        <f t="shared" si="379"/>
        <v>0.859977272029239</v>
      </c>
      <c r="AH3377" t="str">
        <f t="shared" si="382"/>
        <v>3rd Quality</v>
      </c>
      <c r="AJ3377">
        <f>((T3377-X3377)*2)/25.7</f>
        <v>12.1791939124973</v>
      </c>
      <c r="AK3377">
        <f t="shared" si="380"/>
        <v>176246.133333333</v>
      </c>
    </row>
    <row r="3378" spans="1:37">
      <c r="A3378" t="s">
        <v>3444</v>
      </c>
      <c r="B3378">
        <v>34</v>
      </c>
      <c r="C3378" t="s">
        <v>44</v>
      </c>
      <c r="D3378" t="s">
        <v>45</v>
      </c>
      <c r="E3378">
        <v>877</v>
      </c>
      <c r="F3378">
        <v>1</v>
      </c>
      <c r="G3378">
        <v>28</v>
      </c>
      <c r="H3378">
        <v>3079.54</v>
      </c>
      <c r="I3378">
        <v>84773.96</v>
      </c>
      <c r="J3378">
        <v>226</v>
      </c>
      <c r="K3378">
        <v>1</v>
      </c>
      <c r="L3378">
        <v>0</v>
      </c>
      <c r="M3378">
        <v>7.8</v>
      </c>
      <c r="N3378" t="s">
        <v>81</v>
      </c>
      <c r="O3378" t="s">
        <v>75</v>
      </c>
      <c r="P3378" t="s">
        <v>68</v>
      </c>
      <c r="R3378">
        <f>SUMIF(A3378:A8377,"C03377",I3378:I8377)</f>
        <v>84773.96</v>
      </c>
      <c r="S3378" s="1">
        <v>4953.86</v>
      </c>
      <c r="T3378">
        <f t="shared" si="384"/>
        <v>375.106017699115</v>
      </c>
      <c r="U3378">
        <f t="shared" si="385"/>
        <v>1762.8</v>
      </c>
      <c r="V3378">
        <f>U3378*1</f>
        <v>1762.8</v>
      </c>
      <c r="W3378">
        <f t="shared" si="381"/>
        <v>29284.8333333333</v>
      </c>
      <c r="X3378">
        <f t="shared" si="379"/>
        <v>0.284782792235204</v>
      </c>
      <c r="AH3378" t="str">
        <f t="shared" si="382"/>
        <v>2nd Quality</v>
      </c>
      <c r="AJ3378">
        <f>((T3378-X3378)*2)</f>
        <v>749.64246981376</v>
      </c>
      <c r="AK3378">
        <f t="shared" si="380"/>
        <v>328967.977522124</v>
      </c>
    </row>
    <row r="3379" spans="1:37">
      <c r="A3379" t="s">
        <v>3445</v>
      </c>
      <c r="B3379">
        <v>33</v>
      </c>
      <c r="C3379" t="s">
        <v>50</v>
      </c>
      <c r="D3379" t="s">
        <v>60</v>
      </c>
      <c r="E3379">
        <v>1280</v>
      </c>
      <c r="F3379">
        <v>289</v>
      </c>
      <c r="G3379">
        <v>1</v>
      </c>
      <c r="H3379">
        <v>1886.02</v>
      </c>
      <c r="I3379">
        <v>1844.83</v>
      </c>
      <c r="J3379">
        <v>7</v>
      </c>
      <c r="K3379">
        <v>0</v>
      </c>
      <c r="L3379">
        <v>26.4</v>
      </c>
      <c r="M3379">
        <v>16.2</v>
      </c>
      <c r="N3379" t="s">
        <v>78</v>
      </c>
      <c r="O3379" t="s">
        <v>53</v>
      </c>
      <c r="P3379" t="s">
        <v>58</v>
      </c>
      <c r="R3379">
        <f>SUMIF(A3379:A8378,"C03378",I3379:I8378)</f>
        <v>1844.83</v>
      </c>
      <c r="S3379" s="1">
        <v>14252.14</v>
      </c>
      <c r="T3379">
        <f t="shared" si="384"/>
        <v>263.547142857143</v>
      </c>
      <c r="U3379">
        <f t="shared" si="385"/>
        <v>113.4</v>
      </c>
      <c r="V3379">
        <f t="shared" si="383"/>
        <v>9.45</v>
      </c>
      <c r="W3379">
        <f t="shared" si="381"/>
        <v>1243.95</v>
      </c>
      <c r="X3379">
        <f t="shared" si="379"/>
        <v>0.678677850712082</v>
      </c>
      <c r="AH3379" t="str">
        <f t="shared" si="382"/>
        <v>3rd Quality</v>
      </c>
      <c r="AJ3379">
        <f>((T3379-X3379)*2)/26.4</f>
        <v>19.9142776520023</v>
      </c>
      <c r="AK3379">
        <f t="shared" si="380"/>
        <v>337340.342857143</v>
      </c>
    </row>
    <row r="3380" spans="1:37">
      <c r="A3380" t="s">
        <v>3446</v>
      </c>
      <c r="B3380">
        <v>25</v>
      </c>
      <c r="C3380" t="s">
        <v>101</v>
      </c>
      <c r="D3380" t="s">
        <v>45</v>
      </c>
      <c r="E3380">
        <v>1074</v>
      </c>
      <c r="F3380">
        <v>32</v>
      </c>
      <c r="G3380">
        <v>13</v>
      </c>
      <c r="H3380">
        <v>739.06</v>
      </c>
      <c r="I3380">
        <v>9793.01</v>
      </c>
      <c r="J3380">
        <v>100</v>
      </c>
      <c r="K3380">
        <v>0</v>
      </c>
      <c r="L3380">
        <v>21.6</v>
      </c>
      <c r="M3380">
        <v>24.5</v>
      </c>
      <c r="N3380" t="s">
        <v>81</v>
      </c>
      <c r="O3380" t="s">
        <v>47</v>
      </c>
      <c r="P3380" t="s">
        <v>48</v>
      </c>
      <c r="R3380">
        <f>SUMIF(A3380:A8379,"C03379",I3380:I8379)</f>
        <v>9793.01</v>
      </c>
      <c r="S3380" s="1">
        <v>2242.65</v>
      </c>
      <c r="T3380">
        <f t="shared" si="384"/>
        <v>97.9301</v>
      </c>
      <c r="U3380">
        <f t="shared" si="385"/>
        <v>2450</v>
      </c>
      <c r="V3380">
        <f t="shared" si="383"/>
        <v>204.166666666667</v>
      </c>
      <c r="W3380">
        <f t="shared" si="381"/>
        <v>3511.02333333333</v>
      </c>
      <c r="X3380">
        <f t="shared" si="379"/>
        <v>1.45319730468433</v>
      </c>
      <c r="AH3380" t="str">
        <f t="shared" si="382"/>
        <v>3rd Quality</v>
      </c>
      <c r="AJ3380">
        <f>((T3380-X3380)*2)/21.6</f>
        <v>8.93304654586256</v>
      </c>
      <c r="AK3380">
        <f t="shared" si="380"/>
        <v>105176.9274</v>
      </c>
    </row>
    <row r="3381" spans="1:37">
      <c r="A3381" t="s">
        <v>3447</v>
      </c>
      <c r="B3381">
        <v>30</v>
      </c>
      <c r="C3381" t="s">
        <v>44</v>
      </c>
      <c r="D3381" t="s">
        <v>60</v>
      </c>
      <c r="E3381">
        <v>752</v>
      </c>
      <c r="F3381">
        <v>307</v>
      </c>
      <c r="G3381">
        <v>3</v>
      </c>
      <c r="H3381">
        <v>1669.35</v>
      </c>
      <c r="I3381">
        <v>4953.86</v>
      </c>
      <c r="J3381">
        <v>17</v>
      </c>
      <c r="K3381">
        <v>0</v>
      </c>
      <c r="L3381">
        <v>0</v>
      </c>
      <c r="M3381">
        <v>16.3</v>
      </c>
      <c r="N3381" t="s">
        <v>63</v>
      </c>
      <c r="O3381" t="s">
        <v>53</v>
      </c>
      <c r="P3381" t="s">
        <v>68</v>
      </c>
      <c r="R3381">
        <f>SUMIF(A3381:A8380,"C03380",I3381:I8380)</f>
        <v>4953.86</v>
      </c>
      <c r="S3381" s="1">
        <v>2124.97</v>
      </c>
      <c r="T3381">
        <f t="shared" si="384"/>
        <v>291.403529411765</v>
      </c>
      <c r="U3381">
        <f t="shared" si="385"/>
        <v>277.1</v>
      </c>
      <c r="V3381">
        <f t="shared" si="383"/>
        <v>23.0916666666667</v>
      </c>
      <c r="W3381">
        <f t="shared" si="381"/>
        <v>2208.07</v>
      </c>
      <c r="X3381">
        <f t="shared" si="379"/>
        <v>0.450474735675562</v>
      </c>
      <c r="AH3381" t="str">
        <f t="shared" si="382"/>
        <v>3rd Quality</v>
      </c>
      <c r="AJ3381">
        <f>((T3381-X3381)*2)</f>
        <v>581.906109352179</v>
      </c>
      <c r="AK3381">
        <f t="shared" si="380"/>
        <v>219135.454117647</v>
      </c>
    </row>
    <row r="3382" spans="1:37">
      <c r="A3382" t="s">
        <v>3448</v>
      </c>
      <c r="B3382">
        <v>47</v>
      </c>
      <c r="C3382" t="s">
        <v>44</v>
      </c>
      <c r="D3382" t="s">
        <v>45</v>
      </c>
      <c r="E3382">
        <v>1204</v>
      </c>
      <c r="F3382">
        <v>87</v>
      </c>
      <c r="G3382">
        <v>9</v>
      </c>
      <c r="H3382">
        <v>1602.22</v>
      </c>
      <c r="I3382">
        <v>14252.14</v>
      </c>
      <c r="J3382">
        <v>82</v>
      </c>
      <c r="K3382">
        <v>1</v>
      </c>
      <c r="L3382">
        <v>23.2</v>
      </c>
      <c r="M3382">
        <v>86.1</v>
      </c>
      <c r="N3382" t="s">
        <v>63</v>
      </c>
      <c r="O3382" t="s">
        <v>75</v>
      </c>
      <c r="P3382" t="s">
        <v>48</v>
      </c>
      <c r="R3382">
        <f>SUMIF(A3382:A8381,"C03381",I3382:I8381)</f>
        <v>14252.14</v>
      </c>
      <c r="S3382" s="1">
        <v>30121.51</v>
      </c>
      <c r="T3382">
        <f t="shared" si="384"/>
        <v>173.806585365854</v>
      </c>
      <c r="U3382">
        <f t="shared" si="385"/>
        <v>7060.2</v>
      </c>
      <c r="V3382">
        <f>U3382*1</f>
        <v>7060.2</v>
      </c>
      <c r="W3382">
        <f t="shared" si="381"/>
        <v>5285.12</v>
      </c>
      <c r="X3382">
        <f t="shared" si="379"/>
        <v>0.75145735292282</v>
      </c>
      <c r="AH3382" t="str">
        <f t="shared" si="382"/>
        <v>3rd Quality</v>
      </c>
      <c r="AJ3382">
        <f>((T3382-X3382)*2)/23.2</f>
        <v>14.9185455183561</v>
      </c>
      <c r="AK3382">
        <f t="shared" si="380"/>
        <v>209263.128780488</v>
      </c>
    </row>
    <row r="3383" spans="1:37">
      <c r="A3383" t="s">
        <v>3449</v>
      </c>
      <c r="B3383">
        <v>35</v>
      </c>
      <c r="C3383" t="s">
        <v>50</v>
      </c>
      <c r="D3383" t="s">
        <v>45</v>
      </c>
      <c r="E3383">
        <v>735</v>
      </c>
      <c r="F3383">
        <v>174</v>
      </c>
      <c r="G3383">
        <v>2</v>
      </c>
      <c r="H3383">
        <v>1226.2</v>
      </c>
      <c r="I3383">
        <v>2242.65</v>
      </c>
      <c r="J3383">
        <v>22</v>
      </c>
      <c r="K3383">
        <v>0</v>
      </c>
      <c r="L3383">
        <v>14</v>
      </c>
      <c r="M3383">
        <v>42.6</v>
      </c>
      <c r="N3383" t="s">
        <v>81</v>
      </c>
      <c r="O3383" t="s">
        <v>53</v>
      </c>
      <c r="P3383" t="s">
        <v>58</v>
      </c>
      <c r="R3383">
        <f>SUMIF(A3383:A8382,"C03382",I3383:I8382)</f>
        <v>2242.65</v>
      </c>
      <c r="S3383" s="1">
        <v>62212.26</v>
      </c>
      <c r="T3383">
        <f t="shared" si="384"/>
        <v>101.938636363636</v>
      </c>
      <c r="U3383">
        <f t="shared" si="385"/>
        <v>937.2</v>
      </c>
      <c r="V3383">
        <f t="shared" ref="V3382:V3445" si="386">U3383/12</f>
        <v>78.1</v>
      </c>
      <c r="W3383">
        <f t="shared" si="381"/>
        <v>1156.61666666667</v>
      </c>
      <c r="X3383">
        <f t="shared" si="379"/>
        <v>0.599412820094601</v>
      </c>
      <c r="AH3383" t="str">
        <f t="shared" si="382"/>
        <v>3rd Quality</v>
      </c>
      <c r="AJ3383">
        <f>((T3383-X3383)*2)/14</f>
        <v>14.4770319347916</v>
      </c>
      <c r="AK3383">
        <f t="shared" si="380"/>
        <v>74924.8977272727</v>
      </c>
    </row>
    <row r="3384" spans="1:37">
      <c r="A3384" t="s">
        <v>3450</v>
      </c>
      <c r="B3384">
        <v>44</v>
      </c>
      <c r="C3384" t="s">
        <v>50</v>
      </c>
      <c r="D3384" t="s">
        <v>45</v>
      </c>
      <c r="E3384">
        <v>820</v>
      </c>
      <c r="F3384">
        <v>55</v>
      </c>
      <c r="G3384">
        <v>1</v>
      </c>
      <c r="H3384">
        <v>2022.72</v>
      </c>
      <c r="I3384">
        <v>2124.97</v>
      </c>
      <c r="J3384">
        <v>18</v>
      </c>
      <c r="K3384">
        <v>0</v>
      </c>
      <c r="L3384">
        <v>9.7</v>
      </c>
      <c r="M3384">
        <v>11.2</v>
      </c>
      <c r="N3384" t="s">
        <v>63</v>
      </c>
      <c r="O3384" t="s">
        <v>47</v>
      </c>
      <c r="P3384" t="s">
        <v>58</v>
      </c>
      <c r="R3384">
        <f>SUMIF(A3384:A8383,"C03383",I3384:I8383)</f>
        <v>2124.97</v>
      </c>
      <c r="S3384" s="1">
        <v>4119.66</v>
      </c>
      <c r="T3384">
        <f t="shared" si="384"/>
        <v>118.053888888889</v>
      </c>
      <c r="U3384">
        <f t="shared" si="385"/>
        <v>201.6</v>
      </c>
      <c r="V3384">
        <f t="shared" si="386"/>
        <v>16.8</v>
      </c>
      <c r="W3384">
        <f t="shared" si="381"/>
        <v>1382.89666666667</v>
      </c>
      <c r="X3384">
        <f t="shared" ref="X3384:X3447" si="387">E3384/H3384</f>
        <v>0.405394716025945</v>
      </c>
      <c r="AH3384" t="str">
        <f t="shared" si="382"/>
        <v>3rd Quality</v>
      </c>
      <c r="AJ3384">
        <f>((T3384-X3384)*2)/9.7</f>
        <v>24.2574214789408</v>
      </c>
      <c r="AK3384">
        <f t="shared" si="380"/>
        <v>96804.1888888889</v>
      </c>
    </row>
    <row r="3385" spans="1:37">
      <c r="A3385" t="s">
        <v>3451</v>
      </c>
      <c r="B3385">
        <v>26</v>
      </c>
      <c r="C3385" t="s">
        <v>50</v>
      </c>
      <c r="D3385" t="s">
        <v>60</v>
      </c>
      <c r="E3385">
        <v>667</v>
      </c>
      <c r="F3385">
        <v>53</v>
      </c>
      <c r="G3385">
        <v>6</v>
      </c>
      <c r="H3385">
        <v>4925.76</v>
      </c>
      <c r="I3385">
        <v>30121.51</v>
      </c>
      <c r="J3385">
        <v>51</v>
      </c>
      <c r="K3385">
        <v>0</v>
      </c>
      <c r="L3385">
        <v>19.7</v>
      </c>
      <c r="M3385">
        <v>9.4</v>
      </c>
      <c r="N3385" t="s">
        <v>57</v>
      </c>
      <c r="O3385" t="s">
        <v>47</v>
      </c>
      <c r="P3385" t="s">
        <v>58</v>
      </c>
      <c r="R3385">
        <f>SUMIF(A3385:A8384,"C03384",I3385:I8384)</f>
        <v>30121.51</v>
      </c>
      <c r="S3385" s="1">
        <v>32602.39</v>
      </c>
      <c r="T3385">
        <f t="shared" si="384"/>
        <v>590.617843137255</v>
      </c>
      <c r="U3385">
        <f t="shared" si="385"/>
        <v>479.4</v>
      </c>
      <c r="V3385">
        <f t="shared" si="386"/>
        <v>39.95</v>
      </c>
      <c r="W3385">
        <f t="shared" si="381"/>
        <v>11682.7566666667</v>
      </c>
      <c r="X3385">
        <f t="shared" si="387"/>
        <v>0.135410576235951</v>
      </c>
      <c r="AH3385" t="str">
        <f t="shared" si="382"/>
        <v>2nd Quality</v>
      </c>
      <c r="AJ3385">
        <f>((T3385-X3385)*2)/19.7</f>
        <v>59.947455082337</v>
      </c>
      <c r="AK3385">
        <f t="shared" si="380"/>
        <v>393942.101372549</v>
      </c>
    </row>
    <row r="3386" spans="1:37">
      <c r="A3386" t="s">
        <v>3452</v>
      </c>
      <c r="B3386">
        <v>37</v>
      </c>
      <c r="C3386" t="s">
        <v>101</v>
      </c>
      <c r="D3386" t="s">
        <v>60</v>
      </c>
      <c r="E3386">
        <v>1459</v>
      </c>
      <c r="F3386">
        <v>7</v>
      </c>
      <c r="G3386">
        <v>21</v>
      </c>
      <c r="H3386">
        <v>3315.82</v>
      </c>
      <c r="I3386">
        <v>62212.26</v>
      </c>
      <c r="J3386">
        <v>54</v>
      </c>
      <c r="K3386">
        <v>2</v>
      </c>
      <c r="L3386">
        <v>14.9</v>
      </c>
      <c r="M3386">
        <v>44.2</v>
      </c>
      <c r="N3386" t="s">
        <v>57</v>
      </c>
      <c r="O3386" t="s">
        <v>47</v>
      </c>
      <c r="P3386" t="s">
        <v>48</v>
      </c>
      <c r="R3386">
        <f>SUMIF(A3386:A8385,"C03385",I3386:I8385)</f>
        <v>62212.26</v>
      </c>
      <c r="S3386" s="1">
        <v>1141.29</v>
      </c>
      <c r="T3386">
        <f t="shared" si="384"/>
        <v>1152.07888888889</v>
      </c>
      <c r="U3386">
        <f t="shared" si="385"/>
        <v>2386.8</v>
      </c>
      <c r="V3386">
        <f>U3386*2</f>
        <v>4773.6</v>
      </c>
      <c r="W3386">
        <f t="shared" si="381"/>
        <v>21843.0266666667</v>
      </c>
      <c r="X3386">
        <f t="shared" si="387"/>
        <v>0.440011822113384</v>
      </c>
      <c r="AH3386" t="str">
        <f t="shared" si="382"/>
        <v>2nd Quality</v>
      </c>
      <c r="AJ3386">
        <f>((T3386-X3386)*2)/14.9</f>
        <v>154.582399606279</v>
      </c>
      <c r="AK3386">
        <f t="shared" si="380"/>
        <v>1680883.09888889</v>
      </c>
    </row>
    <row r="3387" spans="1:37">
      <c r="A3387" t="s">
        <v>3453</v>
      </c>
      <c r="B3387">
        <v>40</v>
      </c>
      <c r="C3387" t="s">
        <v>44</v>
      </c>
      <c r="D3387" t="s">
        <v>60</v>
      </c>
      <c r="E3387">
        <v>814</v>
      </c>
      <c r="F3387">
        <v>51</v>
      </c>
      <c r="G3387">
        <v>3</v>
      </c>
      <c r="H3387">
        <v>1415.54</v>
      </c>
      <c r="I3387">
        <v>4119.66</v>
      </c>
      <c r="J3387">
        <v>32</v>
      </c>
      <c r="K3387">
        <v>0</v>
      </c>
      <c r="L3387">
        <v>27.9</v>
      </c>
      <c r="M3387">
        <v>15.2</v>
      </c>
      <c r="N3387" t="s">
        <v>57</v>
      </c>
      <c r="O3387" t="s">
        <v>47</v>
      </c>
      <c r="P3387" t="s">
        <v>58</v>
      </c>
      <c r="R3387">
        <f>SUMIF(A3387:A8386,"C03386",I3387:I8386)</f>
        <v>4119.66</v>
      </c>
      <c r="S3387" s="1">
        <v>7136.38</v>
      </c>
      <c r="T3387">
        <f t="shared" si="384"/>
        <v>128.739375</v>
      </c>
      <c r="U3387">
        <f t="shared" si="385"/>
        <v>486.4</v>
      </c>
      <c r="V3387">
        <f t="shared" si="386"/>
        <v>40.5333333333333</v>
      </c>
      <c r="W3387">
        <f t="shared" si="381"/>
        <v>1845.4</v>
      </c>
      <c r="X3387">
        <f t="shared" si="387"/>
        <v>0.575045565649858</v>
      </c>
      <c r="AH3387" t="str">
        <f t="shared" si="382"/>
        <v>3rd Quality</v>
      </c>
      <c r="AJ3387">
        <f>((T3387-X3387)*2)/27.9</f>
        <v>9.18740712791041</v>
      </c>
      <c r="AK3387">
        <f t="shared" si="380"/>
        <v>104793.85125</v>
      </c>
    </row>
    <row r="3388" spans="1:37">
      <c r="A3388" t="s">
        <v>3454</v>
      </c>
      <c r="B3388">
        <v>52</v>
      </c>
      <c r="C3388" t="s">
        <v>44</v>
      </c>
      <c r="D3388" t="s">
        <v>51</v>
      </c>
      <c r="E3388">
        <v>1410</v>
      </c>
      <c r="F3388">
        <v>15</v>
      </c>
      <c r="G3388">
        <v>4</v>
      </c>
      <c r="H3388">
        <v>8742.77</v>
      </c>
      <c r="I3388">
        <v>32602.39</v>
      </c>
      <c r="J3388">
        <v>37</v>
      </c>
      <c r="K3388">
        <v>0</v>
      </c>
      <c r="L3388">
        <v>6.4</v>
      </c>
      <c r="M3388">
        <v>44.2</v>
      </c>
      <c r="N3388" t="s">
        <v>61</v>
      </c>
      <c r="O3388" t="s">
        <v>47</v>
      </c>
      <c r="P3388" t="s">
        <v>58</v>
      </c>
      <c r="R3388">
        <f>SUMIF(A3388:A8387,"C03387",I3388:I8387)</f>
        <v>32602.39</v>
      </c>
      <c r="S3388" s="1">
        <v>16075.17</v>
      </c>
      <c r="T3388">
        <f t="shared" si="384"/>
        <v>881.145675675676</v>
      </c>
      <c r="U3388">
        <f t="shared" si="385"/>
        <v>1635.4</v>
      </c>
      <c r="V3388">
        <f t="shared" si="386"/>
        <v>136.283333333333</v>
      </c>
      <c r="W3388">
        <f t="shared" si="381"/>
        <v>13782.0533333333</v>
      </c>
      <c r="X3388">
        <f t="shared" si="387"/>
        <v>0.161276117294633</v>
      </c>
      <c r="AH3388" t="str">
        <f t="shared" si="382"/>
        <v>3rd Quality</v>
      </c>
      <c r="AJ3388">
        <f>((T3388-X3388)*2)/6.4</f>
        <v>275.307624861994</v>
      </c>
      <c r="AK3388">
        <f t="shared" si="380"/>
        <v>1242415.4027027</v>
      </c>
    </row>
    <row r="3389" spans="1:37">
      <c r="A3389" t="s">
        <v>3455</v>
      </c>
      <c r="B3389">
        <v>18</v>
      </c>
      <c r="C3389" t="s">
        <v>50</v>
      </c>
      <c r="D3389" t="s">
        <v>45</v>
      </c>
      <c r="E3389">
        <v>995</v>
      </c>
      <c r="F3389">
        <v>287</v>
      </c>
      <c r="G3389">
        <v>1</v>
      </c>
      <c r="H3389">
        <v>1172.25</v>
      </c>
      <c r="I3389">
        <v>1141.29</v>
      </c>
      <c r="J3389">
        <v>10</v>
      </c>
      <c r="K3389">
        <v>0</v>
      </c>
      <c r="L3389">
        <v>18.9</v>
      </c>
      <c r="M3389">
        <v>16.8</v>
      </c>
      <c r="N3389" t="s">
        <v>46</v>
      </c>
      <c r="O3389" t="s">
        <v>53</v>
      </c>
      <c r="P3389" t="s">
        <v>58</v>
      </c>
      <c r="R3389">
        <f>SUMIF(A3389:A8388,"C03388",I3389:I8388)</f>
        <v>1141.29</v>
      </c>
      <c r="S3389" s="1">
        <v>116053.34</v>
      </c>
      <c r="T3389">
        <f t="shared" si="384"/>
        <v>114.129</v>
      </c>
      <c r="U3389">
        <f t="shared" si="385"/>
        <v>168</v>
      </c>
      <c r="V3389">
        <f t="shared" si="386"/>
        <v>14</v>
      </c>
      <c r="W3389">
        <f t="shared" si="381"/>
        <v>771.513333333333</v>
      </c>
      <c r="X3389">
        <f t="shared" si="387"/>
        <v>0.848795052249947</v>
      </c>
      <c r="AH3389" t="str">
        <f t="shared" si="382"/>
        <v>3rd Quality</v>
      </c>
      <c r="AJ3389">
        <f>((T3389-X3389)*2)/18.9</f>
        <v>11.9873232748942</v>
      </c>
      <c r="AK3389">
        <f t="shared" si="380"/>
        <v>113558.355</v>
      </c>
    </row>
    <row r="3390" spans="1:37">
      <c r="A3390" t="s">
        <v>3456</v>
      </c>
      <c r="B3390">
        <v>45</v>
      </c>
      <c r="C3390" t="s">
        <v>44</v>
      </c>
      <c r="D3390" t="s">
        <v>51</v>
      </c>
      <c r="E3390">
        <v>506</v>
      </c>
      <c r="F3390">
        <v>48</v>
      </c>
      <c r="G3390">
        <v>10</v>
      </c>
      <c r="H3390">
        <v>785.49</v>
      </c>
      <c r="I3390">
        <v>7136.38</v>
      </c>
      <c r="J3390">
        <v>60</v>
      </c>
      <c r="K3390">
        <v>0</v>
      </c>
      <c r="L3390">
        <v>10.6</v>
      </c>
      <c r="M3390">
        <v>33.1</v>
      </c>
      <c r="N3390" t="s">
        <v>61</v>
      </c>
      <c r="O3390" t="s">
        <v>53</v>
      </c>
      <c r="P3390" t="s">
        <v>48</v>
      </c>
      <c r="R3390">
        <f>SUMIF(A3390:A8389,"C03389",I3390:I8389)</f>
        <v>7136.38</v>
      </c>
      <c r="S3390" s="1">
        <v>850.6</v>
      </c>
      <c r="T3390">
        <f t="shared" si="384"/>
        <v>118.939666666667</v>
      </c>
      <c r="U3390">
        <f t="shared" si="385"/>
        <v>1986</v>
      </c>
      <c r="V3390">
        <f t="shared" si="386"/>
        <v>165.5</v>
      </c>
      <c r="W3390">
        <f t="shared" si="381"/>
        <v>2640.95666666667</v>
      </c>
      <c r="X3390">
        <f t="shared" si="387"/>
        <v>0.644183885218144</v>
      </c>
      <c r="AH3390" t="str">
        <f t="shared" si="382"/>
        <v>3rd Quality</v>
      </c>
      <c r="AJ3390">
        <f>((T3390-X3390)*2)/10.6</f>
        <v>22.3199024115941</v>
      </c>
      <c r="AK3390">
        <f t="shared" si="380"/>
        <v>60183.4713333333</v>
      </c>
    </row>
    <row r="3391" spans="1:37">
      <c r="A3391" t="s">
        <v>3457</v>
      </c>
      <c r="B3391">
        <v>35</v>
      </c>
      <c r="C3391" t="s">
        <v>44</v>
      </c>
      <c r="D3391" t="s">
        <v>51</v>
      </c>
      <c r="E3391">
        <v>1201</v>
      </c>
      <c r="F3391">
        <v>75</v>
      </c>
      <c r="G3391">
        <v>10</v>
      </c>
      <c r="H3391">
        <v>1565.97</v>
      </c>
      <c r="I3391">
        <v>16075.17</v>
      </c>
      <c r="J3391">
        <v>63</v>
      </c>
      <c r="K3391">
        <v>3</v>
      </c>
      <c r="L3391">
        <v>40.4</v>
      </c>
      <c r="M3391">
        <v>50.7</v>
      </c>
      <c r="N3391" t="s">
        <v>52</v>
      </c>
      <c r="O3391" t="s">
        <v>47</v>
      </c>
      <c r="P3391" t="s">
        <v>68</v>
      </c>
      <c r="R3391">
        <f>SUMIF(A3391:A8390,"C03390",I3391:I8390)</f>
        <v>16075.17</v>
      </c>
      <c r="S3391" s="1">
        <v>1379.56</v>
      </c>
      <c r="T3391">
        <f t="shared" si="384"/>
        <v>255.161428571429</v>
      </c>
      <c r="U3391">
        <f t="shared" si="385"/>
        <v>3194.1</v>
      </c>
      <c r="V3391">
        <f>U3391*3</f>
        <v>9582.3</v>
      </c>
      <c r="W3391">
        <f t="shared" si="381"/>
        <v>5880.71333333333</v>
      </c>
      <c r="X3391">
        <f t="shared" si="387"/>
        <v>0.76693678678391</v>
      </c>
      <c r="AH3391" t="str">
        <f t="shared" si="382"/>
        <v>3rd Quality</v>
      </c>
      <c r="AJ3391">
        <f>((T3391-X3391)*2)/40.4</f>
        <v>12.5937867220121</v>
      </c>
      <c r="AK3391">
        <f t="shared" si="380"/>
        <v>306448.875714286</v>
      </c>
    </row>
    <row r="3392" spans="1:37">
      <c r="A3392" t="s">
        <v>3458</v>
      </c>
      <c r="B3392">
        <v>35</v>
      </c>
      <c r="C3392" t="s">
        <v>44</v>
      </c>
      <c r="D3392" t="s">
        <v>45</v>
      </c>
      <c r="E3392">
        <v>583</v>
      </c>
      <c r="F3392">
        <v>3</v>
      </c>
      <c r="G3392">
        <v>25</v>
      </c>
      <c r="H3392">
        <v>4553.05</v>
      </c>
      <c r="I3392">
        <v>116053.34</v>
      </c>
      <c r="J3392">
        <v>131</v>
      </c>
      <c r="K3392">
        <v>1</v>
      </c>
      <c r="L3392">
        <v>9.3</v>
      </c>
      <c r="M3392">
        <v>30.5</v>
      </c>
      <c r="N3392" t="s">
        <v>61</v>
      </c>
      <c r="O3392" t="s">
        <v>47</v>
      </c>
      <c r="P3392" t="s">
        <v>68</v>
      </c>
      <c r="R3392">
        <f>SUMIF(A3392:A8391,"C03391",I3392:I8391)</f>
        <v>116053.34</v>
      </c>
      <c r="S3392" s="1">
        <v>46928.14</v>
      </c>
      <c r="T3392">
        <f t="shared" si="384"/>
        <v>885.903358778626</v>
      </c>
      <c r="U3392">
        <f t="shared" si="385"/>
        <v>3995.5</v>
      </c>
      <c r="V3392">
        <f>U3392*1</f>
        <v>3995.5</v>
      </c>
      <c r="W3392">
        <f t="shared" si="381"/>
        <v>40202.4633333333</v>
      </c>
      <c r="X3392">
        <f t="shared" si="387"/>
        <v>0.128046035075389</v>
      </c>
      <c r="AH3392" t="str">
        <f t="shared" si="382"/>
        <v>2nd Quality</v>
      </c>
      <c r="AJ3392">
        <f>((T3392-X3392)*2)/9.3</f>
        <v>190.489314568505</v>
      </c>
      <c r="AK3392">
        <f t="shared" si="380"/>
        <v>516481.658167939</v>
      </c>
    </row>
    <row r="3393" spans="1:37">
      <c r="A3393" t="s">
        <v>3459</v>
      </c>
      <c r="B3393">
        <v>18</v>
      </c>
      <c r="C3393" t="s">
        <v>50</v>
      </c>
      <c r="D3393" t="s">
        <v>45</v>
      </c>
      <c r="E3393">
        <v>1337</v>
      </c>
      <c r="F3393">
        <v>31</v>
      </c>
      <c r="G3393">
        <v>1</v>
      </c>
      <c r="H3393">
        <v>832.07</v>
      </c>
      <c r="I3393">
        <v>850.6</v>
      </c>
      <c r="J3393">
        <v>15</v>
      </c>
      <c r="K3393">
        <v>0</v>
      </c>
      <c r="L3393">
        <v>41.7</v>
      </c>
      <c r="M3393">
        <v>46.1</v>
      </c>
      <c r="N3393" t="s">
        <v>78</v>
      </c>
      <c r="O3393" t="s">
        <v>47</v>
      </c>
      <c r="P3393" t="s">
        <v>68</v>
      </c>
      <c r="R3393">
        <f>SUMIF(A3393:A8392,"C03392",I3393:I8392)</f>
        <v>850.6</v>
      </c>
      <c r="S3393" s="1">
        <v>1928.59</v>
      </c>
      <c r="T3393">
        <f t="shared" si="384"/>
        <v>56.7066666666667</v>
      </c>
      <c r="U3393">
        <f t="shared" si="385"/>
        <v>691.5</v>
      </c>
      <c r="V3393">
        <f t="shared" si="386"/>
        <v>57.625</v>
      </c>
      <c r="W3393">
        <f t="shared" si="381"/>
        <v>561.223333333333</v>
      </c>
      <c r="X3393">
        <f t="shared" si="387"/>
        <v>1.60683596332039</v>
      </c>
      <c r="AH3393" t="str">
        <f t="shared" si="382"/>
        <v>3rd Quality</v>
      </c>
      <c r="AJ3393">
        <f>((T3393-X3393)*2)/41.7</f>
        <v>2.64267773157536</v>
      </c>
      <c r="AK3393">
        <f t="shared" si="380"/>
        <v>75816.8133333333</v>
      </c>
    </row>
    <row r="3394" spans="1:37">
      <c r="A3394" t="s">
        <v>3460</v>
      </c>
      <c r="B3394">
        <v>18</v>
      </c>
      <c r="C3394" t="s">
        <v>44</v>
      </c>
      <c r="D3394" t="s">
        <v>45</v>
      </c>
      <c r="E3394">
        <v>1422</v>
      </c>
      <c r="F3394">
        <v>220</v>
      </c>
      <c r="G3394">
        <v>1</v>
      </c>
      <c r="H3394">
        <v>1425.36</v>
      </c>
      <c r="I3394">
        <v>1379.56</v>
      </c>
      <c r="J3394">
        <v>15</v>
      </c>
      <c r="K3394">
        <v>0</v>
      </c>
      <c r="L3394">
        <v>11.1</v>
      </c>
      <c r="M3394">
        <v>66.4</v>
      </c>
      <c r="N3394" t="s">
        <v>63</v>
      </c>
      <c r="O3394" t="s">
        <v>47</v>
      </c>
      <c r="P3394" t="s">
        <v>68</v>
      </c>
      <c r="R3394">
        <f>SUMIF(A3394:A8393,"C03393",I3394:I8393)</f>
        <v>1379.56</v>
      </c>
      <c r="S3394" s="1">
        <v>1282</v>
      </c>
      <c r="T3394">
        <f t="shared" si="384"/>
        <v>91.9706666666667</v>
      </c>
      <c r="U3394">
        <f t="shared" si="385"/>
        <v>996</v>
      </c>
      <c r="V3394">
        <f t="shared" si="386"/>
        <v>83</v>
      </c>
      <c r="W3394">
        <f t="shared" si="381"/>
        <v>935.306666666667</v>
      </c>
      <c r="X3394">
        <f t="shared" si="387"/>
        <v>0.997642700791379</v>
      </c>
      <c r="AH3394" t="str">
        <f t="shared" si="382"/>
        <v>3rd Quality</v>
      </c>
      <c r="AJ3394">
        <f>((T3394-X3394)*2)/11.1</f>
        <v>16.3915358497073</v>
      </c>
      <c r="AK3394">
        <f t="shared" si="380"/>
        <v>130782.288</v>
      </c>
    </row>
    <row r="3395" spans="1:37">
      <c r="A3395" t="s">
        <v>3461</v>
      </c>
      <c r="B3395">
        <v>40</v>
      </c>
      <c r="C3395" t="s">
        <v>50</v>
      </c>
      <c r="D3395" t="s">
        <v>60</v>
      </c>
      <c r="E3395">
        <v>968</v>
      </c>
      <c r="F3395">
        <v>11</v>
      </c>
      <c r="G3395">
        <v>29</v>
      </c>
      <c r="H3395">
        <v>1536.34</v>
      </c>
      <c r="I3395">
        <v>46928.14</v>
      </c>
      <c r="J3395">
        <v>66</v>
      </c>
      <c r="K3395">
        <v>1</v>
      </c>
      <c r="L3395">
        <v>13.1</v>
      </c>
      <c r="M3395">
        <v>60.9</v>
      </c>
      <c r="N3395" t="s">
        <v>81</v>
      </c>
      <c r="O3395" t="s">
        <v>47</v>
      </c>
      <c r="P3395" t="s">
        <v>48</v>
      </c>
      <c r="R3395">
        <f>SUMIF(A3395:A8394,"C03394",I3395:I8394)</f>
        <v>46928.14</v>
      </c>
      <c r="S3395" s="1">
        <v>59438.11</v>
      </c>
      <c r="T3395">
        <f t="shared" si="384"/>
        <v>711.032424242424</v>
      </c>
      <c r="U3395">
        <f t="shared" si="385"/>
        <v>4019.4</v>
      </c>
      <c r="V3395">
        <f>U3395*1</f>
        <v>4019.4</v>
      </c>
      <c r="W3395">
        <f t="shared" si="381"/>
        <v>16155.16</v>
      </c>
      <c r="X3395">
        <f t="shared" si="387"/>
        <v>0.630068864964786</v>
      </c>
      <c r="AH3395" t="str">
        <f t="shared" si="382"/>
        <v>2nd Quality</v>
      </c>
      <c r="AJ3395">
        <f>((T3395-X3395)*2)/13.1</f>
        <v>108.458374866788</v>
      </c>
      <c r="AK3395">
        <f t="shared" ref="AK3395:AK3458" si="388">I3395/J3395*E3395</f>
        <v>688279.386666667</v>
      </c>
    </row>
    <row r="3396" spans="1:37">
      <c r="A3396" t="s">
        <v>3462</v>
      </c>
      <c r="B3396">
        <v>50</v>
      </c>
      <c r="C3396" t="s">
        <v>44</v>
      </c>
      <c r="D3396" t="s">
        <v>60</v>
      </c>
      <c r="E3396">
        <v>804</v>
      </c>
      <c r="F3396">
        <v>178</v>
      </c>
      <c r="G3396">
        <v>2</v>
      </c>
      <c r="H3396">
        <v>891.02</v>
      </c>
      <c r="I3396">
        <v>1928.59</v>
      </c>
      <c r="J3396">
        <v>9</v>
      </c>
      <c r="K3396">
        <v>0</v>
      </c>
      <c r="L3396">
        <v>20.7</v>
      </c>
      <c r="M3396">
        <v>31.3</v>
      </c>
      <c r="N3396" t="s">
        <v>63</v>
      </c>
      <c r="O3396" t="s">
        <v>47</v>
      </c>
      <c r="P3396" t="s">
        <v>58</v>
      </c>
      <c r="R3396">
        <f>SUMIF(A3396:A8395,"C03395",I3396:I8395)</f>
        <v>1928.59</v>
      </c>
      <c r="S3396" s="1">
        <v>239758.74</v>
      </c>
      <c r="T3396">
        <f t="shared" si="384"/>
        <v>214.287777777778</v>
      </c>
      <c r="U3396">
        <f t="shared" si="385"/>
        <v>281.7</v>
      </c>
      <c r="V3396">
        <f t="shared" si="386"/>
        <v>23.475</v>
      </c>
      <c r="W3396">
        <f t="shared" si="381"/>
        <v>940.203333333333</v>
      </c>
      <c r="X3396">
        <f t="shared" si="387"/>
        <v>0.902336647886692</v>
      </c>
      <c r="AH3396" t="str">
        <f t="shared" si="382"/>
        <v>3rd Quality</v>
      </c>
      <c r="AJ3396">
        <f>((T3396-X3396)*2)/20.7</f>
        <v>20.6169508338059</v>
      </c>
      <c r="AK3396">
        <f t="shared" si="388"/>
        <v>172287.373333333</v>
      </c>
    </row>
    <row r="3397" spans="1:37">
      <c r="A3397" t="s">
        <v>3463</v>
      </c>
      <c r="B3397">
        <v>36</v>
      </c>
      <c r="C3397" t="s">
        <v>50</v>
      </c>
      <c r="D3397" t="s">
        <v>60</v>
      </c>
      <c r="E3397">
        <v>888</v>
      </c>
      <c r="F3397">
        <v>365</v>
      </c>
      <c r="G3397">
        <v>1</v>
      </c>
      <c r="H3397">
        <v>1308.27</v>
      </c>
      <c r="I3397">
        <v>1282</v>
      </c>
      <c r="J3397">
        <v>15</v>
      </c>
      <c r="K3397">
        <v>0</v>
      </c>
      <c r="L3397">
        <v>0</v>
      </c>
      <c r="M3397">
        <v>18</v>
      </c>
      <c r="N3397" t="s">
        <v>63</v>
      </c>
      <c r="O3397" t="s">
        <v>47</v>
      </c>
      <c r="P3397" t="s">
        <v>58</v>
      </c>
      <c r="R3397">
        <f>SUMIF(A3397:A8396,"C03396",I3397:I8396)</f>
        <v>1282</v>
      </c>
      <c r="S3397" s="1">
        <v>878.92</v>
      </c>
      <c r="T3397">
        <f t="shared" si="384"/>
        <v>85.4666666666667</v>
      </c>
      <c r="U3397">
        <f t="shared" si="385"/>
        <v>270</v>
      </c>
      <c r="V3397">
        <f t="shared" si="386"/>
        <v>22.5</v>
      </c>
      <c r="W3397">
        <f t="shared" si="381"/>
        <v>863.756666666667</v>
      </c>
      <c r="X3397">
        <f t="shared" si="387"/>
        <v>0.678758971771882</v>
      </c>
      <c r="AH3397" t="str">
        <f t="shared" si="382"/>
        <v>3rd Quality</v>
      </c>
      <c r="AJ3397">
        <f>((T3397-X3397)*2)</f>
        <v>169.57581538979</v>
      </c>
      <c r="AK3397">
        <f t="shared" si="388"/>
        <v>75894.4</v>
      </c>
    </row>
    <row r="3398" spans="1:37">
      <c r="A3398" t="s">
        <v>3464</v>
      </c>
      <c r="B3398">
        <v>51</v>
      </c>
      <c r="C3398" t="s">
        <v>50</v>
      </c>
      <c r="D3398" t="s">
        <v>60</v>
      </c>
      <c r="E3398">
        <v>1216</v>
      </c>
      <c r="F3398">
        <v>10</v>
      </c>
      <c r="G3398">
        <v>24</v>
      </c>
      <c r="H3398">
        <v>2517.03</v>
      </c>
      <c r="I3398">
        <v>59438.11</v>
      </c>
      <c r="J3398">
        <v>126</v>
      </c>
      <c r="K3398">
        <v>3</v>
      </c>
      <c r="L3398">
        <v>15.3</v>
      </c>
      <c r="M3398">
        <v>56</v>
      </c>
      <c r="N3398" t="s">
        <v>46</v>
      </c>
      <c r="O3398" t="s">
        <v>53</v>
      </c>
      <c r="P3398" t="s">
        <v>68</v>
      </c>
      <c r="R3398">
        <f>SUMIF(A3398:A8397,"C03397",I3398:I8397)</f>
        <v>59438.11</v>
      </c>
      <c r="S3398" s="1">
        <v>25262.01</v>
      </c>
      <c r="T3398">
        <f t="shared" si="384"/>
        <v>471.731031746032</v>
      </c>
      <c r="U3398">
        <f t="shared" si="385"/>
        <v>7056</v>
      </c>
      <c r="V3398">
        <f>U3398*3</f>
        <v>21168</v>
      </c>
      <c r="W3398">
        <f t="shared" si="381"/>
        <v>20652.0466666667</v>
      </c>
      <c r="X3398">
        <f t="shared" si="387"/>
        <v>0.483109061075951</v>
      </c>
      <c r="AH3398" t="str">
        <f t="shared" si="382"/>
        <v>3rd Quality</v>
      </c>
      <c r="AJ3398">
        <f>((T3398-X3398)*2)/15.3</f>
        <v>61.6010356450923</v>
      </c>
      <c r="AK3398">
        <f t="shared" si="388"/>
        <v>573624.934603175</v>
      </c>
    </row>
    <row r="3399" spans="1:37">
      <c r="A3399" t="s">
        <v>3465</v>
      </c>
      <c r="B3399">
        <v>18</v>
      </c>
      <c r="C3399" t="s">
        <v>44</v>
      </c>
      <c r="D3399" t="s">
        <v>60</v>
      </c>
      <c r="E3399">
        <v>778</v>
      </c>
      <c r="F3399">
        <v>21</v>
      </c>
      <c r="G3399">
        <v>37</v>
      </c>
      <c r="H3399">
        <v>5914.39</v>
      </c>
      <c r="I3399">
        <v>239758.74</v>
      </c>
      <c r="J3399">
        <v>237</v>
      </c>
      <c r="K3399">
        <v>5</v>
      </c>
      <c r="L3399">
        <v>10.4</v>
      </c>
      <c r="M3399">
        <v>29</v>
      </c>
      <c r="N3399" t="s">
        <v>46</v>
      </c>
      <c r="O3399" t="s">
        <v>47</v>
      </c>
      <c r="P3399" t="s">
        <v>54</v>
      </c>
      <c r="R3399">
        <f>SUMIF(A3399:A8398,"C03398",I3399:I8398)</f>
        <v>239758.74</v>
      </c>
      <c r="S3399" s="1">
        <v>110786.76</v>
      </c>
      <c r="T3399">
        <f t="shared" si="384"/>
        <v>1011.64025316456</v>
      </c>
      <c r="U3399">
        <f t="shared" si="385"/>
        <v>6873</v>
      </c>
      <c r="V3399">
        <f>U3399*5</f>
        <v>34365</v>
      </c>
      <c r="W3399">
        <f t="shared" si="381"/>
        <v>81891.3766666667</v>
      </c>
      <c r="X3399">
        <f t="shared" si="387"/>
        <v>0.131543574231662</v>
      </c>
      <c r="AH3399" t="str">
        <f t="shared" si="382"/>
        <v>2nd Quality</v>
      </c>
      <c r="AJ3399">
        <f>((T3399-X3399)*2)/10.4</f>
        <v>194.520905690448</v>
      </c>
      <c r="AK3399">
        <f t="shared" si="388"/>
        <v>787056.116962025</v>
      </c>
    </row>
    <row r="3400" spans="1:37">
      <c r="A3400" t="s">
        <v>3466</v>
      </c>
      <c r="B3400">
        <v>18</v>
      </c>
      <c r="C3400" t="s">
        <v>44</v>
      </c>
      <c r="D3400" t="s">
        <v>45</v>
      </c>
      <c r="E3400">
        <v>425</v>
      </c>
      <c r="F3400">
        <v>81</v>
      </c>
      <c r="G3400">
        <v>2</v>
      </c>
      <c r="H3400">
        <v>428.64</v>
      </c>
      <c r="I3400">
        <v>878.92</v>
      </c>
      <c r="J3400">
        <v>20</v>
      </c>
      <c r="K3400">
        <v>0</v>
      </c>
      <c r="L3400">
        <v>25.3</v>
      </c>
      <c r="M3400">
        <v>51.4</v>
      </c>
      <c r="N3400" t="s">
        <v>61</v>
      </c>
      <c r="O3400" t="s">
        <v>47</v>
      </c>
      <c r="P3400" t="s">
        <v>58</v>
      </c>
      <c r="R3400">
        <f>SUMIF(A3400:A8399,"C03399",I3400:I8399)</f>
        <v>878.92</v>
      </c>
      <c r="S3400" s="1">
        <v>2102.32</v>
      </c>
      <c r="T3400">
        <f t="shared" si="384"/>
        <v>43.946</v>
      </c>
      <c r="U3400">
        <f t="shared" si="385"/>
        <v>1028</v>
      </c>
      <c r="V3400">
        <f t="shared" si="386"/>
        <v>85.6666666666667</v>
      </c>
      <c r="W3400">
        <f t="shared" si="381"/>
        <v>436.186666666667</v>
      </c>
      <c r="X3400">
        <f t="shared" si="387"/>
        <v>0.991508025382606</v>
      </c>
      <c r="AH3400" t="str">
        <f t="shared" si="382"/>
        <v>3rd Quality</v>
      </c>
      <c r="AJ3400">
        <f>((T3400-X3400)*2)/25.3</f>
        <v>3.39561201380375</v>
      </c>
      <c r="AK3400">
        <f t="shared" si="388"/>
        <v>18677.05</v>
      </c>
    </row>
    <row r="3401" spans="1:37">
      <c r="A3401" t="s">
        <v>3467</v>
      </c>
      <c r="B3401">
        <v>18</v>
      </c>
      <c r="C3401" t="s">
        <v>50</v>
      </c>
      <c r="D3401" t="s">
        <v>51</v>
      </c>
      <c r="E3401">
        <v>1019</v>
      </c>
      <c r="F3401">
        <v>26</v>
      </c>
      <c r="G3401">
        <v>5</v>
      </c>
      <c r="H3401">
        <v>5040.69</v>
      </c>
      <c r="I3401">
        <v>25262.01</v>
      </c>
      <c r="J3401">
        <v>14</v>
      </c>
      <c r="K3401">
        <v>0</v>
      </c>
      <c r="L3401">
        <v>0</v>
      </c>
      <c r="M3401">
        <v>11</v>
      </c>
      <c r="N3401" t="s">
        <v>46</v>
      </c>
      <c r="O3401" t="s">
        <v>47</v>
      </c>
      <c r="P3401" t="s">
        <v>68</v>
      </c>
      <c r="R3401">
        <f>SUMIF(A3401:A8400,"C03400",I3401:I8400)</f>
        <v>25262.01</v>
      </c>
      <c r="S3401" s="1">
        <v>34627.46</v>
      </c>
      <c r="T3401">
        <f t="shared" si="384"/>
        <v>1804.42928571429</v>
      </c>
      <c r="U3401">
        <f t="shared" si="385"/>
        <v>154</v>
      </c>
      <c r="V3401">
        <f t="shared" si="386"/>
        <v>12.8333333333333</v>
      </c>
      <c r="W3401">
        <f t="shared" ref="W3401:W3464" si="389">(H3401+I3401+1)/3</f>
        <v>10101.2333333333</v>
      </c>
      <c r="X3401">
        <f t="shared" si="387"/>
        <v>0.202154863719054</v>
      </c>
      <c r="AH3401" t="str">
        <f t="shared" si="382"/>
        <v>2nd Quality</v>
      </c>
      <c r="AJ3401">
        <f>((T3401-X3401)*2)</f>
        <v>3608.45426170114</v>
      </c>
      <c r="AK3401">
        <f t="shared" si="388"/>
        <v>1838713.44214286</v>
      </c>
    </row>
    <row r="3402" spans="1:37">
      <c r="A3402" t="s">
        <v>3468</v>
      </c>
      <c r="B3402">
        <v>45</v>
      </c>
      <c r="C3402" t="s">
        <v>50</v>
      </c>
      <c r="D3402" t="s">
        <v>45</v>
      </c>
      <c r="E3402">
        <v>1176</v>
      </c>
      <c r="F3402">
        <v>7</v>
      </c>
      <c r="G3402">
        <v>30</v>
      </c>
      <c r="H3402">
        <v>3494.03</v>
      </c>
      <c r="I3402">
        <v>110786.76</v>
      </c>
      <c r="J3402">
        <v>100</v>
      </c>
      <c r="K3402">
        <v>3</v>
      </c>
      <c r="L3402">
        <v>5.7</v>
      </c>
      <c r="M3402">
        <v>13.2</v>
      </c>
      <c r="N3402" t="s">
        <v>78</v>
      </c>
      <c r="O3402" t="s">
        <v>47</v>
      </c>
      <c r="P3402" t="s">
        <v>66</v>
      </c>
      <c r="R3402">
        <f>SUMIF(A3402:A8401,"C03401",I3402:I8401)</f>
        <v>110786.76</v>
      </c>
      <c r="S3402" s="1">
        <v>1976.96</v>
      </c>
      <c r="T3402">
        <f t="shared" si="384"/>
        <v>1107.8676</v>
      </c>
      <c r="U3402">
        <f t="shared" si="385"/>
        <v>1320</v>
      </c>
      <c r="V3402">
        <f>U3402*3</f>
        <v>3960</v>
      </c>
      <c r="W3402">
        <f t="shared" si="389"/>
        <v>38093.93</v>
      </c>
      <c r="X3402">
        <f t="shared" si="387"/>
        <v>0.336574099249291</v>
      </c>
      <c r="AH3402" t="str">
        <f t="shared" si="382"/>
        <v>3rd Quality</v>
      </c>
      <c r="AJ3402">
        <f>((T3402-X3402)*2)/5.7</f>
        <v>388.607377509035</v>
      </c>
      <c r="AK3402">
        <f t="shared" si="388"/>
        <v>1302852.2976</v>
      </c>
    </row>
    <row r="3403" spans="1:37">
      <c r="A3403" t="s">
        <v>3469</v>
      </c>
      <c r="B3403">
        <v>40</v>
      </c>
      <c r="C3403" t="s">
        <v>44</v>
      </c>
      <c r="D3403" t="s">
        <v>45</v>
      </c>
      <c r="E3403">
        <v>528</v>
      </c>
      <c r="F3403">
        <v>30</v>
      </c>
      <c r="G3403">
        <v>3</v>
      </c>
      <c r="H3403">
        <v>734.23</v>
      </c>
      <c r="I3403">
        <v>2102.32</v>
      </c>
      <c r="J3403">
        <v>36</v>
      </c>
      <c r="K3403">
        <v>0</v>
      </c>
      <c r="L3403">
        <v>30.9</v>
      </c>
      <c r="M3403">
        <v>73.8</v>
      </c>
      <c r="N3403" t="s">
        <v>61</v>
      </c>
      <c r="O3403" t="s">
        <v>53</v>
      </c>
      <c r="P3403" t="s">
        <v>68</v>
      </c>
      <c r="R3403">
        <f>SUMIF(A3403:A8402,"C03402",I3403:I8402)</f>
        <v>2102.32</v>
      </c>
      <c r="S3403" s="1">
        <v>1939.3</v>
      </c>
      <c r="T3403">
        <f t="shared" si="384"/>
        <v>58.3977777777778</v>
      </c>
      <c r="U3403">
        <f t="shared" si="385"/>
        <v>2656.8</v>
      </c>
      <c r="V3403">
        <f t="shared" si="386"/>
        <v>221.4</v>
      </c>
      <c r="W3403">
        <f t="shared" si="389"/>
        <v>945.85</v>
      </c>
      <c r="X3403">
        <f t="shared" si="387"/>
        <v>0.719120711493674</v>
      </c>
      <c r="AH3403" t="str">
        <f t="shared" si="382"/>
        <v>3rd Quality</v>
      </c>
      <c r="AJ3403">
        <f>((T3403-X3403)*2)/30.9</f>
        <v>3.73324641205722</v>
      </c>
      <c r="AK3403">
        <f t="shared" si="388"/>
        <v>30834.0266666667</v>
      </c>
    </row>
    <row r="3404" spans="1:37">
      <c r="A3404" t="s">
        <v>3470</v>
      </c>
      <c r="B3404">
        <v>34</v>
      </c>
      <c r="C3404" t="s">
        <v>50</v>
      </c>
      <c r="D3404" t="s">
        <v>45</v>
      </c>
      <c r="E3404">
        <v>762</v>
      </c>
      <c r="F3404">
        <v>5</v>
      </c>
      <c r="G3404">
        <v>5</v>
      </c>
      <c r="H3404">
        <v>7800.19</v>
      </c>
      <c r="I3404">
        <v>34627.46</v>
      </c>
      <c r="J3404">
        <v>40</v>
      </c>
      <c r="K3404">
        <v>1</v>
      </c>
      <c r="L3404">
        <v>0</v>
      </c>
      <c r="M3404">
        <v>46.8</v>
      </c>
      <c r="N3404" t="s">
        <v>63</v>
      </c>
      <c r="O3404" t="s">
        <v>75</v>
      </c>
      <c r="P3404" t="s">
        <v>66</v>
      </c>
      <c r="R3404">
        <f>SUMIF(A3404:A8403,"C03403",I3404:I8403)</f>
        <v>34627.46</v>
      </c>
      <c r="S3404" s="1">
        <v>577.06</v>
      </c>
      <c r="T3404">
        <f t="shared" si="384"/>
        <v>865.6865</v>
      </c>
      <c r="U3404">
        <f t="shared" si="385"/>
        <v>1872</v>
      </c>
      <c r="V3404">
        <f>U3404*1</f>
        <v>1872</v>
      </c>
      <c r="W3404">
        <f t="shared" si="389"/>
        <v>14142.8833333333</v>
      </c>
      <c r="X3404">
        <f t="shared" si="387"/>
        <v>0.0976899280658548</v>
      </c>
      <c r="AH3404" t="str">
        <f t="shared" si="382"/>
        <v>2nd Quality</v>
      </c>
      <c r="AJ3404">
        <f>((T3404-X3404)*2)</f>
        <v>1731.17762014387</v>
      </c>
      <c r="AK3404">
        <f t="shared" si="388"/>
        <v>659653.113</v>
      </c>
    </row>
    <row r="3405" spans="1:37">
      <c r="A3405" t="s">
        <v>3471</v>
      </c>
      <c r="B3405">
        <v>44</v>
      </c>
      <c r="C3405" t="s">
        <v>50</v>
      </c>
      <c r="D3405" t="s">
        <v>45</v>
      </c>
      <c r="E3405">
        <v>879</v>
      </c>
      <c r="F3405">
        <v>217</v>
      </c>
      <c r="G3405">
        <v>1</v>
      </c>
      <c r="H3405">
        <v>1885.58</v>
      </c>
      <c r="I3405">
        <v>1976.96</v>
      </c>
      <c r="J3405">
        <v>14</v>
      </c>
      <c r="K3405">
        <v>0</v>
      </c>
      <c r="L3405">
        <v>17.9</v>
      </c>
      <c r="M3405">
        <v>21.2</v>
      </c>
      <c r="N3405" t="s">
        <v>52</v>
      </c>
      <c r="O3405" t="s">
        <v>47</v>
      </c>
      <c r="P3405" t="s">
        <v>68</v>
      </c>
      <c r="R3405">
        <f>SUMIF(A3405:A8404,"C03404",I3405:I8404)</f>
        <v>1976.96</v>
      </c>
      <c r="S3405" s="1">
        <v>47320.79</v>
      </c>
      <c r="T3405">
        <f t="shared" si="384"/>
        <v>141.211428571429</v>
      </c>
      <c r="U3405">
        <f t="shared" si="385"/>
        <v>296.8</v>
      </c>
      <c r="V3405">
        <f t="shared" si="386"/>
        <v>24.7333333333333</v>
      </c>
      <c r="W3405">
        <f t="shared" si="389"/>
        <v>1287.84666666667</v>
      </c>
      <c r="X3405">
        <f t="shared" si="387"/>
        <v>0.466169560559616</v>
      </c>
      <c r="AH3405" t="str">
        <f t="shared" si="382"/>
        <v>3rd Quality</v>
      </c>
      <c r="AJ3405">
        <f>((T3405-X3405)*2)/17.9</f>
        <v>15.7257272637843</v>
      </c>
      <c r="AK3405">
        <f t="shared" si="388"/>
        <v>124124.845714286</v>
      </c>
    </row>
    <row r="3406" spans="1:37">
      <c r="A3406" t="s">
        <v>3472</v>
      </c>
      <c r="B3406">
        <v>31</v>
      </c>
      <c r="C3406" t="s">
        <v>50</v>
      </c>
      <c r="D3406" t="s">
        <v>45</v>
      </c>
      <c r="E3406">
        <v>1038</v>
      </c>
      <c r="F3406">
        <v>365</v>
      </c>
      <c r="G3406">
        <v>1</v>
      </c>
      <c r="H3406">
        <v>1873.62</v>
      </c>
      <c r="I3406">
        <v>1939.3</v>
      </c>
      <c r="J3406">
        <v>8</v>
      </c>
      <c r="K3406">
        <v>0</v>
      </c>
      <c r="L3406">
        <v>12.6</v>
      </c>
      <c r="M3406">
        <v>58.1</v>
      </c>
      <c r="N3406" t="s">
        <v>63</v>
      </c>
      <c r="O3406" t="s">
        <v>47</v>
      </c>
      <c r="P3406" t="s">
        <v>58</v>
      </c>
      <c r="R3406">
        <f>SUMIF(A3406:A8405,"C03405",I3406:I8405)</f>
        <v>1939.3</v>
      </c>
      <c r="S3406" s="1">
        <v>16730.48</v>
      </c>
      <c r="T3406">
        <f t="shared" si="384"/>
        <v>242.4125</v>
      </c>
      <c r="U3406">
        <f t="shared" si="385"/>
        <v>464.8</v>
      </c>
      <c r="V3406">
        <f t="shared" si="386"/>
        <v>38.7333333333333</v>
      </c>
      <c r="W3406">
        <f t="shared" si="389"/>
        <v>1271.30666666667</v>
      </c>
      <c r="X3406">
        <f t="shared" si="387"/>
        <v>0.554007749703782</v>
      </c>
      <c r="AH3406" t="str">
        <f t="shared" ref="AH3406:AH3469" si="390">IF(AND(W3406&gt;=12550,B3406&lt;=33,E3406&gt;=915),"1st Quality",IF(AND(W3406&gt;=6275,B3406&lt;=43,E3406&gt;=457),"2nd Quality","3rd Quality"))</f>
        <v>3rd Quality</v>
      </c>
      <c r="AJ3406">
        <f>((T3406-X3406)*2)/12.6</f>
        <v>38.3902368651264</v>
      </c>
      <c r="AK3406">
        <f t="shared" si="388"/>
        <v>251624.175</v>
      </c>
    </row>
    <row r="3407" spans="1:37">
      <c r="A3407" t="s">
        <v>3473</v>
      </c>
      <c r="B3407">
        <v>48</v>
      </c>
      <c r="C3407" t="s">
        <v>50</v>
      </c>
      <c r="D3407" t="s">
        <v>60</v>
      </c>
      <c r="E3407">
        <v>925</v>
      </c>
      <c r="F3407">
        <v>49</v>
      </c>
      <c r="G3407">
        <v>1</v>
      </c>
      <c r="H3407">
        <v>587.13</v>
      </c>
      <c r="I3407">
        <v>577.06</v>
      </c>
      <c r="J3407">
        <v>15</v>
      </c>
      <c r="K3407">
        <v>0</v>
      </c>
      <c r="L3407">
        <v>20.6</v>
      </c>
      <c r="M3407">
        <v>23.1</v>
      </c>
      <c r="N3407" t="s">
        <v>52</v>
      </c>
      <c r="O3407" t="s">
        <v>53</v>
      </c>
      <c r="P3407" t="s">
        <v>48</v>
      </c>
      <c r="R3407">
        <f>SUMIF(A3407:A8406,"C03406",I3407:I8406)</f>
        <v>577.06</v>
      </c>
      <c r="S3407" s="1">
        <v>10683.34</v>
      </c>
      <c r="T3407">
        <f t="shared" si="384"/>
        <v>38.4706666666667</v>
      </c>
      <c r="U3407">
        <f t="shared" si="385"/>
        <v>346.5</v>
      </c>
      <c r="V3407">
        <f t="shared" si="386"/>
        <v>28.875</v>
      </c>
      <c r="W3407">
        <f t="shared" si="389"/>
        <v>388.396666666667</v>
      </c>
      <c r="X3407">
        <f t="shared" si="387"/>
        <v>1.57546028988469</v>
      </c>
      <c r="AH3407" t="str">
        <f t="shared" si="390"/>
        <v>3rd Quality</v>
      </c>
      <c r="AJ3407">
        <f>((T3407-X3407)*2)/20.6</f>
        <v>3.58205887153223</v>
      </c>
      <c r="AK3407">
        <f t="shared" si="388"/>
        <v>35585.3666666667</v>
      </c>
    </row>
    <row r="3408" spans="1:37">
      <c r="A3408" t="s">
        <v>3474</v>
      </c>
      <c r="B3408">
        <v>52</v>
      </c>
      <c r="C3408" t="s">
        <v>50</v>
      </c>
      <c r="D3408" t="s">
        <v>60</v>
      </c>
      <c r="E3408">
        <v>1193</v>
      </c>
      <c r="F3408">
        <v>58</v>
      </c>
      <c r="G3408">
        <v>7</v>
      </c>
      <c r="H3408">
        <v>7587.08</v>
      </c>
      <c r="I3408">
        <v>47320.79</v>
      </c>
      <c r="J3408">
        <v>29</v>
      </c>
      <c r="K3408">
        <v>1</v>
      </c>
      <c r="L3408">
        <v>5</v>
      </c>
      <c r="M3408">
        <v>47.3</v>
      </c>
      <c r="N3408" t="s">
        <v>78</v>
      </c>
      <c r="O3408" t="s">
        <v>53</v>
      </c>
      <c r="P3408" t="s">
        <v>58</v>
      </c>
      <c r="R3408">
        <f>SUMIF(A3408:A8407,"C03407",I3408:I8407)</f>
        <v>47320.79</v>
      </c>
      <c r="S3408" s="1">
        <v>97225.18</v>
      </c>
      <c r="T3408">
        <f t="shared" si="384"/>
        <v>1631.75137931034</v>
      </c>
      <c r="U3408">
        <f t="shared" si="385"/>
        <v>1371.7</v>
      </c>
      <c r="V3408">
        <f>U3408*1</f>
        <v>1371.7</v>
      </c>
      <c r="W3408">
        <f t="shared" si="389"/>
        <v>18302.9566666667</v>
      </c>
      <c r="X3408">
        <f t="shared" si="387"/>
        <v>0.157240993900157</v>
      </c>
      <c r="AH3408" t="str">
        <f t="shared" si="390"/>
        <v>3rd Quality</v>
      </c>
      <c r="AJ3408">
        <f>((T3408-X3408)*2)/5</f>
        <v>652.637655326576</v>
      </c>
      <c r="AK3408">
        <f t="shared" si="388"/>
        <v>1946679.39551724</v>
      </c>
    </row>
    <row r="3409" spans="1:37">
      <c r="A3409" t="s">
        <v>3475</v>
      </c>
      <c r="B3409">
        <v>18</v>
      </c>
      <c r="C3409" t="s">
        <v>50</v>
      </c>
      <c r="D3409" t="s">
        <v>60</v>
      </c>
      <c r="E3409">
        <v>1056</v>
      </c>
      <c r="F3409">
        <v>84</v>
      </c>
      <c r="G3409">
        <v>11</v>
      </c>
      <c r="H3409">
        <v>1375.66</v>
      </c>
      <c r="I3409">
        <v>16730.48</v>
      </c>
      <c r="J3409">
        <v>63</v>
      </c>
      <c r="K3409">
        <v>2</v>
      </c>
      <c r="L3409">
        <v>6.8</v>
      </c>
      <c r="M3409">
        <v>8.3</v>
      </c>
      <c r="N3409" t="s">
        <v>63</v>
      </c>
      <c r="O3409" t="s">
        <v>53</v>
      </c>
      <c r="P3409" t="s">
        <v>58</v>
      </c>
      <c r="R3409">
        <f>SUMIF(A3409:A8408,"C03408",I3409:I8408)</f>
        <v>16730.48</v>
      </c>
      <c r="S3409" s="1">
        <v>7065.6</v>
      </c>
      <c r="T3409">
        <f t="shared" si="384"/>
        <v>265.563174603175</v>
      </c>
      <c r="U3409">
        <f t="shared" si="385"/>
        <v>522.9</v>
      </c>
      <c r="V3409">
        <f>U3409*2</f>
        <v>1045.8</v>
      </c>
      <c r="W3409">
        <f t="shared" si="389"/>
        <v>6035.71333333333</v>
      </c>
      <c r="X3409">
        <f t="shared" si="387"/>
        <v>0.767631536862306</v>
      </c>
      <c r="AH3409" t="str">
        <f t="shared" si="390"/>
        <v>3rd Quality</v>
      </c>
      <c r="AJ3409">
        <f>((T3409-X3409)*2)/6.8</f>
        <v>77.8810420783273</v>
      </c>
      <c r="AK3409">
        <f t="shared" si="388"/>
        <v>280434.712380952</v>
      </c>
    </row>
    <row r="3410" spans="1:37">
      <c r="A3410" t="s">
        <v>3476</v>
      </c>
      <c r="B3410">
        <v>42</v>
      </c>
      <c r="C3410" t="s">
        <v>44</v>
      </c>
      <c r="D3410" t="s">
        <v>60</v>
      </c>
      <c r="E3410">
        <v>1148</v>
      </c>
      <c r="F3410">
        <v>20</v>
      </c>
      <c r="G3410">
        <v>1</v>
      </c>
      <c r="H3410">
        <v>10122.7</v>
      </c>
      <c r="I3410">
        <v>10683.34</v>
      </c>
      <c r="J3410">
        <v>15</v>
      </c>
      <c r="K3410">
        <v>0</v>
      </c>
      <c r="L3410">
        <v>9.5</v>
      </c>
      <c r="M3410">
        <v>31.5</v>
      </c>
      <c r="N3410" t="s">
        <v>57</v>
      </c>
      <c r="O3410" t="s">
        <v>47</v>
      </c>
      <c r="P3410" t="s">
        <v>48</v>
      </c>
      <c r="R3410">
        <f>SUMIF(A3410:A8409,"C03409",I3410:I8409)</f>
        <v>10683.34</v>
      </c>
      <c r="S3410" s="1">
        <v>70292.32</v>
      </c>
      <c r="T3410">
        <f t="shared" si="384"/>
        <v>712.222666666667</v>
      </c>
      <c r="U3410">
        <f t="shared" si="385"/>
        <v>472.5</v>
      </c>
      <c r="V3410">
        <f t="shared" si="386"/>
        <v>39.375</v>
      </c>
      <c r="W3410">
        <f t="shared" si="389"/>
        <v>6935.68</v>
      </c>
      <c r="X3410">
        <f t="shared" si="387"/>
        <v>0.113408477975244</v>
      </c>
      <c r="AH3410" t="str">
        <f t="shared" si="390"/>
        <v>2nd Quality</v>
      </c>
      <c r="AJ3410">
        <f>((T3410-X3410)*2)/9.5</f>
        <v>149.91773856604</v>
      </c>
      <c r="AK3410">
        <f t="shared" si="388"/>
        <v>817631.621333333</v>
      </c>
    </row>
    <row r="3411" spans="1:37">
      <c r="A3411" t="s">
        <v>3477</v>
      </c>
      <c r="B3411">
        <v>41</v>
      </c>
      <c r="C3411" t="s">
        <v>50</v>
      </c>
      <c r="D3411" t="s">
        <v>60</v>
      </c>
      <c r="E3411">
        <v>444</v>
      </c>
      <c r="F3411">
        <v>1</v>
      </c>
      <c r="G3411">
        <v>26</v>
      </c>
      <c r="H3411">
        <v>3845.05</v>
      </c>
      <c r="I3411">
        <v>97225.18</v>
      </c>
      <c r="J3411">
        <v>111</v>
      </c>
      <c r="K3411">
        <v>3</v>
      </c>
      <c r="L3411">
        <v>9.7</v>
      </c>
      <c r="M3411">
        <v>56.8</v>
      </c>
      <c r="N3411" t="s">
        <v>57</v>
      </c>
      <c r="O3411" t="s">
        <v>75</v>
      </c>
      <c r="P3411" t="s">
        <v>58</v>
      </c>
      <c r="R3411">
        <f>SUMIF(A3411:A8410,"C03410",I3411:I8410)</f>
        <v>97225.18</v>
      </c>
      <c r="S3411" s="1">
        <v>12065.76</v>
      </c>
      <c r="T3411">
        <f t="shared" si="384"/>
        <v>875.902522522522</v>
      </c>
      <c r="U3411">
        <f t="shared" si="385"/>
        <v>6304.8</v>
      </c>
      <c r="V3411">
        <f>U3411*3</f>
        <v>18914.4</v>
      </c>
      <c r="W3411">
        <f t="shared" si="389"/>
        <v>33690.41</v>
      </c>
      <c r="X3411">
        <f t="shared" si="387"/>
        <v>0.115473140791407</v>
      </c>
      <c r="AH3411" t="str">
        <f t="shared" si="390"/>
        <v>3rd Quality</v>
      </c>
      <c r="AJ3411">
        <f>((T3411-X3411)*2)/9.7</f>
        <v>180.574649357058</v>
      </c>
      <c r="AK3411">
        <f t="shared" si="388"/>
        <v>388900.72</v>
      </c>
    </row>
    <row r="3412" spans="1:37">
      <c r="A3412" t="s">
        <v>3478</v>
      </c>
      <c r="B3412">
        <v>21</v>
      </c>
      <c r="C3412" t="s">
        <v>44</v>
      </c>
      <c r="D3412" t="s">
        <v>51</v>
      </c>
      <c r="E3412">
        <v>1373</v>
      </c>
      <c r="F3412">
        <v>22</v>
      </c>
      <c r="G3412">
        <v>1</v>
      </c>
      <c r="H3412">
        <v>7611.72</v>
      </c>
      <c r="I3412">
        <v>7065.6</v>
      </c>
      <c r="J3412">
        <v>12</v>
      </c>
      <c r="K3412">
        <v>0</v>
      </c>
      <c r="L3412">
        <v>10.2</v>
      </c>
      <c r="M3412">
        <v>54.8</v>
      </c>
      <c r="N3412" t="s">
        <v>52</v>
      </c>
      <c r="O3412" t="s">
        <v>47</v>
      </c>
      <c r="P3412" t="s">
        <v>66</v>
      </c>
      <c r="R3412">
        <f>SUMIF(A3412:A8411,"C03411",I3412:I8411)</f>
        <v>7065.6</v>
      </c>
      <c r="S3412" s="1">
        <v>77376.78</v>
      </c>
      <c r="T3412">
        <f t="shared" si="384"/>
        <v>588.8</v>
      </c>
      <c r="U3412">
        <f t="shared" si="385"/>
        <v>657.6</v>
      </c>
      <c r="V3412">
        <f t="shared" si="386"/>
        <v>54.8</v>
      </c>
      <c r="W3412">
        <f t="shared" si="389"/>
        <v>4892.77333333333</v>
      </c>
      <c r="X3412">
        <f t="shared" si="387"/>
        <v>0.180379730205525</v>
      </c>
      <c r="AH3412" t="str">
        <f t="shared" si="390"/>
        <v>3rd Quality</v>
      </c>
      <c r="AJ3412">
        <f>((T3412-X3412)*2)/10.2</f>
        <v>115.415611817607</v>
      </c>
      <c r="AK3412">
        <f t="shared" si="388"/>
        <v>808422.4</v>
      </c>
    </row>
    <row r="3413" spans="1:37">
      <c r="A3413" t="s">
        <v>3479</v>
      </c>
      <c r="B3413">
        <v>18</v>
      </c>
      <c r="C3413" t="s">
        <v>50</v>
      </c>
      <c r="D3413" t="s">
        <v>60</v>
      </c>
      <c r="E3413">
        <v>838</v>
      </c>
      <c r="F3413">
        <v>3</v>
      </c>
      <c r="G3413">
        <v>19</v>
      </c>
      <c r="H3413">
        <v>3651.1</v>
      </c>
      <c r="I3413">
        <v>70292.32</v>
      </c>
      <c r="J3413">
        <v>89</v>
      </c>
      <c r="K3413">
        <v>3</v>
      </c>
      <c r="L3413">
        <v>16.9</v>
      </c>
      <c r="M3413">
        <v>48.1</v>
      </c>
      <c r="N3413" t="s">
        <v>78</v>
      </c>
      <c r="O3413" t="s">
        <v>53</v>
      </c>
      <c r="P3413" t="s">
        <v>58</v>
      </c>
      <c r="R3413">
        <f>SUMIF(A3413:A8412,"C03412",I3413:I8412)</f>
        <v>70292.32</v>
      </c>
      <c r="S3413" s="1">
        <v>13054.01</v>
      </c>
      <c r="T3413">
        <f t="shared" si="384"/>
        <v>789.801348314607</v>
      </c>
      <c r="U3413">
        <f t="shared" si="385"/>
        <v>4280.9</v>
      </c>
      <c r="V3413">
        <f>U3413*3</f>
        <v>12842.7</v>
      </c>
      <c r="W3413">
        <f t="shared" si="389"/>
        <v>24648.14</v>
      </c>
      <c r="X3413">
        <f t="shared" si="387"/>
        <v>0.229519870723891</v>
      </c>
      <c r="AH3413" t="str">
        <f t="shared" si="390"/>
        <v>2nd Quality</v>
      </c>
      <c r="AJ3413">
        <f>((T3413-X3413)*2)/16.9</f>
        <v>93.440453070282</v>
      </c>
      <c r="AK3413">
        <f t="shared" si="388"/>
        <v>661853.52988764</v>
      </c>
    </row>
    <row r="3414" spans="1:37">
      <c r="A3414" t="s">
        <v>3480</v>
      </c>
      <c r="B3414">
        <v>33</v>
      </c>
      <c r="C3414" t="s">
        <v>50</v>
      </c>
      <c r="D3414" t="s">
        <v>60</v>
      </c>
      <c r="E3414">
        <v>832</v>
      </c>
      <c r="F3414">
        <v>54</v>
      </c>
      <c r="G3414">
        <v>1</v>
      </c>
      <c r="H3414">
        <v>13632.05</v>
      </c>
      <c r="I3414">
        <v>12065.76</v>
      </c>
      <c r="J3414">
        <v>14</v>
      </c>
      <c r="K3414">
        <v>1</v>
      </c>
      <c r="L3414">
        <v>4.2</v>
      </c>
      <c r="M3414">
        <v>20.9</v>
      </c>
      <c r="N3414" t="s">
        <v>81</v>
      </c>
      <c r="O3414" t="s">
        <v>47</v>
      </c>
      <c r="P3414" t="s">
        <v>68</v>
      </c>
      <c r="R3414">
        <f>SUMIF(A3414:A8413,"C03413",I3414:I8413)</f>
        <v>12065.76</v>
      </c>
      <c r="S3414" s="1">
        <v>16968.71</v>
      </c>
      <c r="T3414">
        <f t="shared" ref="T3414:T3477" si="391">I3414/J3414</f>
        <v>861.84</v>
      </c>
      <c r="U3414">
        <f t="shared" si="385"/>
        <v>292.6</v>
      </c>
      <c r="V3414">
        <f>U3414*1</f>
        <v>292.6</v>
      </c>
      <c r="W3414">
        <f t="shared" si="389"/>
        <v>8566.27</v>
      </c>
      <c r="X3414">
        <f t="shared" si="387"/>
        <v>0.0610326399917841</v>
      </c>
      <c r="AH3414" t="str">
        <f t="shared" si="390"/>
        <v>2nd Quality</v>
      </c>
      <c r="AJ3414">
        <f>((T3414-X3414)*2)/4.2</f>
        <v>410.370936838099</v>
      </c>
      <c r="AK3414">
        <f t="shared" si="388"/>
        <v>717050.88</v>
      </c>
    </row>
    <row r="3415" spans="1:37">
      <c r="A3415" t="s">
        <v>3481</v>
      </c>
      <c r="B3415">
        <v>37</v>
      </c>
      <c r="C3415" t="s">
        <v>50</v>
      </c>
      <c r="D3415" t="s">
        <v>45</v>
      </c>
      <c r="E3415">
        <v>1201</v>
      </c>
      <c r="F3415">
        <v>11</v>
      </c>
      <c r="G3415">
        <v>24</v>
      </c>
      <c r="H3415">
        <v>3257.49</v>
      </c>
      <c r="I3415">
        <v>77376.78</v>
      </c>
      <c r="J3415">
        <v>199</v>
      </c>
      <c r="K3415">
        <v>2</v>
      </c>
      <c r="L3415">
        <v>0</v>
      </c>
      <c r="M3415">
        <v>36.1</v>
      </c>
      <c r="N3415" t="s">
        <v>46</v>
      </c>
      <c r="O3415" t="s">
        <v>53</v>
      </c>
      <c r="P3415" t="s">
        <v>66</v>
      </c>
      <c r="R3415">
        <f>SUMIF(A3415:A8414,"C03414",I3415:I8414)</f>
        <v>77376.78</v>
      </c>
      <c r="S3415" s="1">
        <v>33551.2</v>
      </c>
      <c r="T3415">
        <f t="shared" si="391"/>
        <v>388.828040201005</v>
      </c>
      <c r="U3415">
        <f t="shared" si="385"/>
        <v>7183.9</v>
      </c>
      <c r="V3415">
        <f>U3415*2</f>
        <v>14367.8</v>
      </c>
      <c r="W3415">
        <f t="shared" si="389"/>
        <v>26878.4233333333</v>
      </c>
      <c r="X3415">
        <f t="shared" si="387"/>
        <v>0.368688775713816</v>
      </c>
      <c r="AH3415" t="str">
        <f t="shared" si="390"/>
        <v>2nd Quality</v>
      </c>
      <c r="AJ3415">
        <f>((T3415-X3415)*2)</f>
        <v>776.918702850582</v>
      </c>
      <c r="AK3415">
        <f t="shared" si="388"/>
        <v>466982.476281407</v>
      </c>
    </row>
    <row r="3416" spans="1:37">
      <c r="A3416" t="s">
        <v>3482</v>
      </c>
      <c r="B3416">
        <v>41</v>
      </c>
      <c r="C3416" t="s">
        <v>50</v>
      </c>
      <c r="D3416" t="s">
        <v>60</v>
      </c>
      <c r="E3416">
        <v>823</v>
      </c>
      <c r="F3416">
        <v>5</v>
      </c>
      <c r="G3416">
        <v>9</v>
      </c>
      <c r="H3416">
        <v>1298.27</v>
      </c>
      <c r="I3416">
        <v>13054.01</v>
      </c>
      <c r="J3416">
        <v>67</v>
      </c>
      <c r="K3416">
        <v>0</v>
      </c>
      <c r="L3416">
        <v>20.2</v>
      </c>
      <c r="M3416">
        <v>42.3</v>
      </c>
      <c r="N3416" t="s">
        <v>46</v>
      </c>
      <c r="O3416" t="s">
        <v>47</v>
      </c>
      <c r="P3416" t="s">
        <v>66</v>
      </c>
      <c r="R3416">
        <f>SUMIF(A3416:A8415,"C03415",I3416:I8415)</f>
        <v>13054.01</v>
      </c>
      <c r="S3416" s="1">
        <v>2901.44</v>
      </c>
      <c r="T3416">
        <f t="shared" si="391"/>
        <v>194.835970149254</v>
      </c>
      <c r="U3416">
        <f t="shared" si="385"/>
        <v>2834.1</v>
      </c>
      <c r="V3416">
        <f t="shared" si="386"/>
        <v>236.175</v>
      </c>
      <c r="W3416">
        <f t="shared" si="389"/>
        <v>4784.42666666667</v>
      </c>
      <c r="X3416">
        <f t="shared" si="387"/>
        <v>0.633920525006355</v>
      </c>
      <c r="AH3416" t="str">
        <f t="shared" si="390"/>
        <v>3rd Quality</v>
      </c>
      <c r="AJ3416">
        <f>((T3416-X3416)*2)/20.2</f>
        <v>19.2279257053711</v>
      </c>
      <c r="AK3416">
        <f t="shared" si="388"/>
        <v>160350.003432836</v>
      </c>
    </row>
    <row r="3417" spans="1:37">
      <c r="A3417" t="s">
        <v>3483</v>
      </c>
      <c r="B3417">
        <v>49</v>
      </c>
      <c r="C3417" t="s">
        <v>44</v>
      </c>
      <c r="D3417" t="s">
        <v>45</v>
      </c>
      <c r="E3417">
        <v>1225</v>
      </c>
      <c r="F3417">
        <v>46</v>
      </c>
      <c r="G3417">
        <v>13</v>
      </c>
      <c r="H3417">
        <v>1234.42</v>
      </c>
      <c r="I3417">
        <v>16968.71</v>
      </c>
      <c r="J3417">
        <v>70</v>
      </c>
      <c r="K3417">
        <v>0</v>
      </c>
      <c r="L3417">
        <v>14</v>
      </c>
      <c r="M3417">
        <v>24.8</v>
      </c>
      <c r="N3417" t="s">
        <v>61</v>
      </c>
      <c r="O3417" t="s">
        <v>75</v>
      </c>
      <c r="P3417" t="s">
        <v>48</v>
      </c>
      <c r="R3417">
        <f>SUMIF(A3417:A8416,"C03416",I3417:I8416)</f>
        <v>16968.71</v>
      </c>
      <c r="S3417" s="1">
        <v>61779.02</v>
      </c>
      <c r="T3417">
        <f t="shared" si="391"/>
        <v>242.410142857143</v>
      </c>
      <c r="U3417">
        <f t="shared" si="385"/>
        <v>1736</v>
      </c>
      <c r="V3417">
        <f t="shared" si="386"/>
        <v>144.666666666667</v>
      </c>
      <c r="W3417">
        <f t="shared" si="389"/>
        <v>6068.04333333333</v>
      </c>
      <c r="X3417">
        <f t="shared" si="387"/>
        <v>0.992368885792518</v>
      </c>
      <c r="AH3417" t="str">
        <f t="shared" si="390"/>
        <v>3rd Quality</v>
      </c>
      <c r="AJ3417">
        <f>((T3417-X3417)*2)/14</f>
        <v>34.4882534244786</v>
      </c>
      <c r="AK3417">
        <f t="shared" si="388"/>
        <v>296952.425</v>
      </c>
    </row>
    <row r="3418" spans="1:37">
      <c r="A3418" t="s">
        <v>3484</v>
      </c>
      <c r="B3418">
        <v>35</v>
      </c>
      <c r="C3418" t="s">
        <v>50</v>
      </c>
      <c r="D3418" t="s">
        <v>45</v>
      </c>
      <c r="E3418">
        <v>1269</v>
      </c>
      <c r="F3418">
        <v>56</v>
      </c>
      <c r="G3418">
        <v>4</v>
      </c>
      <c r="H3418">
        <v>7513.37</v>
      </c>
      <c r="I3418">
        <v>33551.2</v>
      </c>
      <c r="J3418">
        <v>30</v>
      </c>
      <c r="K3418">
        <v>0</v>
      </c>
      <c r="L3418">
        <v>16</v>
      </c>
      <c r="M3418">
        <v>30</v>
      </c>
      <c r="N3418" t="s">
        <v>46</v>
      </c>
      <c r="O3418" t="s">
        <v>47</v>
      </c>
      <c r="P3418" t="s">
        <v>58</v>
      </c>
      <c r="R3418">
        <f>SUMIF(A3418:A8417,"C03417",I3418:I8417)</f>
        <v>33551.2</v>
      </c>
      <c r="S3418" s="1">
        <v>5607.16</v>
      </c>
      <c r="T3418">
        <f t="shared" si="391"/>
        <v>1118.37333333333</v>
      </c>
      <c r="U3418">
        <f t="shared" si="385"/>
        <v>900</v>
      </c>
      <c r="V3418">
        <f t="shared" si="386"/>
        <v>75</v>
      </c>
      <c r="W3418">
        <f t="shared" si="389"/>
        <v>13688.5233333333</v>
      </c>
      <c r="X3418">
        <f t="shared" si="387"/>
        <v>0.16889890954392</v>
      </c>
      <c r="AH3418" t="str">
        <f t="shared" si="390"/>
        <v>2nd Quality</v>
      </c>
      <c r="AJ3418">
        <f>((T3418-X3418)*2)/16</f>
        <v>139.775554302973</v>
      </c>
      <c r="AK3418">
        <f t="shared" si="388"/>
        <v>1419215.76</v>
      </c>
    </row>
    <row r="3419" spans="1:37">
      <c r="A3419" t="s">
        <v>3485</v>
      </c>
      <c r="B3419">
        <v>36</v>
      </c>
      <c r="C3419" t="s">
        <v>44</v>
      </c>
      <c r="D3419" t="s">
        <v>45</v>
      </c>
      <c r="E3419">
        <v>962</v>
      </c>
      <c r="F3419">
        <v>91</v>
      </c>
      <c r="G3419">
        <v>5</v>
      </c>
      <c r="H3419">
        <v>595.14</v>
      </c>
      <c r="I3419">
        <v>2901.44</v>
      </c>
      <c r="J3419">
        <v>36</v>
      </c>
      <c r="K3419">
        <v>0</v>
      </c>
      <c r="L3419">
        <v>26.4</v>
      </c>
      <c r="M3419">
        <v>45.8</v>
      </c>
      <c r="N3419" t="s">
        <v>52</v>
      </c>
      <c r="O3419" t="s">
        <v>47</v>
      </c>
      <c r="P3419" t="s">
        <v>58</v>
      </c>
      <c r="R3419">
        <f>SUMIF(A3419:A8418,"C03418",I3419:I8418)</f>
        <v>2901.44</v>
      </c>
      <c r="S3419" s="1">
        <v>1318.87</v>
      </c>
      <c r="T3419">
        <f t="shared" si="391"/>
        <v>80.5955555555556</v>
      </c>
      <c r="U3419">
        <f t="shared" si="385"/>
        <v>1648.8</v>
      </c>
      <c r="V3419">
        <f t="shared" si="386"/>
        <v>137.4</v>
      </c>
      <c r="W3419">
        <f t="shared" si="389"/>
        <v>1165.86</v>
      </c>
      <c r="X3419">
        <f t="shared" si="387"/>
        <v>1.61642638706859</v>
      </c>
      <c r="AH3419" t="str">
        <f t="shared" si="390"/>
        <v>3rd Quality</v>
      </c>
      <c r="AJ3419">
        <f>((T3419-X3419)*2)/26.4</f>
        <v>5.98326736124902</v>
      </c>
      <c r="AK3419">
        <f t="shared" si="388"/>
        <v>77532.9244444444</v>
      </c>
    </row>
    <row r="3420" spans="1:37">
      <c r="A3420" t="s">
        <v>3486</v>
      </c>
      <c r="B3420">
        <v>60</v>
      </c>
      <c r="C3420" t="s">
        <v>50</v>
      </c>
      <c r="D3420" t="s">
        <v>45</v>
      </c>
      <c r="E3420">
        <v>987</v>
      </c>
      <c r="F3420">
        <v>6</v>
      </c>
      <c r="G3420">
        <v>24</v>
      </c>
      <c r="H3420">
        <v>2857.25</v>
      </c>
      <c r="I3420">
        <v>61779.02</v>
      </c>
      <c r="J3420">
        <v>204</v>
      </c>
      <c r="K3420">
        <v>0</v>
      </c>
      <c r="L3420">
        <v>14.9</v>
      </c>
      <c r="M3420">
        <v>53.3</v>
      </c>
      <c r="N3420" t="s">
        <v>81</v>
      </c>
      <c r="O3420" t="s">
        <v>75</v>
      </c>
      <c r="P3420" t="s">
        <v>48</v>
      </c>
      <c r="R3420">
        <f>SUMIF(A3420:A8419,"C03419",I3420:I8419)</f>
        <v>61779.02</v>
      </c>
      <c r="S3420" s="1">
        <v>13315.6</v>
      </c>
      <c r="T3420">
        <f t="shared" si="391"/>
        <v>302.838333333333</v>
      </c>
      <c r="U3420">
        <f t="shared" si="385"/>
        <v>10873.2</v>
      </c>
      <c r="V3420">
        <f t="shared" si="386"/>
        <v>906.1</v>
      </c>
      <c r="W3420">
        <f t="shared" si="389"/>
        <v>21545.7566666667</v>
      </c>
      <c r="X3420">
        <f t="shared" si="387"/>
        <v>0.345437046110771</v>
      </c>
      <c r="AH3420" t="str">
        <f t="shared" si="390"/>
        <v>3rd Quality</v>
      </c>
      <c r="AJ3420">
        <f>((T3420-X3420)*2)/14.9</f>
        <v>40.6030733271439</v>
      </c>
      <c r="AK3420">
        <f t="shared" si="388"/>
        <v>298901.435</v>
      </c>
    </row>
    <row r="3421" spans="1:37">
      <c r="A3421" t="s">
        <v>3487</v>
      </c>
      <c r="B3421">
        <v>37</v>
      </c>
      <c r="C3421" t="s">
        <v>50</v>
      </c>
      <c r="D3421" t="s">
        <v>60</v>
      </c>
      <c r="E3421">
        <v>1321</v>
      </c>
      <c r="F3421">
        <v>114</v>
      </c>
      <c r="G3421">
        <v>5</v>
      </c>
      <c r="H3421">
        <v>1008.82</v>
      </c>
      <c r="I3421">
        <v>5607.16</v>
      </c>
      <c r="J3421">
        <v>43</v>
      </c>
      <c r="K3421">
        <v>0</v>
      </c>
      <c r="L3421">
        <v>39.2</v>
      </c>
      <c r="M3421">
        <v>41.7</v>
      </c>
      <c r="N3421" t="s">
        <v>78</v>
      </c>
      <c r="O3421" t="s">
        <v>47</v>
      </c>
      <c r="P3421" t="s">
        <v>58</v>
      </c>
      <c r="R3421">
        <f>SUMIF(A3421:A8420,"C03420",I3421:I8420)</f>
        <v>5607.16</v>
      </c>
      <c r="S3421" s="1">
        <v>49564.26</v>
      </c>
      <c r="T3421">
        <f t="shared" si="391"/>
        <v>130.399069767442</v>
      </c>
      <c r="U3421">
        <f t="shared" si="385"/>
        <v>1793.1</v>
      </c>
      <c r="V3421">
        <f t="shared" si="386"/>
        <v>149.425</v>
      </c>
      <c r="W3421">
        <f t="shared" si="389"/>
        <v>2205.66</v>
      </c>
      <c r="X3421">
        <f t="shared" si="387"/>
        <v>1.30945064530838</v>
      </c>
      <c r="AH3421" t="str">
        <f t="shared" si="390"/>
        <v>3rd Quality</v>
      </c>
      <c r="AJ3421">
        <f>((T3421-X3421)*2)/39.2</f>
        <v>6.58620505725172</v>
      </c>
      <c r="AK3421">
        <f t="shared" si="388"/>
        <v>172257.171162791</v>
      </c>
    </row>
    <row r="3422" spans="1:37">
      <c r="A3422" t="s">
        <v>3488</v>
      </c>
      <c r="B3422">
        <v>28</v>
      </c>
      <c r="C3422" t="s">
        <v>44</v>
      </c>
      <c r="D3422" t="s">
        <v>60</v>
      </c>
      <c r="E3422">
        <v>1185</v>
      </c>
      <c r="F3422">
        <v>365</v>
      </c>
      <c r="G3422">
        <v>1</v>
      </c>
      <c r="H3422">
        <v>1212.58</v>
      </c>
      <c r="I3422">
        <v>1318.87</v>
      </c>
      <c r="J3422">
        <v>16</v>
      </c>
      <c r="K3422">
        <v>0</v>
      </c>
      <c r="L3422">
        <v>11.8</v>
      </c>
      <c r="M3422">
        <v>43.5</v>
      </c>
      <c r="N3422" t="s">
        <v>57</v>
      </c>
      <c r="O3422" t="s">
        <v>75</v>
      </c>
      <c r="P3422" t="s">
        <v>58</v>
      </c>
      <c r="R3422">
        <f>SUMIF(A3422:A8421,"C03421",I3422:I8421)</f>
        <v>1318.87</v>
      </c>
      <c r="S3422" s="1">
        <v>16829.77</v>
      </c>
      <c r="T3422">
        <f t="shared" si="391"/>
        <v>82.429375</v>
      </c>
      <c r="U3422">
        <f t="shared" si="385"/>
        <v>696</v>
      </c>
      <c r="V3422">
        <f t="shared" si="386"/>
        <v>58</v>
      </c>
      <c r="W3422">
        <f t="shared" si="389"/>
        <v>844.15</v>
      </c>
      <c r="X3422">
        <f t="shared" si="387"/>
        <v>0.977255108941266</v>
      </c>
      <c r="AH3422" t="str">
        <f t="shared" si="390"/>
        <v>3rd Quality</v>
      </c>
      <c r="AJ3422">
        <f>((T3422-X3422)*2)/11.8</f>
        <v>13.805444049332</v>
      </c>
      <c r="AK3422">
        <f t="shared" si="388"/>
        <v>97678.809375</v>
      </c>
    </row>
    <row r="3423" spans="1:37">
      <c r="A3423" t="s">
        <v>3489</v>
      </c>
      <c r="B3423">
        <v>42</v>
      </c>
      <c r="C3423" t="s">
        <v>44</v>
      </c>
      <c r="D3423" t="s">
        <v>45</v>
      </c>
      <c r="E3423">
        <v>1193</v>
      </c>
      <c r="F3423">
        <v>76</v>
      </c>
      <c r="G3423">
        <v>10</v>
      </c>
      <c r="H3423">
        <v>1311.87</v>
      </c>
      <c r="I3423">
        <v>13315.6</v>
      </c>
      <c r="J3423">
        <v>77</v>
      </c>
      <c r="K3423">
        <v>0</v>
      </c>
      <c r="L3423">
        <v>22.5</v>
      </c>
      <c r="M3423">
        <v>30.3</v>
      </c>
      <c r="N3423" t="s">
        <v>78</v>
      </c>
      <c r="O3423" t="s">
        <v>47</v>
      </c>
      <c r="P3423" t="s">
        <v>68</v>
      </c>
      <c r="R3423">
        <f>SUMIF(A3423:A8422,"C03422",I3423:I8422)</f>
        <v>13315.6</v>
      </c>
      <c r="S3423" s="1">
        <v>81961.31</v>
      </c>
      <c r="T3423">
        <f t="shared" si="391"/>
        <v>172.92987012987</v>
      </c>
      <c r="U3423">
        <f t="shared" si="385"/>
        <v>2333.1</v>
      </c>
      <c r="V3423">
        <f t="shared" si="386"/>
        <v>194.425</v>
      </c>
      <c r="W3423">
        <f t="shared" si="389"/>
        <v>4876.15666666667</v>
      </c>
      <c r="X3423">
        <f t="shared" si="387"/>
        <v>0.909388887618438</v>
      </c>
      <c r="AH3423" t="str">
        <f t="shared" si="390"/>
        <v>3rd Quality</v>
      </c>
      <c r="AJ3423">
        <f>((T3423-X3423)*2)/22.58</f>
        <v>15.236535096745</v>
      </c>
      <c r="AK3423">
        <f t="shared" si="388"/>
        <v>206305.335064935</v>
      </c>
    </row>
    <row r="3424" spans="1:37">
      <c r="A3424" t="s">
        <v>3490</v>
      </c>
      <c r="B3424">
        <v>29</v>
      </c>
      <c r="C3424" t="s">
        <v>50</v>
      </c>
      <c r="D3424" t="s">
        <v>60</v>
      </c>
      <c r="E3424">
        <v>1132</v>
      </c>
      <c r="F3424">
        <v>8</v>
      </c>
      <c r="G3424">
        <v>6</v>
      </c>
      <c r="H3424">
        <v>8833.45</v>
      </c>
      <c r="I3424">
        <v>49564.26</v>
      </c>
      <c r="J3424">
        <v>29</v>
      </c>
      <c r="K3424">
        <v>0</v>
      </c>
      <c r="L3424">
        <v>6.3</v>
      </c>
      <c r="M3424">
        <v>40.4</v>
      </c>
      <c r="N3424" t="s">
        <v>57</v>
      </c>
      <c r="O3424" t="s">
        <v>47</v>
      </c>
      <c r="P3424" t="s">
        <v>68</v>
      </c>
      <c r="R3424">
        <f>SUMIF(A3424:A8423,"C034",I8423:I33424)</f>
        <v>0</v>
      </c>
      <c r="S3424" s="1">
        <v>68309.33</v>
      </c>
      <c r="T3424">
        <f t="shared" si="391"/>
        <v>1709.1124137931</v>
      </c>
      <c r="U3424">
        <f t="shared" si="385"/>
        <v>1171.6</v>
      </c>
      <c r="V3424">
        <f t="shared" si="386"/>
        <v>97.6333333333333</v>
      </c>
      <c r="W3424">
        <f t="shared" si="389"/>
        <v>19466.2366666667</v>
      </c>
      <c r="X3424">
        <f t="shared" si="387"/>
        <v>0.128149250858951</v>
      </c>
      <c r="AH3424" t="str">
        <f t="shared" si="390"/>
        <v>1st Quality</v>
      </c>
      <c r="AJ3424">
        <f>((T3424-X3424)*2)/6.3</f>
        <v>542.534687156267</v>
      </c>
      <c r="AK3424">
        <f t="shared" si="388"/>
        <v>1934715.25241379</v>
      </c>
    </row>
    <row r="3425" spans="1:37">
      <c r="A3425" t="s">
        <v>3491</v>
      </c>
      <c r="B3425">
        <v>29</v>
      </c>
      <c r="C3425" t="s">
        <v>44</v>
      </c>
      <c r="D3425" t="s">
        <v>60</v>
      </c>
      <c r="E3425">
        <v>1239</v>
      </c>
      <c r="F3425">
        <v>38</v>
      </c>
      <c r="G3425">
        <v>6</v>
      </c>
      <c r="H3425">
        <v>2652.95</v>
      </c>
      <c r="I3425">
        <v>16829.77</v>
      </c>
      <c r="J3425">
        <v>57</v>
      </c>
      <c r="K3425">
        <v>1</v>
      </c>
      <c r="L3425">
        <v>37.4</v>
      </c>
      <c r="M3425">
        <v>24.1</v>
      </c>
      <c r="N3425" t="s">
        <v>81</v>
      </c>
      <c r="O3425" t="s">
        <v>47</v>
      </c>
      <c r="P3425" t="s">
        <v>58</v>
      </c>
      <c r="R3425">
        <f>SUMIF(A3425:A8424,"C03424",I3425:I8424)</f>
        <v>16829.77</v>
      </c>
      <c r="S3425" s="1">
        <v>76065.52</v>
      </c>
      <c r="T3425">
        <f t="shared" si="391"/>
        <v>295.259122807018</v>
      </c>
      <c r="U3425">
        <f t="shared" si="385"/>
        <v>1373.7</v>
      </c>
      <c r="V3425">
        <f>U3425*1</f>
        <v>1373.7</v>
      </c>
      <c r="W3425">
        <f t="shared" si="389"/>
        <v>6494.57333333333</v>
      </c>
      <c r="X3425">
        <f t="shared" si="387"/>
        <v>0.467027271527922</v>
      </c>
      <c r="AH3425" t="str">
        <f t="shared" si="390"/>
        <v>2nd Quality</v>
      </c>
      <c r="AJ3425">
        <f>((T3425-X3425)*2)/37.4</f>
        <v>15.764283183716</v>
      </c>
      <c r="AK3425">
        <f t="shared" si="388"/>
        <v>365826.053157895</v>
      </c>
    </row>
    <row r="3426" spans="1:37">
      <c r="A3426" t="s">
        <v>3492</v>
      </c>
      <c r="B3426">
        <v>22</v>
      </c>
      <c r="C3426" t="s">
        <v>50</v>
      </c>
      <c r="D3426" t="s">
        <v>60</v>
      </c>
      <c r="E3426">
        <v>1209</v>
      </c>
      <c r="F3426">
        <v>3</v>
      </c>
      <c r="G3426">
        <v>22</v>
      </c>
      <c r="H3426">
        <v>4211.45</v>
      </c>
      <c r="I3426">
        <v>81961.31</v>
      </c>
      <c r="J3426">
        <v>61</v>
      </c>
      <c r="K3426">
        <v>1</v>
      </c>
      <c r="L3426">
        <v>17.9</v>
      </c>
      <c r="M3426">
        <v>38.5</v>
      </c>
      <c r="N3426" t="s">
        <v>46</v>
      </c>
      <c r="O3426" t="s">
        <v>53</v>
      </c>
      <c r="P3426" t="s">
        <v>58</v>
      </c>
      <c r="R3426">
        <f>SUMIF(A3426:A8425,"C03425",I3426:I8425)</f>
        <v>81961.31</v>
      </c>
      <c r="S3426" s="1">
        <v>2548.25</v>
      </c>
      <c r="T3426">
        <f t="shared" si="391"/>
        <v>1343.62803278689</v>
      </c>
      <c r="U3426">
        <f t="shared" ref="U3426:U3489" si="392">J3426*M3426</f>
        <v>2348.5</v>
      </c>
      <c r="V3426">
        <f>U3426*1</f>
        <v>2348.5</v>
      </c>
      <c r="W3426">
        <f t="shared" si="389"/>
        <v>28724.5866666667</v>
      </c>
      <c r="X3426">
        <f t="shared" si="387"/>
        <v>0.287074523026511</v>
      </c>
      <c r="AH3426" t="str">
        <f t="shared" si="390"/>
        <v>1st Quality</v>
      </c>
      <c r="AJ3426">
        <f>((T3426-X3426)*2)/17.9</f>
        <v>150.093961817191</v>
      </c>
      <c r="AK3426">
        <f t="shared" si="388"/>
        <v>1624446.29163934</v>
      </c>
    </row>
    <row r="3427" spans="1:37">
      <c r="A3427" t="s">
        <v>3493</v>
      </c>
      <c r="B3427">
        <v>37</v>
      </c>
      <c r="C3427" t="s">
        <v>44</v>
      </c>
      <c r="D3427" t="s">
        <v>60</v>
      </c>
      <c r="E3427">
        <v>1235</v>
      </c>
      <c r="F3427">
        <v>18</v>
      </c>
      <c r="G3427">
        <v>5</v>
      </c>
      <c r="H3427">
        <v>12425.94</v>
      </c>
      <c r="I3427">
        <v>68309.33</v>
      </c>
      <c r="J3427">
        <v>37</v>
      </c>
      <c r="K3427">
        <v>0</v>
      </c>
      <c r="L3427">
        <v>0</v>
      </c>
      <c r="M3427">
        <v>17.4</v>
      </c>
      <c r="N3427" t="s">
        <v>61</v>
      </c>
      <c r="O3427" t="s">
        <v>47</v>
      </c>
      <c r="P3427" t="s">
        <v>58</v>
      </c>
      <c r="R3427">
        <f>SUMIF(A3427:A8426,"C03426",I3427:I8426)</f>
        <v>68309.33</v>
      </c>
      <c r="S3427" s="1">
        <v>2637.57</v>
      </c>
      <c r="T3427">
        <f t="shared" si="391"/>
        <v>1846.19810810811</v>
      </c>
      <c r="U3427">
        <f t="shared" si="392"/>
        <v>643.8</v>
      </c>
      <c r="V3427">
        <f t="shared" si="386"/>
        <v>53.65</v>
      </c>
      <c r="W3427">
        <f t="shared" si="389"/>
        <v>26912.09</v>
      </c>
      <c r="X3427">
        <f t="shared" si="387"/>
        <v>0.0993888591124696</v>
      </c>
      <c r="AH3427" t="str">
        <f t="shared" si="390"/>
        <v>2nd Quality</v>
      </c>
      <c r="AJ3427">
        <f>((T3427-X3427)*2)</f>
        <v>3692.197438498</v>
      </c>
      <c r="AK3427">
        <f t="shared" si="388"/>
        <v>2280054.66351351</v>
      </c>
    </row>
    <row r="3428" spans="1:37">
      <c r="A3428" t="s">
        <v>3494</v>
      </c>
      <c r="B3428">
        <v>49</v>
      </c>
      <c r="C3428" t="s">
        <v>50</v>
      </c>
      <c r="D3428" t="s">
        <v>51</v>
      </c>
      <c r="E3428">
        <v>812</v>
      </c>
      <c r="F3428">
        <v>22</v>
      </c>
      <c r="G3428">
        <v>16</v>
      </c>
      <c r="H3428">
        <v>4539.28</v>
      </c>
      <c r="I3428">
        <v>76065.52</v>
      </c>
      <c r="J3428">
        <v>101</v>
      </c>
      <c r="K3428">
        <v>1</v>
      </c>
      <c r="L3428">
        <v>4.7</v>
      </c>
      <c r="M3428">
        <v>25.6</v>
      </c>
      <c r="N3428" t="s">
        <v>61</v>
      </c>
      <c r="O3428" t="s">
        <v>47</v>
      </c>
      <c r="P3428" t="s">
        <v>48</v>
      </c>
      <c r="R3428">
        <f>SUMIF(A3428:A8427,"C03427",I3428:I8427)</f>
        <v>76065.52</v>
      </c>
      <c r="S3428" s="1">
        <v>2421.61</v>
      </c>
      <c r="T3428">
        <f t="shared" si="391"/>
        <v>753.12396039604</v>
      </c>
      <c r="U3428">
        <f t="shared" si="392"/>
        <v>2585.6</v>
      </c>
      <c r="V3428">
        <f>U3428*1</f>
        <v>2585.6</v>
      </c>
      <c r="W3428">
        <f t="shared" si="389"/>
        <v>26868.6</v>
      </c>
      <c r="X3428">
        <f t="shared" si="387"/>
        <v>0.178882994659946</v>
      </c>
      <c r="AH3428" t="str">
        <f t="shared" si="390"/>
        <v>3rd Quality</v>
      </c>
      <c r="AJ3428">
        <f>((T3428-X3428)*2)/4.7</f>
        <v>320.402160596332</v>
      </c>
      <c r="AK3428">
        <f t="shared" si="388"/>
        <v>611536.655841584</v>
      </c>
    </row>
    <row r="3429" spans="1:37">
      <c r="A3429" t="s">
        <v>3495</v>
      </c>
      <c r="B3429">
        <v>39</v>
      </c>
      <c r="C3429" t="s">
        <v>101</v>
      </c>
      <c r="D3429" t="s">
        <v>60</v>
      </c>
      <c r="E3429">
        <v>1164</v>
      </c>
      <c r="F3429">
        <v>222</v>
      </c>
      <c r="G3429">
        <v>2</v>
      </c>
      <c r="H3429">
        <v>1381.63</v>
      </c>
      <c r="I3429">
        <v>2548.25</v>
      </c>
      <c r="J3429">
        <v>14</v>
      </c>
      <c r="K3429">
        <v>0</v>
      </c>
      <c r="L3429">
        <v>13.8</v>
      </c>
      <c r="M3429">
        <v>11</v>
      </c>
      <c r="N3429" t="s">
        <v>52</v>
      </c>
      <c r="O3429" t="s">
        <v>75</v>
      </c>
      <c r="P3429" t="s">
        <v>58</v>
      </c>
      <c r="R3429">
        <f>SUMIF(A3429:A8428,"C03428",I3429:I8428)</f>
        <v>2548.25</v>
      </c>
      <c r="S3429" s="1">
        <v>39785.82</v>
      </c>
      <c r="T3429">
        <f t="shared" si="391"/>
        <v>182.017857142857</v>
      </c>
      <c r="U3429">
        <f t="shared" si="392"/>
        <v>154</v>
      </c>
      <c r="V3429">
        <f t="shared" si="386"/>
        <v>12.8333333333333</v>
      </c>
      <c r="W3429">
        <f t="shared" si="389"/>
        <v>1310.29333333333</v>
      </c>
      <c r="X3429">
        <f t="shared" si="387"/>
        <v>0.842483153955835</v>
      </c>
      <c r="AH3429" t="str">
        <f t="shared" si="390"/>
        <v>3rd Quality</v>
      </c>
      <c r="AJ3429">
        <f>((T3429-X3429)*2)/13.8</f>
        <v>26.2573005781016</v>
      </c>
      <c r="AK3429">
        <f t="shared" si="388"/>
        <v>211868.785714286</v>
      </c>
    </row>
    <row r="3430" spans="1:37">
      <c r="A3430" t="s">
        <v>3496</v>
      </c>
      <c r="B3430">
        <v>42</v>
      </c>
      <c r="C3430" t="s">
        <v>50</v>
      </c>
      <c r="D3430" t="s">
        <v>60</v>
      </c>
      <c r="E3430">
        <v>932</v>
      </c>
      <c r="F3430">
        <v>86</v>
      </c>
      <c r="G3430">
        <v>1</v>
      </c>
      <c r="H3430">
        <v>2868.52</v>
      </c>
      <c r="I3430">
        <v>2637.57</v>
      </c>
      <c r="J3430">
        <v>16</v>
      </c>
      <c r="K3430">
        <v>0</v>
      </c>
      <c r="L3430">
        <v>11.3</v>
      </c>
      <c r="M3430">
        <v>18.7</v>
      </c>
      <c r="N3430" t="s">
        <v>57</v>
      </c>
      <c r="O3430" t="s">
        <v>47</v>
      </c>
      <c r="P3430" t="s">
        <v>48</v>
      </c>
      <c r="R3430">
        <f>SUMIF(A3430:A8429,"C03429",I3430:I8429)</f>
        <v>2637.57</v>
      </c>
      <c r="S3430" s="1">
        <v>32717.01</v>
      </c>
      <c r="T3430">
        <f t="shared" si="391"/>
        <v>164.848125</v>
      </c>
      <c r="U3430">
        <f t="shared" si="392"/>
        <v>299.2</v>
      </c>
      <c r="V3430">
        <f t="shared" si="386"/>
        <v>24.9333333333333</v>
      </c>
      <c r="W3430">
        <f t="shared" si="389"/>
        <v>1835.69666666667</v>
      </c>
      <c r="X3430">
        <f t="shared" si="387"/>
        <v>0.324906223418348</v>
      </c>
      <c r="AH3430" t="str">
        <f t="shared" si="390"/>
        <v>3rd Quality</v>
      </c>
      <c r="AJ3430">
        <f>((T3430-X3430)*2)/11.3</f>
        <v>29.1191537657667</v>
      </c>
      <c r="AK3430">
        <f t="shared" si="388"/>
        <v>153638.4525</v>
      </c>
    </row>
    <row r="3431" spans="1:37">
      <c r="A3431" t="s">
        <v>3497</v>
      </c>
      <c r="B3431">
        <v>42</v>
      </c>
      <c r="C3431" t="s">
        <v>50</v>
      </c>
      <c r="D3431" t="s">
        <v>45</v>
      </c>
      <c r="E3431">
        <v>1304</v>
      </c>
      <c r="F3431">
        <v>69</v>
      </c>
      <c r="G3431">
        <v>3</v>
      </c>
      <c r="H3431">
        <v>903</v>
      </c>
      <c r="I3431">
        <v>2421.61</v>
      </c>
      <c r="J3431">
        <v>16</v>
      </c>
      <c r="K3431">
        <v>0</v>
      </c>
      <c r="L3431">
        <v>26.8</v>
      </c>
      <c r="M3431">
        <v>22.8</v>
      </c>
      <c r="N3431" t="s">
        <v>57</v>
      </c>
      <c r="O3431" t="s">
        <v>47</v>
      </c>
      <c r="P3431" t="s">
        <v>48</v>
      </c>
      <c r="R3431">
        <f>SUMIF(A3431:A8430,"C03430",I3431:I8430)</f>
        <v>2421.61</v>
      </c>
      <c r="S3431" s="1">
        <v>1466.41</v>
      </c>
      <c r="T3431">
        <f t="shared" si="391"/>
        <v>151.350625</v>
      </c>
      <c r="U3431">
        <f t="shared" si="392"/>
        <v>364.8</v>
      </c>
      <c r="V3431">
        <f t="shared" si="386"/>
        <v>30.4</v>
      </c>
      <c r="W3431">
        <f t="shared" si="389"/>
        <v>1108.53666666667</v>
      </c>
      <c r="X3431">
        <f t="shared" si="387"/>
        <v>1.44407530454042</v>
      </c>
      <c r="AH3431" t="str">
        <f t="shared" si="390"/>
        <v>3rd Quality</v>
      </c>
      <c r="AJ3431">
        <f>((T3431-X3431)*2)/26.8</f>
        <v>11.1870559474224</v>
      </c>
      <c r="AK3431">
        <f t="shared" si="388"/>
        <v>197361.215</v>
      </c>
    </row>
    <row r="3432" spans="1:37">
      <c r="A3432" t="s">
        <v>3498</v>
      </c>
      <c r="B3432">
        <v>50</v>
      </c>
      <c r="C3432" t="s">
        <v>56</v>
      </c>
      <c r="D3432" t="s">
        <v>45</v>
      </c>
      <c r="E3432">
        <v>908</v>
      </c>
      <c r="F3432">
        <v>46</v>
      </c>
      <c r="G3432">
        <v>4</v>
      </c>
      <c r="H3432">
        <v>9340.12</v>
      </c>
      <c r="I3432">
        <v>39785.82</v>
      </c>
      <c r="J3432">
        <v>19</v>
      </c>
      <c r="K3432">
        <v>0</v>
      </c>
      <c r="L3432">
        <v>2.3</v>
      </c>
      <c r="M3432">
        <v>33.1</v>
      </c>
      <c r="N3432" t="s">
        <v>46</v>
      </c>
      <c r="O3432" t="s">
        <v>47</v>
      </c>
      <c r="P3432" t="s">
        <v>48</v>
      </c>
      <c r="R3432">
        <f>SUMIF(A3432:A8431,"C03431",I3432:I8431)</f>
        <v>39785.82</v>
      </c>
      <c r="S3432" s="1">
        <v>2666.37</v>
      </c>
      <c r="T3432">
        <f t="shared" si="391"/>
        <v>2093.99052631579</v>
      </c>
      <c r="U3432">
        <f t="shared" si="392"/>
        <v>628.9</v>
      </c>
      <c r="V3432">
        <f t="shared" si="386"/>
        <v>52.4083333333333</v>
      </c>
      <c r="W3432">
        <f t="shared" si="389"/>
        <v>16375.6466666667</v>
      </c>
      <c r="X3432">
        <f t="shared" si="387"/>
        <v>0.0972150250746243</v>
      </c>
      <c r="AH3432" t="str">
        <f t="shared" si="390"/>
        <v>3rd Quality</v>
      </c>
      <c r="AJ3432">
        <f>((T3432-X3432)*2)/2.3</f>
        <v>1820.77679242671</v>
      </c>
      <c r="AK3432">
        <f t="shared" si="388"/>
        <v>1901343.39789474</v>
      </c>
    </row>
    <row r="3433" spans="1:37">
      <c r="A3433" t="s">
        <v>3499</v>
      </c>
      <c r="B3433">
        <v>26</v>
      </c>
      <c r="C3433" t="s">
        <v>44</v>
      </c>
      <c r="D3433" t="s">
        <v>45</v>
      </c>
      <c r="E3433">
        <v>475</v>
      </c>
      <c r="F3433">
        <v>17</v>
      </c>
      <c r="G3433">
        <v>6</v>
      </c>
      <c r="H3433">
        <v>5987.62</v>
      </c>
      <c r="I3433">
        <v>32717.01</v>
      </c>
      <c r="J3433">
        <v>37</v>
      </c>
      <c r="K3433">
        <v>1</v>
      </c>
      <c r="L3433">
        <v>6.3</v>
      </c>
      <c r="M3433">
        <v>19.4</v>
      </c>
      <c r="N3433" t="s">
        <v>63</v>
      </c>
      <c r="O3433" t="s">
        <v>53</v>
      </c>
      <c r="P3433" t="s">
        <v>66</v>
      </c>
      <c r="R3433">
        <f>SUMIF(A3433:A8432,"C03432",I3433:I8432)</f>
        <v>32717.01</v>
      </c>
      <c r="S3433" s="1">
        <v>73657.46</v>
      </c>
      <c r="T3433">
        <f t="shared" si="391"/>
        <v>884.243513513513</v>
      </c>
      <c r="U3433">
        <f t="shared" si="392"/>
        <v>717.8</v>
      </c>
      <c r="V3433">
        <f>U3432*1</f>
        <v>628.9</v>
      </c>
      <c r="W3433">
        <f t="shared" si="389"/>
        <v>12901.8766666667</v>
      </c>
      <c r="X3433">
        <f t="shared" si="387"/>
        <v>0.0793303516255207</v>
      </c>
      <c r="AH3433" t="str">
        <f t="shared" si="390"/>
        <v>2nd Quality</v>
      </c>
      <c r="AJ3433">
        <f>((T3433-X3433)*2)/6.3</f>
        <v>280.687042273615</v>
      </c>
      <c r="AK3433">
        <f t="shared" si="388"/>
        <v>420015.668918919</v>
      </c>
    </row>
    <row r="3434" spans="1:37">
      <c r="A3434" t="s">
        <v>3500</v>
      </c>
      <c r="B3434">
        <v>27</v>
      </c>
      <c r="C3434" t="s">
        <v>50</v>
      </c>
      <c r="D3434" t="s">
        <v>60</v>
      </c>
      <c r="E3434">
        <v>1259</v>
      </c>
      <c r="F3434">
        <v>231</v>
      </c>
      <c r="G3434">
        <v>1</v>
      </c>
      <c r="H3434">
        <v>1459.38</v>
      </c>
      <c r="I3434">
        <v>1466.41</v>
      </c>
      <c r="J3434">
        <v>19</v>
      </c>
      <c r="K3434">
        <v>0</v>
      </c>
      <c r="L3434">
        <v>16.2</v>
      </c>
      <c r="M3434">
        <v>19</v>
      </c>
      <c r="N3434" t="s">
        <v>46</v>
      </c>
      <c r="O3434" t="s">
        <v>47</v>
      </c>
      <c r="P3434" t="s">
        <v>58</v>
      </c>
      <c r="R3434">
        <f>SUMIF(A3434:A8433,"C03433",I3434:I8433)</f>
        <v>1466.41</v>
      </c>
      <c r="S3434" s="1">
        <v>55918.87</v>
      </c>
      <c r="T3434">
        <f t="shared" si="391"/>
        <v>77.1794736842105</v>
      </c>
      <c r="U3434">
        <f t="shared" si="392"/>
        <v>361</v>
      </c>
      <c r="V3434">
        <f t="shared" si="386"/>
        <v>30.0833333333333</v>
      </c>
      <c r="W3434">
        <f t="shared" si="389"/>
        <v>975.596666666667</v>
      </c>
      <c r="X3434">
        <f t="shared" si="387"/>
        <v>0.862695117104524</v>
      </c>
      <c r="AH3434" t="str">
        <f t="shared" si="390"/>
        <v>3rd Quality</v>
      </c>
      <c r="AJ3434">
        <f>((T3434-X3434)*2)/16.2</f>
        <v>9.42182451445753</v>
      </c>
      <c r="AK3434">
        <f t="shared" si="388"/>
        <v>97168.9573684211</v>
      </c>
    </row>
    <row r="3435" spans="1:37">
      <c r="A3435" t="s">
        <v>3501</v>
      </c>
      <c r="B3435">
        <v>38</v>
      </c>
      <c r="C3435" t="s">
        <v>44</v>
      </c>
      <c r="D3435" t="s">
        <v>60</v>
      </c>
      <c r="E3435">
        <v>919</v>
      </c>
      <c r="F3435">
        <v>22</v>
      </c>
      <c r="G3435">
        <v>4</v>
      </c>
      <c r="H3435">
        <v>690.08</v>
      </c>
      <c r="I3435">
        <v>2666.37</v>
      </c>
      <c r="J3435">
        <v>15</v>
      </c>
      <c r="K3435">
        <v>2</v>
      </c>
      <c r="L3435">
        <v>30.1</v>
      </c>
      <c r="M3435">
        <v>6.3</v>
      </c>
      <c r="N3435" t="s">
        <v>63</v>
      </c>
      <c r="O3435" t="s">
        <v>47</v>
      </c>
      <c r="P3435" t="s">
        <v>66</v>
      </c>
      <c r="R3435">
        <f>SUMIF(A3435:A8434,"C03434",I3435:I8434)</f>
        <v>2666.37</v>
      </c>
      <c r="S3435" s="1">
        <v>15114.23</v>
      </c>
      <c r="T3435">
        <f t="shared" si="391"/>
        <v>177.758</v>
      </c>
      <c r="U3435">
        <f t="shared" si="392"/>
        <v>94.5</v>
      </c>
      <c r="V3435">
        <f>U3435*2</f>
        <v>189</v>
      </c>
      <c r="W3435">
        <f t="shared" si="389"/>
        <v>1119.15</v>
      </c>
      <c r="X3435">
        <f t="shared" si="387"/>
        <v>1.33172965453281</v>
      </c>
      <c r="AH3435" t="str">
        <f t="shared" si="390"/>
        <v>3rd Quality</v>
      </c>
      <c r="AJ3435">
        <f>((T3435-X3435)*2)/30.1</f>
        <v>11.7226757704629</v>
      </c>
      <c r="AK3435">
        <f t="shared" si="388"/>
        <v>163359.602</v>
      </c>
    </row>
    <row r="3436" spans="1:37">
      <c r="A3436" t="s">
        <v>3502</v>
      </c>
      <c r="B3436">
        <v>34</v>
      </c>
      <c r="C3436" t="s">
        <v>50</v>
      </c>
      <c r="D3436" t="s">
        <v>51</v>
      </c>
      <c r="E3436">
        <v>415</v>
      </c>
      <c r="F3436">
        <v>6</v>
      </c>
      <c r="G3436">
        <v>25</v>
      </c>
      <c r="H3436">
        <v>2912</v>
      </c>
      <c r="I3436">
        <v>73657.46</v>
      </c>
      <c r="J3436">
        <v>85</v>
      </c>
      <c r="K3436">
        <v>1</v>
      </c>
      <c r="L3436">
        <v>3.7</v>
      </c>
      <c r="M3436">
        <v>47.9</v>
      </c>
      <c r="N3436" t="s">
        <v>61</v>
      </c>
      <c r="O3436" t="s">
        <v>47</v>
      </c>
      <c r="P3436" t="s">
        <v>58</v>
      </c>
      <c r="R3436">
        <f>SUMIF(A3436:A8435,"C03435",I3436:I8435)</f>
        <v>73657.46</v>
      </c>
      <c r="S3436" s="1">
        <v>5919.69</v>
      </c>
      <c r="T3436">
        <f t="shared" si="391"/>
        <v>866.558352941177</v>
      </c>
      <c r="U3436">
        <f t="shared" si="392"/>
        <v>4071.5</v>
      </c>
      <c r="V3436">
        <f>U3436*1</f>
        <v>4071.5</v>
      </c>
      <c r="W3436">
        <f t="shared" si="389"/>
        <v>25523.4866666667</v>
      </c>
      <c r="X3436">
        <f t="shared" si="387"/>
        <v>0.142513736263736</v>
      </c>
      <c r="AH3436" t="str">
        <f t="shared" si="390"/>
        <v>3rd Quality</v>
      </c>
      <c r="AJ3436">
        <f>((T3436-X3436)*2)/3.7</f>
        <v>468.33288605671</v>
      </c>
      <c r="AK3436">
        <f t="shared" si="388"/>
        <v>359621.716470588</v>
      </c>
    </row>
    <row r="3437" spans="1:37">
      <c r="A3437" t="s">
        <v>3503</v>
      </c>
      <c r="B3437">
        <v>25</v>
      </c>
      <c r="C3437" t="s">
        <v>50</v>
      </c>
      <c r="D3437" t="s">
        <v>60</v>
      </c>
      <c r="E3437">
        <v>1270</v>
      </c>
      <c r="F3437">
        <v>71</v>
      </c>
      <c r="G3437">
        <v>7</v>
      </c>
      <c r="H3437">
        <v>7631.6</v>
      </c>
      <c r="I3437">
        <v>55918.87</v>
      </c>
      <c r="J3437">
        <v>70</v>
      </c>
      <c r="K3437">
        <v>0</v>
      </c>
      <c r="L3437">
        <v>0</v>
      </c>
      <c r="M3437">
        <v>62.4</v>
      </c>
      <c r="N3437" t="s">
        <v>57</v>
      </c>
      <c r="O3437" t="s">
        <v>47</v>
      </c>
      <c r="P3437" t="s">
        <v>48</v>
      </c>
      <c r="R3437">
        <f>SUMIF(A3437:A8436,"C03436",I3437:I8436)</f>
        <v>55918.87</v>
      </c>
      <c r="S3437" s="1">
        <v>100447.91</v>
      </c>
      <c r="T3437">
        <f t="shared" si="391"/>
        <v>798.841</v>
      </c>
      <c r="U3437">
        <f t="shared" si="392"/>
        <v>4368</v>
      </c>
      <c r="V3437">
        <f t="shared" si="386"/>
        <v>364</v>
      </c>
      <c r="W3437">
        <f t="shared" si="389"/>
        <v>21183.8233333333</v>
      </c>
      <c r="X3437">
        <f t="shared" si="387"/>
        <v>0.166413334032182</v>
      </c>
      <c r="AH3437" t="str">
        <f t="shared" si="390"/>
        <v>1st Quality</v>
      </c>
      <c r="AJ3437">
        <f>((T3437-X3437)*2)</f>
        <v>1597.34917333194</v>
      </c>
      <c r="AK3437">
        <f t="shared" si="388"/>
        <v>1014528.07</v>
      </c>
    </row>
    <row r="3438" spans="1:37">
      <c r="A3438" t="s">
        <v>3504</v>
      </c>
      <c r="B3438">
        <v>36</v>
      </c>
      <c r="C3438" t="s">
        <v>44</v>
      </c>
      <c r="D3438" t="s">
        <v>60</v>
      </c>
      <c r="E3438">
        <v>424</v>
      </c>
      <c r="F3438">
        <v>37</v>
      </c>
      <c r="G3438">
        <v>14</v>
      </c>
      <c r="H3438">
        <v>1160.36</v>
      </c>
      <c r="I3438">
        <v>15114.23</v>
      </c>
      <c r="J3438">
        <v>77</v>
      </c>
      <c r="K3438">
        <v>1</v>
      </c>
      <c r="L3438">
        <v>18.5</v>
      </c>
      <c r="M3438">
        <v>31.4</v>
      </c>
      <c r="N3438" t="s">
        <v>46</v>
      </c>
      <c r="O3438" t="s">
        <v>53</v>
      </c>
      <c r="P3438" t="s">
        <v>58</v>
      </c>
      <c r="R3438">
        <f>SUMIF(A3438:A8437,"C03437",I3438:I8437)</f>
        <v>15114.23</v>
      </c>
      <c r="S3438" s="1">
        <v>52567.18</v>
      </c>
      <c r="T3438">
        <f t="shared" si="391"/>
        <v>196.288701298701</v>
      </c>
      <c r="U3438">
        <f t="shared" si="392"/>
        <v>2417.8</v>
      </c>
      <c r="V3438">
        <f>U3438*1</f>
        <v>2417.8</v>
      </c>
      <c r="W3438">
        <f t="shared" si="389"/>
        <v>5425.19666666667</v>
      </c>
      <c r="X3438">
        <f t="shared" si="387"/>
        <v>0.365403840187528</v>
      </c>
      <c r="AH3438" t="str">
        <f t="shared" si="390"/>
        <v>3rd Quality</v>
      </c>
      <c r="AJ3438">
        <f>((T3438-X3438)*2)/18.5</f>
        <v>21.180897022542</v>
      </c>
      <c r="AK3438">
        <f t="shared" si="388"/>
        <v>83226.4093506493</v>
      </c>
    </row>
    <row r="3439" spans="1:37">
      <c r="A3439" t="s">
        <v>3505</v>
      </c>
      <c r="B3439">
        <v>18</v>
      </c>
      <c r="C3439" t="s">
        <v>44</v>
      </c>
      <c r="D3439" t="s">
        <v>60</v>
      </c>
      <c r="E3439">
        <v>489</v>
      </c>
      <c r="F3439">
        <v>49</v>
      </c>
      <c r="G3439">
        <v>8</v>
      </c>
      <c r="H3439">
        <v>797.27</v>
      </c>
      <c r="I3439">
        <v>5919.69</v>
      </c>
      <c r="J3439">
        <v>71</v>
      </c>
      <c r="K3439">
        <v>0</v>
      </c>
      <c r="L3439">
        <v>17.7</v>
      </c>
      <c r="M3439">
        <v>14.6</v>
      </c>
      <c r="N3439" t="s">
        <v>52</v>
      </c>
      <c r="O3439" t="s">
        <v>53</v>
      </c>
      <c r="P3439" t="s">
        <v>58</v>
      </c>
      <c r="R3439">
        <f>SUMIF(A3439:A8438,"C03438",I3439:I8438)</f>
        <v>5919.69</v>
      </c>
      <c r="S3439" s="1">
        <v>7593.62</v>
      </c>
      <c r="T3439">
        <f t="shared" si="391"/>
        <v>83.3759154929577</v>
      </c>
      <c r="U3439">
        <f t="shared" si="392"/>
        <v>1036.6</v>
      </c>
      <c r="V3439">
        <f t="shared" si="386"/>
        <v>86.3833333333333</v>
      </c>
      <c r="W3439">
        <f t="shared" si="389"/>
        <v>2239.32</v>
      </c>
      <c r="X3439">
        <f t="shared" si="387"/>
        <v>0.613343033100455</v>
      </c>
      <c r="AH3439" t="str">
        <f t="shared" si="390"/>
        <v>3rd Quality</v>
      </c>
      <c r="AJ3439">
        <f>((T3439-X3439)*2)/17.7</f>
        <v>9.35170310280873</v>
      </c>
      <c r="AK3439">
        <f t="shared" si="388"/>
        <v>40770.8226760563</v>
      </c>
    </row>
    <row r="3440" spans="1:37">
      <c r="A3440" t="s">
        <v>3506</v>
      </c>
      <c r="B3440">
        <v>45</v>
      </c>
      <c r="C3440" t="s">
        <v>44</v>
      </c>
      <c r="D3440" t="s">
        <v>60</v>
      </c>
      <c r="E3440">
        <v>1145</v>
      </c>
      <c r="F3440">
        <v>10</v>
      </c>
      <c r="G3440">
        <v>25</v>
      </c>
      <c r="H3440">
        <v>4180.87</v>
      </c>
      <c r="I3440">
        <v>100447.91</v>
      </c>
      <c r="J3440">
        <v>83</v>
      </c>
      <c r="K3440">
        <v>2</v>
      </c>
      <c r="L3440">
        <v>19.3</v>
      </c>
      <c r="M3440">
        <v>39.9</v>
      </c>
      <c r="N3440" t="s">
        <v>57</v>
      </c>
      <c r="O3440" t="s">
        <v>47</v>
      </c>
      <c r="P3440" t="s">
        <v>54</v>
      </c>
      <c r="R3440">
        <f>SUMIF(A3440:A8439,"C03439",I3440:I8439)</f>
        <v>100447.91</v>
      </c>
      <c r="S3440" s="1">
        <v>152970.53</v>
      </c>
      <c r="T3440">
        <f t="shared" si="391"/>
        <v>1210.21578313253</v>
      </c>
      <c r="U3440">
        <f t="shared" si="392"/>
        <v>3311.7</v>
      </c>
      <c r="V3440">
        <f>U3440*2</f>
        <v>6623.4</v>
      </c>
      <c r="W3440">
        <f t="shared" si="389"/>
        <v>34876.5933333333</v>
      </c>
      <c r="X3440">
        <f t="shared" si="387"/>
        <v>0.27386644406547</v>
      </c>
      <c r="AH3440" t="str">
        <f t="shared" si="390"/>
        <v>3rd Quality</v>
      </c>
      <c r="AJ3440">
        <f>((T3440-X3440)*2)/19.3</f>
        <v>125.382582040255</v>
      </c>
      <c r="AK3440">
        <f t="shared" si="388"/>
        <v>1385697.07168675</v>
      </c>
    </row>
    <row r="3441" spans="1:37">
      <c r="A3441" t="s">
        <v>3507</v>
      </c>
      <c r="B3441">
        <v>25</v>
      </c>
      <c r="C3441" t="s">
        <v>50</v>
      </c>
      <c r="D3441" t="s">
        <v>45</v>
      </c>
      <c r="E3441">
        <v>539</v>
      </c>
      <c r="F3441">
        <v>6</v>
      </c>
      <c r="G3441">
        <v>4</v>
      </c>
      <c r="H3441">
        <v>11899</v>
      </c>
      <c r="I3441">
        <v>52567.18</v>
      </c>
      <c r="J3441">
        <v>28</v>
      </c>
      <c r="K3441">
        <v>0</v>
      </c>
      <c r="L3441">
        <v>11.9</v>
      </c>
      <c r="M3441">
        <v>35.2</v>
      </c>
      <c r="N3441" t="s">
        <v>57</v>
      </c>
      <c r="O3441" t="s">
        <v>75</v>
      </c>
      <c r="P3441" t="s">
        <v>58</v>
      </c>
      <c r="R3441">
        <f>SUMIF(A3441:A8440,"C03440",I3441:I8440)</f>
        <v>52567.18</v>
      </c>
      <c r="S3441" s="1">
        <v>78467.57</v>
      </c>
      <c r="T3441">
        <f t="shared" si="391"/>
        <v>1877.39928571429</v>
      </c>
      <c r="U3441">
        <f t="shared" si="392"/>
        <v>985.6</v>
      </c>
      <c r="V3441">
        <f t="shared" si="386"/>
        <v>82.1333333333333</v>
      </c>
      <c r="W3441">
        <f t="shared" si="389"/>
        <v>21489.06</v>
      </c>
      <c r="X3441">
        <f t="shared" si="387"/>
        <v>0.0452979241953105</v>
      </c>
      <c r="AH3441" t="str">
        <f t="shared" si="390"/>
        <v>2nd Quality</v>
      </c>
      <c r="AJ3441">
        <f>((T3441-X3441)*2)/11.9</f>
        <v>315.521678620184</v>
      </c>
      <c r="AK3441">
        <f t="shared" si="388"/>
        <v>1011918.215</v>
      </c>
    </row>
    <row r="3442" spans="1:37">
      <c r="A3442" t="s">
        <v>3508</v>
      </c>
      <c r="B3442">
        <v>18</v>
      </c>
      <c r="C3442" t="s">
        <v>44</v>
      </c>
      <c r="D3442" t="s">
        <v>45</v>
      </c>
      <c r="E3442">
        <v>663</v>
      </c>
      <c r="F3442">
        <v>12</v>
      </c>
      <c r="G3442">
        <v>3</v>
      </c>
      <c r="H3442">
        <v>2565.67</v>
      </c>
      <c r="I3442">
        <v>7593.62</v>
      </c>
      <c r="J3442">
        <v>23</v>
      </c>
      <c r="K3442">
        <v>0</v>
      </c>
      <c r="L3442">
        <v>31.1</v>
      </c>
      <c r="M3442">
        <v>16.2</v>
      </c>
      <c r="N3442" t="s">
        <v>61</v>
      </c>
      <c r="O3442" t="s">
        <v>75</v>
      </c>
      <c r="P3442" t="s">
        <v>66</v>
      </c>
      <c r="R3442">
        <f>SUMIF(A3442:A8441,"C03441",I3442:I8441)</f>
        <v>7593.62</v>
      </c>
      <c r="S3442" s="1">
        <v>12872.54</v>
      </c>
      <c r="T3442">
        <f t="shared" si="391"/>
        <v>330.157391304348</v>
      </c>
      <c r="U3442">
        <f t="shared" si="392"/>
        <v>372.6</v>
      </c>
      <c r="V3442">
        <f t="shared" si="386"/>
        <v>31.05</v>
      </c>
      <c r="W3442">
        <f t="shared" si="389"/>
        <v>3386.76333333333</v>
      </c>
      <c r="X3442">
        <f t="shared" si="387"/>
        <v>0.258412032724396</v>
      </c>
      <c r="AH3442" t="str">
        <f t="shared" si="390"/>
        <v>3rd Quality</v>
      </c>
      <c r="AJ3442">
        <f>((T3442-X3442)*2)/31.1</f>
        <v>21.2153684419051</v>
      </c>
      <c r="AK3442">
        <f t="shared" si="388"/>
        <v>218894.350434783</v>
      </c>
    </row>
    <row r="3443" spans="1:37">
      <c r="A3443" t="s">
        <v>3509</v>
      </c>
      <c r="B3443">
        <v>45</v>
      </c>
      <c r="C3443" t="s">
        <v>44</v>
      </c>
      <c r="D3443" t="s">
        <v>51</v>
      </c>
      <c r="E3443">
        <v>808</v>
      </c>
      <c r="F3443">
        <v>24</v>
      </c>
      <c r="G3443">
        <v>27</v>
      </c>
      <c r="H3443">
        <v>6016.52</v>
      </c>
      <c r="I3443">
        <v>152970.53</v>
      </c>
      <c r="J3443">
        <v>57</v>
      </c>
      <c r="K3443">
        <v>2</v>
      </c>
      <c r="L3443">
        <v>15.7</v>
      </c>
      <c r="M3443">
        <v>22.9</v>
      </c>
      <c r="N3443" t="s">
        <v>81</v>
      </c>
      <c r="O3443" t="s">
        <v>47</v>
      </c>
      <c r="P3443" t="s">
        <v>58</v>
      </c>
      <c r="R3443">
        <f>SUMIF(A3443:A8442,"C03442",I3443:I8442)</f>
        <v>152970.53</v>
      </c>
      <c r="S3443" s="1">
        <v>1996.96</v>
      </c>
      <c r="T3443">
        <f t="shared" si="391"/>
        <v>2683.69350877193</v>
      </c>
      <c r="U3443">
        <f t="shared" si="392"/>
        <v>1305.3</v>
      </c>
      <c r="V3443">
        <f>U3443*2</f>
        <v>2610.6</v>
      </c>
      <c r="W3443">
        <f t="shared" si="389"/>
        <v>52996.0166666667</v>
      </c>
      <c r="X3443">
        <f t="shared" si="387"/>
        <v>0.134296902528372</v>
      </c>
      <c r="AH3443" t="str">
        <f t="shared" si="390"/>
        <v>3rd Quality</v>
      </c>
      <c r="AJ3443">
        <f>((T3443-X3443)*2)/15.7</f>
        <v>341.854676671261</v>
      </c>
      <c r="AK3443">
        <f t="shared" si="388"/>
        <v>2168424.35508772</v>
      </c>
    </row>
    <row r="3444" spans="1:37">
      <c r="A3444" t="s">
        <v>3510</v>
      </c>
      <c r="B3444">
        <v>35</v>
      </c>
      <c r="C3444" t="s">
        <v>50</v>
      </c>
      <c r="D3444" t="s">
        <v>60</v>
      </c>
      <c r="E3444">
        <v>1433</v>
      </c>
      <c r="F3444">
        <v>22</v>
      </c>
      <c r="G3444">
        <v>23</v>
      </c>
      <c r="H3444">
        <v>3395.7</v>
      </c>
      <c r="I3444">
        <v>78467.57</v>
      </c>
      <c r="J3444">
        <v>187</v>
      </c>
      <c r="K3444">
        <v>1</v>
      </c>
      <c r="L3444">
        <v>0</v>
      </c>
      <c r="M3444">
        <v>27.7</v>
      </c>
      <c r="N3444" t="s">
        <v>57</v>
      </c>
      <c r="O3444" t="s">
        <v>53</v>
      </c>
      <c r="P3444" t="s">
        <v>66</v>
      </c>
      <c r="R3444">
        <f>SUMIF(A3444:A8443,"C03443",I3444:I8443)</f>
        <v>78467.57</v>
      </c>
      <c r="S3444" s="1">
        <v>13174.34</v>
      </c>
      <c r="T3444">
        <f t="shared" si="391"/>
        <v>419.612673796791</v>
      </c>
      <c r="U3444">
        <f t="shared" si="392"/>
        <v>5179.9</v>
      </c>
      <c r="V3444">
        <f>U3444*1</f>
        <v>5179.9</v>
      </c>
      <c r="W3444">
        <f t="shared" si="389"/>
        <v>27288.09</v>
      </c>
      <c r="X3444">
        <f t="shared" si="387"/>
        <v>0.42200429955532</v>
      </c>
      <c r="AH3444" t="str">
        <f t="shared" si="390"/>
        <v>2nd Quality</v>
      </c>
      <c r="AJ3444">
        <f>((T3444-X3444)*2)</f>
        <v>838.381338994471</v>
      </c>
      <c r="AK3444">
        <f t="shared" si="388"/>
        <v>601304.961550802</v>
      </c>
    </row>
    <row r="3445" spans="1:37">
      <c r="A3445" t="s">
        <v>3511</v>
      </c>
      <c r="B3445">
        <v>39</v>
      </c>
      <c r="C3445" t="s">
        <v>50</v>
      </c>
      <c r="D3445" t="s">
        <v>45</v>
      </c>
      <c r="E3445">
        <v>985</v>
      </c>
      <c r="F3445">
        <v>35</v>
      </c>
      <c r="G3445">
        <v>7</v>
      </c>
      <c r="H3445">
        <v>1991.72</v>
      </c>
      <c r="I3445">
        <v>12872.54</v>
      </c>
      <c r="J3445">
        <v>37</v>
      </c>
      <c r="K3445">
        <v>0</v>
      </c>
      <c r="L3445">
        <v>16</v>
      </c>
      <c r="M3445">
        <v>19</v>
      </c>
      <c r="N3445" t="s">
        <v>63</v>
      </c>
      <c r="O3445" t="s">
        <v>47</v>
      </c>
      <c r="P3445" t="s">
        <v>54</v>
      </c>
      <c r="R3445">
        <f>SUMIF(A3445:A8444,"C03444",I3445:I8444)</f>
        <v>12872.54</v>
      </c>
      <c r="S3445" s="1">
        <v>3413.33</v>
      </c>
      <c r="T3445">
        <f t="shared" si="391"/>
        <v>347.906486486487</v>
      </c>
      <c r="U3445">
        <f t="shared" si="392"/>
        <v>703</v>
      </c>
      <c r="V3445">
        <f t="shared" si="386"/>
        <v>58.5833333333333</v>
      </c>
      <c r="W3445">
        <f t="shared" si="389"/>
        <v>4955.08666666667</v>
      </c>
      <c r="X3445">
        <f t="shared" si="387"/>
        <v>0.494547426345069</v>
      </c>
      <c r="AH3445" t="str">
        <f t="shared" si="390"/>
        <v>3rd Quality</v>
      </c>
      <c r="AJ3445">
        <f>((T3445-X3445)*2)/16</f>
        <v>43.4264923825177</v>
      </c>
      <c r="AK3445">
        <f t="shared" si="388"/>
        <v>342687.889189189</v>
      </c>
    </row>
    <row r="3446" spans="1:37">
      <c r="A3446" t="s">
        <v>3512</v>
      </c>
      <c r="B3446">
        <v>54</v>
      </c>
      <c r="C3446" t="s">
        <v>50</v>
      </c>
      <c r="D3446" t="s">
        <v>60</v>
      </c>
      <c r="E3446">
        <v>1429</v>
      </c>
      <c r="F3446">
        <v>98</v>
      </c>
      <c r="G3446">
        <v>1</v>
      </c>
      <c r="H3446">
        <v>1877.47</v>
      </c>
      <c r="I3446">
        <v>1996.96</v>
      </c>
      <c r="J3446">
        <v>11</v>
      </c>
      <c r="K3446">
        <v>0</v>
      </c>
      <c r="L3446">
        <v>6.5</v>
      </c>
      <c r="M3446">
        <v>26.3</v>
      </c>
      <c r="N3446" t="s">
        <v>61</v>
      </c>
      <c r="O3446" t="s">
        <v>75</v>
      </c>
      <c r="P3446" t="s">
        <v>58</v>
      </c>
      <c r="R3446">
        <f>SUMIF(A3446:A8445,"C03445",I3446:I8445)</f>
        <v>1996.96</v>
      </c>
      <c r="S3446" s="1">
        <v>4469.44</v>
      </c>
      <c r="T3446">
        <f t="shared" si="391"/>
        <v>181.541818181818</v>
      </c>
      <c r="U3446">
        <f t="shared" si="392"/>
        <v>289.3</v>
      </c>
      <c r="V3446">
        <f t="shared" ref="V3446:V3509" si="393">U3446/12</f>
        <v>24.1083333333333</v>
      </c>
      <c r="W3446">
        <f t="shared" si="389"/>
        <v>1291.81</v>
      </c>
      <c r="X3446">
        <f t="shared" si="387"/>
        <v>0.761130670530022</v>
      </c>
      <c r="AH3446" t="str">
        <f t="shared" si="390"/>
        <v>3rd Quality</v>
      </c>
      <c r="AJ3446">
        <f>((T3446-X3446)*2)/6.5</f>
        <v>55.6248269265501</v>
      </c>
      <c r="AK3446">
        <f t="shared" si="388"/>
        <v>259423.258181818</v>
      </c>
    </row>
    <row r="3447" spans="1:37">
      <c r="A3447" t="s">
        <v>3513</v>
      </c>
      <c r="B3447">
        <v>45</v>
      </c>
      <c r="C3447" t="s">
        <v>44</v>
      </c>
      <c r="D3447" t="s">
        <v>51</v>
      </c>
      <c r="E3447">
        <v>1159</v>
      </c>
      <c r="F3447">
        <v>6</v>
      </c>
      <c r="G3447">
        <v>12</v>
      </c>
      <c r="H3447">
        <v>1147.64</v>
      </c>
      <c r="I3447">
        <v>13174.34</v>
      </c>
      <c r="J3447">
        <v>64</v>
      </c>
      <c r="K3447">
        <v>2</v>
      </c>
      <c r="L3447">
        <v>33</v>
      </c>
      <c r="M3447">
        <v>23.2</v>
      </c>
      <c r="N3447" t="s">
        <v>46</v>
      </c>
      <c r="O3447" t="s">
        <v>53</v>
      </c>
      <c r="P3447" t="s">
        <v>58</v>
      </c>
      <c r="R3447">
        <f>SUMIF(A3447:A8446,"C03446",I3447:I8446)</f>
        <v>13174.34</v>
      </c>
      <c r="S3447" s="1">
        <v>45871.75</v>
      </c>
      <c r="T3447">
        <f t="shared" si="391"/>
        <v>205.8490625</v>
      </c>
      <c r="U3447">
        <f t="shared" si="392"/>
        <v>1484.8</v>
      </c>
      <c r="V3447">
        <f>U3447*2</f>
        <v>2969.6</v>
      </c>
      <c r="W3447">
        <f t="shared" si="389"/>
        <v>4774.32666666667</v>
      </c>
      <c r="X3447">
        <f t="shared" si="387"/>
        <v>1.00989857446586</v>
      </c>
      <c r="AH3447" t="str">
        <f t="shared" si="390"/>
        <v>3rd Quality</v>
      </c>
      <c r="AJ3447">
        <f>((T3447-X3447)*2)/33</f>
        <v>12.4144947833657</v>
      </c>
      <c r="AK3447">
        <f t="shared" si="388"/>
        <v>238579.0634375</v>
      </c>
    </row>
    <row r="3448" spans="1:37">
      <c r="A3448" t="s">
        <v>3514</v>
      </c>
      <c r="B3448">
        <v>48</v>
      </c>
      <c r="C3448" t="s">
        <v>50</v>
      </c>
      <c r="D3448" t="s">
        <v>60</v>
      </c>
      <c r="E3448">
        <v>684</v>
      </c>
      <c r="F3448">
        <v>342</v>
      </c>
      <c r="G3448">
        <v>4</v>
      </c>
      <c r="H3448">
        <v>764.75</v>
      </c>
      <c r="I3448">
        <v>3413.33</v>
      </c>
      <c r="J3448">
        <v>29</v>
      </c>
      <c r="K3448">
        <v>1</v>
      </c>
      <c r="L3448">
        <v>34.9</v>
      </c>
      <c r="M3448">
        <v>15.2</v>
      </c>
      <c r="N3448" t="s">
        <v>46</v>
      </c>
      <c r="O3448" t="s">
        <v>75</v>
      </c>
      <c r="P3448" t="s">
        <v>58</v>
      </c>
      <c r="R3448">
        <f>SUMIF(A3448:A8447,"C03447",I3448:I8447)</f>
        <v>3413.33</v>
      </c>
      <c r="S3448" s="1">
        <v>2515.46</v>
      </c>
      <c r="T3448">
        <f t="shared" si="391"/>
        <v>117.701034482759</v>
      </c>
      <c r="U3448">
        <f t="shared" si="392"/>
        <v>440.8</v>
      </c>
      <c r="V3448">
        <f>U3448*1</f>
        <v>440.8</v>
      </c>
      <c r="W3448">
        <f t="shared" si="389"/>
        <v>1393.02666666667</v>
      </c>
      <c r="X3448">
        <f t="shared" ref="X3448:X3511" si="394">E3448/H3448</f>
        <v>0.894409937888199</v>
      </c>
      <c r="AH3448" t="str">
        <f t="shared" si="390"/>
        <v>3rd Quality</v>
      </c>
      <c r="AJ3448">
        <f>((T3448-X3448)*2)/34.9</f>
        <v>6.6937893721989</v>
      </c>
      <c r="AK3448">
        <f t="shared" si="388"/>
        <v>80507.5075862069</v>
      </c>
    </row>
    <row r="3449" spans="1:37">
      <c r="A3449" t="s">
        <v>3515</v>
      </c>
      <c r="B3449">
        <v>38</v>
      </c>
      <c r="C3449" t="s">
        <v>50</v>
      </c>
      <c r="D3449" t="s">
        <v>51</v>
      </c>
      <c r="E3449">
        <v>981</v>
      </c>
      <c r="F3449">
        <v>30</v>
      </c>
      <c r="G3449">
        <v>4</v>
      </c>
      <c r="H3449">
        <v>1083.58</v>
      </c>
      <c r="I3449">
        <v>4469.44</v>
      </c>
      <c r="J3449">
        <v>32</v>
      </c>
      <c r="K3449">
        <v>0</v>
      </c>
      <c r="L3449">
        <v>31.8</v>
      </c>
      <c r="M3449">
        <v>8.2</v>
      </c>
      <c r="N3449" t="s">
        <v>63</v>
      </c>
      <c r="O3449" t="s">
        <v>47</v>
      </c>
      <c r="P3449" t="s">
        <v>58</v>
      </c>
      <c r="R3449">
        <f>SUMIF(A3449:A8448,"C03448",I3449:I8448)</f>
        <v>4469.44</v>
      </c>
      <c r="S3449" s="1">
        <v>3445.54</v>
      </c>
      <c r="T3449">
        <f t="shared" si="391"/>
        <v>139.67</v>
      </c>
      <c r="U3449">
        <f t="shared" si="392"/>
        <v>262.4</v>
      </c>
      <c r="V3449">
        <f t="shared" si="393"/>
        <v>21.8666666666667</v>
      </c>
      <c r="W3449">
        <f t="shared" si="389"/>
        <v>1851.34</v>
      </c>
      <c r="X3449">
        <f t="shared" si="394"/>
        <v>0.905332324332306</v>
      </c>
      <c r="AH3449" t="str">
        <f t="shared" si="390"/>
        <v>3rd Quality</v>
      </c>
      <c r="AJ3449">
        <f>((T3449-X3449)*2)/31.8</f>
        <v>8.72733758966463</v>
      </c>
      <c r="AK3449">
        <f t="shared" si="388"/>
        <v>137016.27</v>
      </c>
    </row>
    <row r="3450" spans="1:37">
      <c r="A3450" t="s">
        <v>3516</v>
      </c>
      <c r="B3450">
        <v>58</v>
      </c>
      <c r="C3450" t="s">
        <v>50</v>
      </c>
      <c r="D3450" t="s">
        <v>60</v>
      </c>
      <c r="E3450">
        <v>735</v>
      </c>
      <c r="F3450">
        <v>18</v>
      </c>
      <c r="G3450">
        <v>7</v>
      </c>
      <c r="H3450">
        <v>6382.22</v>
      </c>
      <c r="I3450">
        <v>45871.75</v>
      </c>
      <c r="J3450">
        <v>35</v>
      </c>
      <c r="K3450">
        <v>0</v>
      </c>
      <c r="L3450">
        <v>18</v>
      </c>
      <c r="M3450">
        <v>10.5</v>
      </c>
      <c r="N3450" t="s">
        <v>52</v>
      </c>
      <c r="O3450" t="s">
        <v>75</v>
      </c>
      <c r="P3450" t="s">
        <v>68</v>
      </c>
      <c r="R3450">
        <f>SUMIF(A3450:A8449,"C03449",I3450:I8449)</f>
        <v>45871.75</v>
      </c>
      <c r="S3450" s="1">
        <v>10260.33</v>
      </c>
      <c r="T3450">
        <f t="shared" si="391"/>
        <v>1310.62142857143</v>
      </c>
      <c r="U3450">
        <f t="shared" si="392"/>
        <v>367.5</v>
      </c>
      <c r="V3450">
        <f t="shared" si="393"/>
        <v>30.625</v>
      </c>
      <c r="W3450">
        <f t="shared" si="389"/>
        <v>17418.3233333333</v>
      </c>
      <c r="X3450">
        <f t="shared" si="394"/>
        <v>0.115163689123847</v>
      </c>
      <c r="AH3450" t="str">
        <f t="shared" si="390"/>
        <v>3rd Quality</v>
      </c>
      <c r="AJ3450">
        <f>((T3450-X3450)*2)/18</f>
        <v>145.611807209145</v>
      </c>
      <c r="AK3450">
        <f t="shared" si="388"/>
        <v>963306.75</v>
      </c>
    </row>
    <row r="3451" spans="1:37">
      <c r="A3451" t="s">
        <v>3517</v>
      </c>
      <c r="B3451">
        <v>39</v>
      </c>
      <c r="C3451" t="s">
        <v>50</v>
      </c>
      <c r="D3451" t="s">
        <v>60</v>
      </c>
      <c r="E3451">
        <v>606</v>
      </c>
      <c r="F3451">
        <v>54</v>
      </c>
      <c r="G3451">
        <v>2</v>
      </c>
      <c r="H3451">
        <v>1324.31</v>
      </c>
      <c r="I3451">
        <v>2515.46</v>
      </c>
      <c r="J3451">
        <v>18</v>
      </c>
      <c r="K3451">
        <v>0</v>
      </c>
      <c r="L3451">
        <v>25.8</v>
      </c>
      <c r="M3451">
        <v>12.9</v>
      </c>
      <c r="N3451" t="s">
        <v>57</v>
      </c>
      <c r="O3451" t="s">
        <v>47</v>
      </c>
      <c r="P3451" t="s">
        <v>58</v>
      </c>
      <c r="R3451">
        <f>SUMIF(A3451:A8450,"C03450",I3451:I8450)</f>
        <v>2515.46</v>
      </c>
      <c r="S3451" s="1">
        <v>103999.85</v>
      </c>
      <c r="T3451">
        <f t="shared" si="391"/>
        <v>139.747777777778</v>
      </c>
      <c r="U3451">
        <f t="shared" si="392"/>
        <v>232.2</v>
      </c>
      <c r="V3451">
        <f t="shared" si="393"/>
        <v>19.35</v>
      </c>
      <c r="W3451">
        <f t="shared" si="389"/>
        <v>1280.25666666667</v>
      </c>
      <c r="X3451">
        <f t="shared" si="394"/>
        <v>0.457596786250953</v>
      </c>
      <c r="AH3451" t="str">
        <f t="shared" si="390"/>
        <v>3rd Quality</v>
      </c>
      <c r="AJ3451">
        <f>((T3451-X3451)*2)/25.8</f>
        <v>10.7976884489556</v>
      </c>
      <c r="AK3451">
        <f t="shared" si="388"/>
        <v>84687.1533333333</v>
      </c>
    </row>
    <row r="3452" spans="1:37">
      <c r="A3452" t="s">
        <v>3518</v>
      </c>
      <c r="B3452">
        <v>19</v>
      </c>
      <c r="C3452" t="s">
        <v>50</v>
      </c>
      <c r="D3452" t="s">
        <v>60</v>
      </c>
      <c r="E3452">
        <v>952</v>
      </c>
      <c r="F3452">
        <v>43</v>
      </c>
      <c r="G3452">
        <v>4</v>
      </c>
      <c r="H3452">
        <v>933.43</v>
      </c>
      <c r="I3452">
        <v>3445.54</v>
      </c>
      <c r="J3452">
        <v>34</v>
      </c>
      <c r="K3452">
        <v>1</v>
      </c>
      <c r="L3452">
        <v>23</v>
      </c>
      <c r="M3452">
        <v>26</v>
      </c>
      <c r="N3452" t="s">
        <v>81</v>
      </c>
      <c r="O3452" t="s">
        <v>75</v>
      </c>
      <c r="P3452" t="s">
        <v>58</v>
      </c>
      <c r="R3452">
        <f>SUMIF(A3452:A8451,"C03451",I3452:I8451)</f>
        <v>3445.54</v>
      </c>
      <c r="S3452" s="1">
        <v>110335.87</v>
      </c>
      <c r="T3452">
        <f t="shared" si="391"/>
        <v>101.339411764706</v>
      </c>
      <c r="U3452">
        <f t="shared" si="392"/>
        <v>884</v>
      </c>
      <c r="V3452">
        <f>U3452*1</f>
        <v>884</v>
      </c>
      <c r="W3452">
        <f t="shared" si="389"/>
        <v>1459.99</v>
      </c>
      <c r="X3452">
        <f t="shared" si="394"/>
        <v>1.01989436808331</v>
      </c>
      <c r="AH3452" t="str">
        <f t="shared" si="390"/>
        <v>3rd Quality</v>
      </c>
      <c r="AJ3452">
        <f>((T3452-X3452)*2)/23</f>
        <v>8.72343629535849</v>
      </c>
      <c r="AK3452">
        <f t="shared" si="388"/>
        <v>96475.12</v>
      </c>
    </row>
    <row r="3453" spans="1:37">
      <c r="A3453" t="s">
        <v>3519</v>
      </c>
      <c r="B3453">
        <v>18</v>
      </c>
      <c r="C3453" t="s">
        <v>101</v>
      </c>
      <c r="D3453" t="s">
        <v>45</v>
      </c>
      <c r="E3453">
        <v>1295</v>
      </c>
      <c r="F3453">
        <v>27</v>
      </c>
      <c r="G3453">
        <v>1</v>
      </c>
      <c r="H3453">
        <v>11417.33</v>
      </c>
      <c r="I3453">
        <v>10260.33</v>
      </c>
      <c r="J3453">
        <v>14</v>
      </c>
      <c r="K3453">
        <v>0</v>
      </c>
      <c r="L3453">
        <v>10.5</v>
      </c>
      <c r="M3453">
        <v>9.8</v>
      </c>
      <c r="N3453" t="s">
        <v>81</v>
      </c>
      <c r="O3453" t="s">
        <v>47</v>
      </c>
      <c r="P3453" t="s">
        <v>54</v>
      </c>
      <c r="R3453">
        <f>SUMIF(A3453:A8452,"C03452",I3453:I8452)</f>
        <v>10260.33</v>
      </c>
      <c r="S3453" s="1">
        <v>4222.59</v>
      </c>
      <c r="T3453">
        <f t="shared" si="391"/>
        <v>732.880714285714</v>
      </c>
      <c r="U3453">
        <f t="shared" si="392"/>
        <v>137.2</v>
      </c>
      <c r="V3453">
        <f t="shared" si="393"/>
        <v>11.4333333333333</v>
      </c>
      <c r="W3453">
        <f t="shared" si="389"/>
        <v>7226.22</v>
      </c>
      <c r="X3453">
        <f t="shared" si="394"/>
        <v>0.113424066747655</v>
      </c>
      <c r="AH3453" t="str">
        <f t="shared" si="390"/>
        <v>2nd Quality</v>
      </c>
      <c r="AJ3453">
        <f>((T3453-X3453)*2)/10.5</f>
        <v>139.57472194647</v>
      </c>
      <c r="AK3453">
        <f t="shared" si="388"/>
        <v>949080.525</v>
      </c>
    </row>
    <row r="3454" spans="1:37">
      <c r="A3454" t="s">
        <v>3520</v>
      </c>
      <c r="B3454">
        <v>43</v>
      </c>
      <c r="C3454" t="s">
        <v>44</v>
      </c>
      <c r="D3454" t="s">
        <v>45</v>
      </c>
      <c r="E3454">
        <v>1231</v>
      </c>
      <c r="F3454">
        <v>34</v>
      </c>
      <c r="G3454">
        <v>25</v>
      </c>
      <c r="H3454">
        <v>3832.82</v>
      </c>
      <c r="I3454">
        <v>103999.85</v>
      </c>
      <c r="J3454">
        <v>59</v>
      </c>
      <c r="K3454">
        <v>1</v>
      </c>
      <c r="L3454">
        <v>9.7</v>
      </c>
      <c r="M3454">
        <v>47.4</v>
      </c>
      <c r="N3454" t="s">
        <v>57</v>
      </c>
      <c r="O3454" t="s">
        <v>75</v>
      </c>
      <c r="P3454" t="s">
        <v>58</v>
      </c>
      <c r="R3454">
        <f>SUMIF(A3454:A8453,"C03453",I3454:I8453)</f>
        <v>103999.85</v>
      </c>
      <c r="S3454" s="1">
        <v>4480.62</v>
      </c>
      <c r="T3454">
        <f t="shared" si="391"/>
        <v>1762.7093220339</v>
      </c>
      <c r="U3454">
        <f t="shared" si="392"/>
        <v>2796.6</v>
      </c>
      <c r="V3454">
        <f>U3454*1</f>
        <v>2796.6</v>
      </c>
      <c r="W3454">
        <f t="shared" si="389"/>
        <v>35944.5566666667</v>
      </c>
      <c r="X3454">
        <f t="shared" si="394"/>
        <v>0.321173444095992</v>
      </c>
      <c r="AH3454" t="str">
        <f t="shared" si="390"/>
        <v>2nd Quality</v>
      </c>
      <c r="AJ3454">
        <f>((T3454-X3454)*2)/9.7</f>
        <v>363.378999709238</v>
      </c>
      <c r="AK3454">
        <f t="shared" si="388"/>
        <v>2169895.17542373</v>
      </c>
    </row>
    <row r="3455" spans="1:37">
      <c r="A3455" t="s">
        <v>3521</v>
      </c>
      <c r="B3455">
        <v>24</v>
      </c>
      <c r="C3455" t="s">
        <v>44</v>
      </c>
      <c r="D3455" t="s">
        <v>45</v>
      </c>
      <c r="E3455">
        <v>659</v>
      </c>
      <c r="F3455">
        <v>8</v>
      </c>
      <c r="G3455">
        <v>32</v>
      </c>
      <c r="H3455">
        <v>3092.07</v>
      </c>
      <c r="I3455">
        <v>110335.87</v>
      </c>
      <c r="J3455">
        <v>73</v>
      </c>
      <c r="K3455">
        <v>1</v>
      </c>
      <c r="L3455">
        <v>13.9</v>
      </c>
      <c r="M3455">
        <v>48.4</v>
      </c>
      <c r="N3455" t="s">
        <v>61</v>
      </c>
      <c r="O3455" t="s">
        <v>53</v>
      </c>
      <c r="P3455" t="s">
        <v>58</v>
      </c>
      <c r="R3455">
        <f>SUMIF(A3455:A8454,"C03454",I3455:I8454)</f>
        <v>110335.87</v>
      </c>
      <c r="S3455" s="1">
        <v>1189.69</v>
      </c>
      <c r="T3455">
        <f t="shared" si="391"/>
        <v>1511.4502739726</v>
      </c>
      <c r="U3455">
        <f t="shared" si="392"/>
        <v>3533.2</v>
      </c>
      <c r="V3455">
        <f>U3455*1</f>
        <v>3533.2</v>
      </c>
      <c r="W3455">
        <f t="shared" si="389"/>
        <v>37809.6466666667</v>
      </c>
      <c r="X3455">
        <f t="shared" si="394"/>
        <v>0.213125834796754</v>
      </c>
      <c r="AH3455" t="str">
        <f t="shared" si="390"/>
        <v>2nd Quality</v>
      </c>
      <c r="AJ3455">
        <f>((T3455-X3455)*2)/13.9</f>
        <v>217.444193976662</v>
      </c>
      <c r="AK3455">
        <f t="shared" si="388"/>
        <v>996045.730547945</v>
      </c>
    </row>
    <row r="3456" spans="1:37">
      <c r="A3456" t="s">
        <v>3522</v>
      </c>
      <c r="B3456">
        <v>36</v>
      </c>
      <c r="C3456" t="s">
        <v>50</v>
      </c>
      <c r="D3456" t="s">
        <v>51</v>
      </c>
      <c r="E3456">
        <v>652</v>
      </c>
      <c r="F3456">
        <v>244</v>
      </c>
      <c r="G3456">
        <v>2</v>
      </c>
      <c r="H3456">
        <v>2266.16</v>
      </c>
      <c r="I3456">
        <v>4222.59</v>
      </c>
      <c r="J3456">
        <v>24</v>
      </c>
      <c r="K3456">
        <v>0</v>
      </c>
      <c r="L3456">
        <v>19.9</v>
      </c>
      <c r="M3456">
        <v>21.1</v>
      </c>
      <c r="N3456" t="s">
        <v>81</v>
      </c>
      <c r="O3456" t="s">
        <v>47</v>
      </c>
      <c r="P3456" t="s">
        <v>58</v>
      </c>
      <c r="R3456">
        <f>SUMIF(A3456:A8455,"C03455",I3456:I8455)</f>
        <v>4222.59</v>
      </c>
      <c r="S3456" s="1">
        <v>2181.92</v>
      </c>
      <c r="T3456">
        <f t="shared" si="391"/>
        <v>175.94125</v>
      </c>
      <c r="U3456">
        <f t="shared" si="392"/>
        <v>506.4</v>
      </c>
      <c r="V3456">
        <f t="shared" si="393"/>
        <v>42.2</v>
      </c>
      <c r="W3456">
        <f t="shared" si="389"/>
        <v>2163.25</v>
      </c>
      <c r="X3456">
        <f t="shared" si="394"/>
        <v>0.287711370776997</v>
      </c>
      <c r="AH3456" t="str">
        <f t="shared" si="390"/>
        <v>3rd Quality</v>
      </c>
      <c r="AJ3456">
        <f>((T3456-X3456)*2)/19.9</f>
        <v>17.6536219727862</v>
      </c>
      <c r="AK3456">
        <f t="shared" si="388"/>
        <v>114713.695</v>
      </c>
    </row>
    <row r="3457" spans="1:37">
      <c r="A3457" t="s">
        <v>3523</v>
      </c>
      <c r="B3457">
        <v>41</v>
      </c>
      <c r="C3457" t="s">
        <v>50</v>
      </c>
      <c r="D3457" t="s">
        <v>45</v>
      </c>
      <c r="E3457">
        <v>1306</v>
      </c>
      <c r="F3457">
        <v>136</v>
      </c>
      <c r="G3457">
        <v>5</v>
      </c>
      <c r="H3457">
        <v>801.24</v>
      </c>
      <c r="I3457">
        <v>4480.62</v>
      </c>
      <c r="J3457">
        <v>50</v>
      </c>
      <c r="K3457">
        <v>0</v>
      </c>
      <c r="L3457">
        <v>34.8</v>
      </c>
      <c r="M3457">
        <v>26.3</v>
      </c>
      <c r="N3457" t="s">
        <v>61</v>
      </c>
      <c r="O3457" t="s">
        <v>47</v>
      </c>
      <c r="P3457" t="s">
        <v>66</v>
      </c>
      <c r="R3457">
        <f>SUMIF(A3457:A8456,"C03456",I3457:I8456)</f>
        <v>4480.62</v>
      </c>
      <c r="S3457" s="1">
        <v>81302.82</v>
      </c>
      <c r="T3457">
        <f t="shared" si="391"/>
        <v>89.6124</v>
      </c>
      <c r="U3457">
        <f t="shared" si="392"/>
        <v>1315</v>
      </c>
      <c r="V3457">
        <f t="shared" si="393"/>
        <v>109.583333333333</v>
      </c>
      <c r="W3457">
        <f t="shared" si="389"/>
        <v>1760.95333333333</v>
      </c>
      <c r="X3457">
        <f t="shared" si="394"/>
        <v>1.62997354101143</v>
      </c>
      <c r="AH3457" t="str">
        <f t="shared" si="390"/>
        <v>3rd Quality</v>
      </c>
      <c r="AJ3457">
        <f>((T3457-X3457)*2)/34.8</f>
        <v>5.05646129074647</v>
      </c>
      <c r="AK3457">
        <f t="shared" si="388"/>
        <v>117033.7944</v>
      </c>
    </row>
    <row r="3458" spans="1:37">
      <c r="A3458" t="s">
        <v>3524</v>
      </c>
      <c r="B3458">
        <v>30</v>
      </c>
      <c r="C3458" t="s">
        <v>44</v>
      </c>
      <c r="D3458" t="s">
        <v>60</v>
      </c>
      <c r="E3458">
        <v>1059</v>
      </c>
      <c r="F3458">
        <v>358</v>
      </c>
      <c r="G3458">
        <v>1</v>
      </c>
      <c r="H3458">
        <v>1157.49</v>
      </c>
      <c r="I3458">
        <v>1189.69</v>
      </c>
      <c r="J3458">
        <v>18</v>
      </c>
      <c r="K3458">
        <v>0</v>
      </c>
      <c r="L3458">
        <v>20.6</v>
      </c>
      <c r="M3458">
        <v>39.7</v>
      </c>
      <c r="N3458" t="s">
        <v>57</v>
      </c>
      <c r="O3458" t="s">
        <v>47</v>
      </c>
      <c r="P3458" t="s">
        <v>58</v>
      </c>
      <c r="R3458">
        <f>SUMIF(A3458:A8457,"C03457",I3458:I8457)</f>
        <v>1189.69</v>
      </c>
      <c r="S3458" s="1">
        <v>4479.6</v>
      </c>
      <c r="T3458">
        <f t="shared" si="391"/>
        <v>66.0938888888889</v>
      </c>
      <c r="U3458">
        <f t="shared" si="392"/>
        <v>714.6</v>
      </c>
      <c r="V3458">
        <f t="shared" si="393"/>
        <v>59.55</v>
      </c>
      <c r="W3458">
        <f t="shared" si="389"/>
        <v>782.726666666667</v>
      </c>
      <c r="X3458">
        <f t="shared" si="394"/>
        <v>0.914910711971594</v>
      </c>
      <c r="AH3458" t="str">
        <f t="shared" si="390"/>
        <v>3rd Quality</v>
      </c>
      <c r="AJ3458">
        <f>((T3458-X3458)*2)/20.6</f>
        <v>6.32805613368129</v>
      </c>
      <c r="AK3458">
        <f t="shared" si="388"/>
        <v>69993.4283333333</v>
      </c>
    </row>
    <row r="3459" spans="1:37">
      <c r="A3459" t="s">
        <v>3525</v>
      </c>
      <c r="B3459">
        <v>22</v>
      </c>
      <c r="C3459" t="s">
        <v>50</v>
      </c>
      <c r="D3459" t="s">
        <v>60</v>
      </c>
      <c r="E3459">
        <v>910</v>
      </c>
      <c r="F3459">
        <v>208</v>
      </c>
      <c r="G3459">
        <v>1</v>
      </c>
      <c r="H3459">
        <v>2041.45</v>
      </c>
      <c r="I3459">
        <v>2181.92</v>
      </c>
      <c r="J3459">
        <v>17</v>
      </c>
      <c r="K3459">
        <v>0</v>
      </c>
      <c r="L3459">
        <v>24.7</v>
      </c>
      <c r="M3459">
        <v>22.2</v>
      </c>
      <c r="N3459" t="s">
        <v>52</v>
      </c>
      <c r="O3459" t="s">
        <v>47</v>
      </c>
      <c r="P3459" t="s">
        <v>48</v>
      </c>
      <c r="R3459">
        <f>SUMIF(A3459:A8458,"C03458",I3459:I8458)</f>
        <v>2181.92</v>
      </c>
      <c r="S3459" s="1">
        <v>20065.34</v>
      </c>
      <c r="T3459">
        <f t="shared" si="391"/>
        <v>128.348235294118</v>
      </c>
      <c r="U3459">
        <f t="shared" si="392"/>
        <v>377.4</v>
      </c>
      <c r="V3459">
        <f t="shared" si="393"/>
        <v>31.45</v>
      </c>
      <c r="W3459">
        <f t="shared" si="389"/>
        <v>1408.12333333333</v>
      </c>
      <c r="X3459">
        <f t="shared" si="394"/>
        <v>0.445761591025986</v>
      </c>
      <c r="AH3459" t="str">
        <f t="shared" si="390"/>
        <v>3rd Quality</v>
      </c>
      <c r="AJ3459">
        <f>((T3459-X3459)*2)/24.7</f>
        <v>10.3564756034892</v>
      </c>
      <c r="AK3459">
        <f t="shared" ref="AK3459:AK3522" si="395">I3459/J3459*E3459</f>
        <v>116796.894117647</v>
      </c>
    </row>
    <row r="3460" spans="1:37">
      <c r="A3460" t="s">
        <v>3526</v>
      </c>
      <c r="B3460">
        <v>22</v>
      </c>
      <c r="C3460" t="s">
        <v>44</v>
      </c>
      <c r="D3460" t="s">
        <v>51</v>
      </c>
      <c r="E3460">
        <v>1267</v>
      </c>
      <c r="F3460">
        <v>4</v>
      </c>
      <c r="G3460">
        <v>18</v>
      </c>
      <c r="H3460">
        <v>4042.97</v>
      </c>
      <c r="I3460">
        <v>81302.82</v>
      </c>
      <c r="J3460">
        <v>117</v>
      </c>
      <c r="K3460">
        <v>1</v>
      </c>
      <c r="L3460">
        <v>14.2</v>
      </c>
      <c r="M3460">
        <v>41.9</v>
      </c>
      <c r="N3460" t="s">
        <v>61</v>
      </c>
      <c r="O3460" t="s">
        <v>75</v>
      </c>
      <c r="P3460" t="s">
        <v>68</v>
      </c>
      <c r="R3460">
        <f>SUMIF(A3460:A8459,"C03459",I3460:I8459)</f>
        <v>81302.82</v>
      </c>
      <c r="S3460" s="1">
        <v>6162.83</v>
      </c>
      <c r="T3460">
        <f t="shared" si="391"/>
        <v>694.895897435897</v>
      </c>
      <c r="U3460">
        <f t="shared" si="392"/>
        <v>4902.3</v>
      </c>
      <c r="V3460">
        <f>U3460*1</f>
        <v>4902.3</v>
      </c>
      <c r="W3460">
        <f t="shared" si="389"/>
        <v>28448.93</v>
      </c>
      <c r="X3460">
        <f t="shared" si="394"/>
        <v>0.313383477987717</v>
      </c>
      <c r="AH3460" t="str">
        <f t="shared" si="390"/>
        <v>1st Quality</v>
      </c>
      <c r="AJ3460">
        <f>((T3460-X3460)*2)/14.2</f>
        <v>97.8285230926633</v>
      </c>
      <c r="AK3460">
        <f t="shared" si="395"/>
        <v>880433.102051282</v>
      </c>
    </row>
    <row r="3461" spans="1:37">
      <c r="A3461" t="s">
        <v>3527</v>
      </c>
      <c r="B3461">
        <v>30</v>
      </c>
      <c r="C3461" t="s">
        <v>50</v>
      </c>
      <c r="D3461" t="s">
        <v>51</v>
      </c>
      <c r="E3461">
        <v>414</v>
      </c>
      <c r="F3461">
        <v>137</v>
      </c>
      <c r="G3461">
        <v>5</v>
      </c>
      <c r="H3461">
        <v>804.19</v>
      </c>
      <c r="I3461">
        <v>4479.6</v>
      </c>
      <c r="J3461">
        <v>40</v>
      </c>
      <c r="K3461">
        <v>0</v>
      </c>
      <c r="L3461">
        <v>25.4</v>
      </c>
      <c r="M3461">
        <v>30.2</v>
      </c>
      <c r="N3461" t="s">
        <v>63</v>
      </c>
      <c r="O3461" t="s">
        <v>47</v>
      </c>
      <c r="P3461" t="s">
        <v>54</v>
      </c>
      <c r="R3461">
        <f>SUMIF(A3461:A8460,"C03460",I3461:I8460)</f>
        <v>4479.6</v>
      </c>
      <c r="S3461" s="1">
        <v>52319.49</v>
      </c>
      <c r="T3461">
        <f t="shared" si="391"/>
        <v>111.99</v>
      </c>
      <c r="U3461">
        <f t="shared" si="392"/>
        <v>1208</v>
      </c>
      <c r="V3461">
        <f t="shared" si="393"/>
        <v>100.666666666667</v>
      </c>
      <c r="W3461">
        <f t="shared" si="389"/>
        <v>1761.59666666667</v>
      </c>
      <c r="X3461">
        <f t="shared" si="394"/>
        <v>0.51480371553986</v>
      </c>
      <c r="AH3461" t="str">
        <f t="shared" si="390"/>
        <v>3rd Quality</v>
      </c>
      <c r="AJ3461">
        <f>((T3461-X3461)*2)/25.4</f>
        <v>8.77757451058741</v>
      </c>
      <c r="AK3461">
        <f t="shared" si="395"/>
        <v>46363.86</v>
      </c>
    </row>
    <row r="3462" spans="1:37">
      <c r="A3462" t="s">
        <v>3528</v>
      </c>
      <c r="B3462">
        <v>39</v>
      </c>
      <c r="C3462" t="s">
        <v>50</v>
      </c>
      <c r="D3462" t="s">
        <v>45</v>
      </c>
      <c r="E3462">
        <v>1191</v>
      </c>
      <c r="F3462">
        <v>97</v>
      </c>
      <c r="G3462">
        <v>13</v>
      </c>
      <c r="H3462">
        <v>1518.69</v>
      </c>
      <c r="I3462">
        <v>20065.34</v>
      </c>
      <c r="J3462">
        <v>76</v>
      </c>
      <c r="K3462">
        <v>2</v>
      </c>
      <c r="L3462">
        <v>25.4</v>
      </c>
      <c r="M3462">
        <v>5.6</v>
      </c>
      <c r="N3462" t="s">
        <v>52</v>
      </c>
      <c r="O3462" t="s">
        <v>75</v>
      </c>
      <c r="P3462" t="s">
        <v>48</v>
      </c>
      <c r="R3462">
        <f>SUMIF(A3462:A8461,"C03461",I3462:I8461)</f>
        <v>20065.34</v>
      </c>
      <c r="S3462" s="1">
        <v>6375</v>
      </c>
      <c r="T3462">
        <f t="shared" si="391"/>
        <v>264.017631578947</v>
      </c>
      <c r="U3462">
        <f t="shared" si="392"/>
        <v>425.6</v>
      </c>
      <c r="V3462">
        <f>U3462*2</f>
        <v>851.2</v>
      </c>
      <c r="W3462">
        <f t="shared" si="389"/>
        <v>7195.01</v>
      </c>
      <c r="X3462">
        <f t="shared" si="394"/>
        <v>0.784228512731367</v>
      </c>
      <c r="AH3462" t="str">
        <f t="shared" si="390"/>
        <v>2nd Quality</v>
      </c>
      <c r="AJ3462">
        <f>((T3462-X3462)*2)/25.4</f>
        <v>20.727039611513</v>
      </c>
      <c r="AK3462">
        <f t="shared" si="395"/>
        <v>314444.999210526</v>
      </c>
    </row>
    <row r="3463" spans="1:37">
      <c r="A3463" t="s">
        <v>3529</v>
      </c>
      <c r="B3463">
        <v>20</v>
      </c>
      <c r="C3463" t="s">
        <v>44</v>
      </c>
      <c r="D3463" t="s">
        <v>51</v>
      </c>
      <c r="E3463">
        <v>893</v>
      </c>
      <c r="F3463">
        <v>52</v>
      </c>
      <c r="G3463">
        <v>5</v>
      </c>
      <c r="H3463">
        <v>1224.61</v>
      </c>
      <c r="I3463">
        <v>6162.83</v>
      </c>
      <c r="J3463">
        <v>29</v>
      </c>
      <c r="K3463">
        <v>0</v>
      </c>
      <c r="L3463">
        <v>31.2</v>
      </c>
      <c r="M3463">
        <v>9.4</v>
      </c>
      <c r="N3463" t="s">
        <v>46</v>
      </c>
      <c r="O3463" t="s">
        <v>47</v>
      </c>
      <c r="P3463" t="s">
        <v>66</v>
      </c>
      <c r="R3463">
        <f>SUMIF(A3463:A8462,"C03462",I3463:I8462)</f>
        <v>6162.83</v>
      </c>
      <c r="S3463" s="1">
        <v>1895.54</v>
      </c>
      <c r="T3463">
        <f t="shared" si="391"/>
        <v>212.511379310345</v>
      </c>
      <c r="U3463">
        <f t="shared" si="392"/>
        <v>272.6</v>
      </c>
      <c r="V3463">
        <f t="shared" si="393"/>
        <v>22.7166666666667</v>
      </c>
      <c r="W3463">
        <f t="shared" si="389"/>
        <v>2462.81333333333</v>
      </c>
      <c r="X3463">
        <f t="shared" si="394"/>
        <v>0.729211749046635</v>
      </c>
      <c r="AH3463" t="str">
        <f t="shared" si="390"/>
        <v>3rd Quality</v>
      </c>
      <c r="AJ3463">
        <f>((T3463-X3463)*2)/31.2</f>
        <v>13.5757799718781</v>
      </c>
      <c r="AK3463">
        <f t="shared" si="395"/>
        <v>189772.661724138</v>
      </c>
    </row>
    <row r="3464" spans="1:37">
      <c r="A3464" t="s">
        <v>3530</v>
      </c>
      <c r="B3464">
        <v>57</v>
      </c>
      <c r="C3464" t="s">
        <v>56</v>
      </c>
      <c r="D3464" t="s">
        <v>51</v>
      </c>
      <c r="E3464">
        <v>899</v>
      </c>
      <c r="F3464">
        <v>12</v>
      </c>
      <c r="G3464">
        <v>16</v>
      </c>
      <c r="H3464">
        <v>3137.62</v>
      </c>
      <c r="I3464">
        <v>52319.49</v>
      </c>
      <c r="J3464">
        <v>92</v>
      </c>
      <c r="K3464">
        <v>0</v>
      </c>
      <c r="L3464">
        <v>7.7</v>
      </c>
      <c r="M3464">
        <v>32</v>
      </c>
      <c r="N3464" t="s">
        <v>46</v>
      </c>
      <c r="O3464" t="s">
        <v>47</v>
      </c>
      <c r="P3464" t="s">
        <v>58</v>
      </c>
      <c r="R3464">
        <f>SUMIF(A3464:A8463,"C03463",I3464:I8463)</f>
        <v>52319.49</v>
      </c>
      <c r="S3464" s="1">
        <v>832.54</v>
      </c>
      <c r="T3464">
        <f t="shared" si="391"/>
        <v>568.690108695652</v>
      </c>
      <c r="U3464">
        <f t="shared" si="392"/>
        <v>2944</v>
      </c>
      <c r="V3464">
        <f t="shared" si="393"/>
        <v>245.333333333333</v>
      </c>
      <c r="W3464">
        <f t="shared" si="389"/>
        <v>18486.0366666667</v>
      </c>
      <c r="X3464">
        <f t="shared" si="394"/>
        <v>0.286522905896826</v>
      </c>
      <c r="AH3464" t="str">
        <f t="shared" si="390"/>
        <v>3rd Quality</v>
      </c>
      <c r="AJ3464">
        <f>((T3464-X3464)*2)/7.7</f>
        <v>147.637295010326</v>
      </c>
      <c r="AK3464">
        <f t="shared" si="395"/>
        <v>511252.407717391</v>
      </c>
    </row>
    <row r="3465" spans="1:37">
      <c r="A3465" t="s">
        <v>3531</v>
      </c>
      <c r="B3465">
        <v>40</v>
      </c>
      <c r="C3465" t="s">
        <v>44</v>
      </c>
      <c r="D3465" t="s">
        <v>60</v>
      </c>
      <c r="E3465">
        <v>1083</v>
      </c>
      <c r="F3465">
        <v>54</v>
      </c>
      <c r="G3465">
        <v>6</v>
      </c>
      <c r="H3465">
        <v>1139.11</v>
      </c>
      <c r="I3465">
        <v>6375</v>
      </c>
      <c r="J3465">
        <v>33</v>
      </c>
      <c r="K3465">
        <v>0</v>
      </c>
      <c r="L3465">
        <v>21.9</v>
      </c>
      <c r="M3465">
        <v>35.5</v>
      </c>
      <c r="N3465" t="s">
        <v>61</v>
      </c>
      <c r="O3465" t="s">
        <v>53</v>
      </c>
      <c r="P3465" t="s">
        <v>58</v>
      </c>
      <c r="R3465">
        <f>SUMIF(A3465:A8464,"C03464",I3465:I8464)</f>
        <v>6375</v>
      </c>
      <c r="S3465" s="1">
        <v>30857.17</v>
      </c>
      <c r="T3465">
        <f t="shared" si="391"/>
        <v>193.181818181818</v>
      </c>
      <c r="U3465">
        <f t="shared" si="392"/>
        <v>1171.5</v>
      </c>
      <c r="V3465">
        <f t="shared" si="393"/>
        <v>97.625</v>
      </c>
      <c r="W3465">
        <f t="shared" ref="W3465:W3528" si="396">(H3465+I3465+1)/3</f>
        <v>2505.03666666667</v>
      </c>
      <c r="X3465">
        <f t="shared" si="394"/>
        <v>0.95074224613953</v>
      </c>
      <c r="AH3465" t="str">
        <f t="shared" si="390"/>
        <v>3rd Quality</v>
      </c>
      <c r="AJ3465">
        <f>((T3465-X3465)*2)/21.9</f>
        <v>17.5553494005186</v>
      </c>
      <c r="AK3465">
        <f t="shared" si="395"/>
        <v>209215.909090909</v>
      </c>
    </row>
    <row r="3466" spans="1:37">
      <c r="A3466" t="s">
        <v>3532</v>
      </c>
      <c r="B3466">
        <v>38</v>
      </c>
      <c r="C3466" t="s">
        <v>44</v>
      </c>
      <c r="D3466" t="s">
        <v>60</v>
      </c>
      <c r="E3466">
        <v>615</v>
      </c>
      <c r="F3466">
        <v>62</v>
      </c>
      <c r="G3466">
        <v>3</v>
      </c>
      <c r="H3466">
        <v>649.17</v>
      </c>
      <c r="I3466">
        <v>1895.54</v>
      </c>
      <c r="J3466">
        <v>19</v>
      </c>
      <c r="K3466">
        <v>0</v>
      </c>
      <c r="L3466">
        <v>36</v>
      </c>
      <c r="M3466">
        <v>61.1</v>
      </c>
      <c r="N3466" t="s">
        <v>52</v>
      </c>
      <c r="O3466" t="s">
        <v>47</v>
      </c>
      <c r="P3466" t="s">
        <v>68</v>
      </c>
      <c r="R3466">
        <f>SUMIF(A3466:A8465,"C03465",I3466:I8465)</f>
        <v>1895.54</v>
      </c>
      <c r="S3466" s="1">
        <v>12396.76</v>
      </c>
      <c r="T3466">
        <f t="shared" si="391"/>
        <v>99.7652631578947</v>
      </c>
      <c r="U3466">
        <f t="shared" si="392"/>
        <v>1160.9</v>
      </c>
      <c r="V3466">
        <f t="shared" si="393"/>
        <v>96.7416666666667</v>
      </c>
      <c r="W3466">
        <f t="shared" si="396"/>
        <v>848.57</v>
      </c>
      <c r="X3466">
        <f t="shared" si="394"/>
        <v>0.94736355654143</v>
      </c>
      <c r="AH3466" t="str">
        <f t="shared" si="390"/>
        <v>3rd Quality</v>
      </c>
      <c r="AJ3466">
        <f>((T3466-X3466)*2)/36</f>
        <v>5.48988331118629</v>
      </c>
      <c r="AK3466">
        <f t="shared" si="395"/>
        <v>61355.6368421053</v>
      </c>
    </row>
    <row r="3467" spans="1:37">
      <c r="A3467" t="s">
        <v>3533</v>
      </c>
      <c r="B3467">
        <v>33</v>
      </c>
      <c r="C3467" t="s">
        <v>50</v>
      </c>
      <c r="D3467" t="s">
        <v>51</v>
      </c>
      <c r="E3467">
        <v>1330</v>
      </c>
      <c r="F3467">
        <v>159</v>
      </c>
      <c r="G3467">
        <v>1</v>
      </c>
      <c r="H3467">
        <v>771.86</v>
      </c>
      <c r="I3467">
        <v>832.54</v>
      </c>
      <c r="J3467">
        <v>19</v>
      </c>
      <c r="K3467">
        <v>0</v>
      </c>
      <c r="L3467">
        <v>32.8</v>
      </c>
      <c r="M3467">
        <v>12.7</v>
      </c>
      <c r="N3467" t="s">
        <v>81</v>
      </c>
      <c r="O3467" t="s">
        <v>47</v>
      </c>
      <c r="P3467" t="s">
        <v>58</v>
      </c>
      <c r="R3467">
        <f>SUMIF(A3467:A8466,"C03466",I3467:I8466)</f>
        <v>832.54</v>
      </c>
      <c r="S3467" s="1">
        <v>8874.75</v>
      </c>
      <c r="T3467">
        <f t="shared" si="391"/>
        <v>43.8178947368421</v>
      </c>
      <c r="U3467">
        <f t="shared" si="392"/>
        <v>241.3</v>
      </c>
      <c r="V3467">
        <f t="shared" si="393"/>
        <v>20.1083333333333</v>
      </c>
      <c r="W3467">
        <f t="shared" si="396"/>
        <v>535.133333333333</v>
      </c>
      <c r="X3467">
        <f t="shared" si="394"/>
        <v>1.72311040862333</v>
      </c>
      <c r="AH3467" t="str">
        <f t="shared" si="390"/>
        <v>3rd Quality</v>
      </c>
      <c r="AJ3467">
        <f>((T3467-X3467)*2)/32.8</f>
        <v>2.56675514196456</v>
      </c>
      <c r="AK3467">
        <f t="shared" si="395"/>
        <v>58277.8</v>
      </c>
    </row>
    <row r="3468" spans="1:37">
      <c r="A3468" t="s">
        <v>3534</v>
      </c>
      <c r="B3468">
        <v>35</v>
      </c>
      <c r="C3468" t="s">
        <v>50</v>
      </c>
      <c r="D3468" t="s">
        <v>60</v>
      </c>
      <c r="E3468">
        <v>461</v>
      </c>
      <c r="F3468">
        <v>62</v>
      </c>
      <c r="G3468">
        <v>2</v>
      </c>
      <c r="H3468">
        <v>17022.75</v>
      </c>
      <c r="I3468">
        <v>30857.17</v>
      </c>
      <c r="J3468">
        <v>19</v>
      </c>
      <c r="K3468">
        <v>0</v>
      </c>
      <c r="L3468">
        <v>12.5</v>
      </c>
      <c r="M3468">
        <v>55</v>
      </c>
      <c r="N3468" t="s">
        <v>81</v>
      </c>
      <c r="O3468" t="s">
        <v>47</v>
      </c>
      <c r="P3468" t="s">
        <v>68</v>
      </c>
      <c r="R3468">
        <f>SUMIF(A3468:A8467,"C03467",I3468:I8467)</f>
        <v>30857.17</v>
      </c>
      <c r="S3468" s="1">
        <v>1532.55</v>
      </c>
      <c r="T3468">
        <f t="shared" si="391"/>
        <v>1624.06157894737</v>
      </c>
      <c r="U3468">
        <f t="shared" si="392"/>
        <v>1045</v>
      </c>
      <c r="V3468">
        <f t="shared" si="393"/>
        <v>87.0833333333333</v>
      </c>
      <c r="W3468">
        <f t="shared" si="396"/>
        <v>15960.3066666667</v>
      </c>
      <c r="X3468">
        <f t="shared" si="394"/>
        <v>0.0270814057658134</v>
      </c>
      <c r="AH3468" t="str">
        <f t="shared" si="390"/>
        <v>2nd Quality</v>
      </c>
      <c r="AJ3468">
        <f>((T3468-X3468)*2)/12.5</f>
        <v>259.845519606657</v>
      </c>
      <c r="AK3468">
        <f t="shared" si="395"/>
        <v>748692.387894737</v>
      </c>
    </row>
    <row r="3469" spans="1:37">
      <c r="A3469" t="s">
        <v>3535</v>
      </c>
      <c r="B3469">
        <v>38</v>
      </c>
      <c r="C3469" t="s">
        <v>44</v>
      </c>
      <c r="D3469" t="s">
        <v>60</v>
      </c>
      <c r="E3469">
        <v>1005</v>
      </c>
      <c r="F3469">
        <v>43</v>
      </c>
      <c r="G3469">
        <v>10</v>
      </c>
      <c r="H3469">
        <v>1251.98</v>
      </c>
      <c r="I3469">
        <v>12396.76</v>
      </c>
      <c r="J3469">
        <v>62</v>
      </c>
      <c r="K3469">
        <v>0</v>
      </c>
      <c r="L3469">
        <v>22.3</v>
      </c>
      <c r="M3469">
        <v>7.7</v>
      </c>
      <c r="N3469" t="s">
        <v>78</v>
      </c>
      <c r="O3469" t="s">
        <v>47</v>
      </c>
      <c r="P3469" t="s">
        <v>68</v>
      </c>
      <c r="R3469">
        <f>SUMIF(A3469:A8468,"C03468",I3469:I8468)</f>
        <v>12396.76</v>
      </c>
      <c r="S3469" s="1">
        <v>8552.17</v>
      </c>
      <c r="T3469">
        <f t="shared" si="391"/>
        <v>199.947741935484</v>
      </c>
      <c r="U3469">
        <f t="shared" si="392"/>
        <v>477.4</v>
      </c>
      <c r="V3469">
        <f t="shared" si="393"/>
        <v>39.7833333333333</v>
      </c>
      <c r="W3469">
        <f t="shared" si="396"/>
        <v>4549.91333333333</v>
      </c>
      <c r="X3469">
        <f t="shared" si="394"/>
        <v>0.802728478090704</v>
      </c>
      <c r="AH3469" t="str">
        <f t="shared" si="390"/>
        <v>3rd Quality</v>
      </c>
      <c r="AJ3469">
        <f>((T3469-X3469)*2)/22.3</f>
        <v>17.860539323533</v>
      </c>
      <c r="AK3469">
        <f t="shared" si="395"/>
        <v>200947.480645161</v>
      </c>
    </row>
    <row r="3470" spans="1:37">
      <c r="A3470" t="s">
        <v>3536</v>
      </c>
      <c r="B3470">
        <v>35</v>
      </c>
      <c r="C3470" t="s">
        <v>101</v>
      </c>
      <c r="D3470" t="s">
        <v>60</v>
      </c>
      <c r="E3470">
        <v>889</v>
      </c>
      <c r="F3470">
        <v>59</v>
      </c>
      <c r="G3470">
        <v>6</v>
      </c>
      <c r="H3470">
        <v>1547.58</v>
      </c>
      <c r="I3470">
        <v>8874.75</v>
      </c>
      <c r="J3470">
        <v>21</v>
      </c>
      <c r="K3470">
        <v>1</v>
      </c>
      <c r="L3470">
        <v>30</v>
      </c>
      <c r="M3470">
        <v>43.5</v>
      </c>
      <c r="N3470" t="s">
        <v>46</v>
      </c>
      <c r="O3470" t="s">
        <v>47</v>
      </c>
      <c r="P3470" t="s">
        <v>58</v>
      </c>
      <c r="R3470">
        <f>SUMIF(A3470:A8469,"C03469",I3470:I8469)</f>
        <v>8874.75</v>
      </c>
      <c r="S3470" s="1">
        <v>8526.69</v>
      </c>
      <c r="T3470">
        <f t="shared" si="391"/>
        <v>422.607142857143</v>
      </c>
      <c r="U3470">
        <f t="shared" si="392"/>
        <v>913.5</v>
      </c>
      <c r="V3470">
        <f>U3470*1</f>
        <v>913.5</v>
      </c>
      <c r="W3470">
        <f t="shared" si="396"/>
        <v>3474.44333333333</v>
      </c>
      <c r="X3470">
        <f t="shared" si="394"/>
        <v>0.574445262926634</v>
      </c>
      <c r="AH3470" t="str">
        <f t="shared" ref="AH3470:AH3533" si="397">IF(AND(W3470&gt;=12550,B3470&lt;=33,E3470&gt;=915),"1st Quality",IF(AND(W3470&gt;=6275,B3470&lt;=43,E3470&gt;=457),"2nd Quality","3rd Quality"))</f>
        <v>3rd Quality</v>
      </c>
      <c r="AJ3470">
        <f>((T3470-X3470)*2)/30</f>
        <v>28.1355131729478</v>
      </c>
      <c r="AK3470">
        <f t="shared" si="395"/>
        <v>375697.75</v>
      </c>
    </row>
    <row r="3471" spans="1:37">
      <c r="A3471" t="s">
        <v>3537</v>
      </c>
      <c r="B3471">
        <v>49</v>
      </c>
      <c r="C3471" t="s">
        <v>44</v>
      </c>
      <c r="D3471" t="s">
        <v>60</v>
      </c>
      <c r="E3471">
        <v>1451</v>
      </c>
      <c r="F3471">
        <v>173</v>
      </c>
      <c r="G3471">
        <v>1</v>
      </c>
      <c r="H3471">
        <v>1502.79</v>
      </c>
      <c r="I3471">
        <v>1532.55</v>
      </c>
      <c r="J3471">
        <v>10</v>
      </c>
      <c r="K3471">
        <v>0</v>
      </c>
      <c r="L3471">
        <v>22.4</v>
      </c>
      <c r="M3471">
        <v>18.3</v>
      </c>
      <c r="N3471" t="s">
        <v>46</v>
      </c>
      <c r="O3471" t="s">
        <v>47</v>
      </c>
      <c r="P3471" t="s">
        <v>68</v>
      </c>
      <c r="R3471">
        <f>SUMIF(A3471:A8470,"C03470",I3471:I8470)</f>
        <v>1532.55</v>
      </c>
      <c r="S3471" s="1">
        <v>10559.85</v>
      </c>
      <c r="T3471">
        <f t="shared" si="391"/>
        <v>153.255</v>
      </c>
      <c r="U3471">
        <f t="shared" si="392"/>
        <v>183</v>
      </c>
      <c r="V3471">
        <f t="shared" si="393"/>
        <v>15.25</v>
      </c>
      <c r="W3471">
        <f t="shared" si="396"/>
        <v>1012.11333333333</v>
      </c>
      <c r="X3471">
        <f t="shared" si="394"/>
        <v>0.965537433706639</v>
      </c>
      <c r="AH3471" t="str">
        <f t="shared" si="397"/>
        <v>3rd Quality</v>
      </c>
      <c r="AJ3471">
        <f>((T3471-X3471)*2)/22.4</f>
        <v>13.5972734434191</v>
      </c>
      <c r="AK3471">
        <f t="shared" si="395"/>
        <v>222373.005</v>
      </c>
    </row>
    <row r="3472" spans="1:37">
      <c r="A3472" t="s">
        <v>3538</v>
      </c>
      <c r="B3472">
        <v>48</v>
      </c>
      <c r="C3472" t="s">
        <v>44</v>
      </c>
      <c r="D3472" t="s">
        <v>45</v>
      </c>
      <c r="E3472">
        <v>1079</v>
      </c>
      <c r="F3472">
        <v>11</v>
      </c>
      <c r="G3472">
        <v>8</v>
      </c>
      <c r="H3472">
        <v>1155.13</v>
      </c>
      <c r="I3472">
        <v>8552.17</v>
      </c>
      <c r="J3472">
        <v>29</v>
      </c>
      <c r="K3472">
        <v>0</v>
      </c>
      <c r="L3472">
        <v>16.4</v>
      </c>
      <c r="M3472">
        <v>14.6</v>
      </c>
      <c r="N3472" t="s">
        <v>63</v>
      </c>
      <c r="O3472" t="s">
        <v>47</v>
      </c>
      <c r="P3472" t="s">
        <v>68</v>
      </c>
      <c r="R3472">
        <f>SUMIF(A3472:A8471,"C03471",I3472:I8471)</f>
        <v>8552.17</v>
      </c>
      <c r="S3472" s="1">
        <v>7981.62</v>
      </c>
      <c r="T3472">
        <f t="shared" si="391"/>
        <v>294.902413793103</v>
      </c>
      <c r="U3472">
        <f t="shared" si="392"/>
        <v>423.4</v>
      </c>
      <c r="V3472">
        <f t="shared" si="393"/>
        <v>35.2833333333333</v>
      </c>
      <c r="W3472">
        <f t="shared" si="396"/>
        <v>3236.1</v>
      </c>
      <c r="X3472">
        <f t="shared" si="394"/>
        <v>0.934093998078138</v>
      </c>
      <c r="AH3472" t="str">
        <f t="shared" si="397"/>
        <v>3rd Quality</v>
      </c>
      <c r="AJ3472">
        <f>((T3472-X3472)*2)/16.4</f>
        <v>35.8497950969543</v>
      </c>
      <c r="AK3472">
        <f t="shared" si="395"/>
        <v>318199.704482759</v>
      </c>
    </row>
    <row r="3473" spans="1:37">
      <c r="A3473" t="s">
        <v>3539</v>
      </c>
      <c r="B3473">
        <v>36</v>
      </c>
      <c r="C3473" t="s">
        <v>50</v>
      </c>
      <c r="D3473" t="s">
        <v>45</v>
      </c>
      <c r="E3473">
        <v>785</v>
      </c>
      <c r="F3473">
        <v>14</v>
      </c>
      <c r="G3473">
        <v>8</v>
      </c>
      <c r="H3473">
        <v>966.54</v>
      </c>
      <c r="I3473">
        <v>8526.69</v>
      </c>
      <c r="J3473">
        <v>40</v>
      </c>
      <c r="K3473">
        <v>0</v>
      </c>
      <c r="L3473">
        <v>19.5</v>
      </c>
      <c r="M3473">
        <v>34.8</v>
      </c>
      <c r="N3473" t="s">
        <v>57</v>
      </c>
      <c r="O3473" t="s">
        <v>47</v>
      </c>
      <c r="P3473" t="s">
        <v>58</v>
      </c>
      <c r="R3473">
        <f>SUMIF(A3473:A8472,"C03472",I3473:I8472)</f>
        <v>8526.69</v>
      </c>
      <c r="S3473" s="1">
        <v>118159.35</v>
      </c>
      <c r="T3473">
        <f t="shared" si="391"/>
        <v>213.16725</v>
      </c>
      <c r="U3473">
        <f t="shared" si="392"/>
        <v>1392</v>
      </c>
      <c r="V3473">
        <f t="shared" si="393"/>
        <v>116</v>
      </c>
      <c r="W3473">
        <f t="shared" si="396"/>
        <v>3164.74333333333</v>
      </c>
      <c r="X3473">
        <f t="shared" si="394"/>
        <v>0.812175388499183</v>
      </c>
      <c r="AH3473" t="str">
        <f t="shared" si="397"/>
        <v>3rd Quality</v>
      </c>
      <c r="AJ3473">
        <f>((T3473-X3473)*2)/19.5</f>
        <v>21.7800076524616</v>
      </c>
      <c r="AK3473">
        <f t="shared" si="395"/>
        <v>167336.29125</v>
      </c>
    </row>
    <row r="3474" spans="1:37">
      <c r="A3474" t="s">
        <v>3540</v>
      </c>
      <c r="B3474">
        <v>26</v>
      </c>
      <c r="C3474" t="s">
        <v>44</v>
      </c>
      <c r="D3474" t="s">
        <v>60</v>
      </c>
      <c r="E3474">
        <v>829</v>
      </c>
      <c r="F3474">
        <v>91</v>
      </c>
      <c r="G3474">
        <v>1</v>
      </c>
      <c r="H3474">
        <v>9868.97</v>
      </c>
      <c r="I3474">
        <v>10559.85</v>
      </c>
      <c r="J3474">
        <v>20</v>
      </c>
      <c r="K3474">
        <v>0</v>
      </c>
      <c r="L3474">
        <v>0.1</v>
      </c>
      <c r="M3474">
        <v>19.2</v>
      </c>
      <c r="N3474" t="s">
        <v>63</v>
      </c>
      <c r="O3474" t="s">
        <v>75</v>
      </c>
      <c r="P3474" t="s">
        <v>48</v>
      </c>
      <c r="R3474">
        <f>SUMIF(A3474:A8473,"C03473",I3474:I8473)</f>
        <v>10559.85</v>
      </c>
      <c r="S3474" s="1">
        <v>9231.03</v>
      </c>
      <c r="T3474">
        <f t="shared" si="391"/>
        <v>527.9925</v>
      </c>
      <c r="U3474">
        <f t="shared" si="392"/>
        <v>384</v>
      </c>
      <c r="V3474">
        <f t="shared" si="393"/>
        <v>32</v>
      </c>
      <c r="W3474">
        <f t="shared" si="396"/>
        <v>6809.94</v>
      </c>
      <c r="X3474">
        <f t="shared" si="394"/>
        <v>0.0840006606565832</v>
      </c>
      <c r="AH3474" t="str">
        <f t="shared" si="397"/>
        <v>2nd Quality</v>
      </c>
      <c r="AJ3474">
        <f>((T3474-X3474)*2)/0.1</f>
        <v>10558.1699867869</v>
      </c>
      <c r="AK3474">
        <f t="shared" si="395"/>
        <v>437705.7825</v>
      </c>
    </row>
    <row r="3475" spans="1:37">
      <c r="A3475" t="s">
        <v>3541</v>
      </c>
      <c r="B3475">
        <v>24</v>
      </c>
      <c r="C3475" t="s">
        <v>50</v>
      </c>
      <c r="D3475" t="s">
        <v>60</v>
      </c>
      <c r="E3475">
        <v>638</v>
      </c>
      <c r="F3475">
        <v>75</v>
      </c>
      <c r="G3475">
        <v>8</v>
      </c>
      <c r="H3475">
        <v>1109.17</v>
      </c>
      <c r="I3475">
        <v>7981.62</v>
      </c>
      <c r="J3475">
        <v>74</v>
      </c>
      <c r="K3475">
        <v>2</v>
      </c>
      <c r="L3475">
        <v>14.4</v>
      </c>
      <c r="M3475">
        <v>27.2</v>
      </c>
      <c r="N3475" t="s">
        <v>57</v>
      </c>
      <c r="O3475" t="s">
        <v>47</v>
      </c>
      <c r="P3475" t="s">
        <v>48</v>
      </c>
      <c r="R3475">
        <f>SUMIF(A3475:A8474,"C03474",I3475:I8474)</f>
        <v>7981.62</v>
      </c>
      <c r="S3475" s="1">
        <v>760.16</v>
      </c>
      <c r="T3475">
        <f t="shared" si="391"/>
        <v>107.85972972973</v>
      </c>
      <c r="U3475">
        <f t="shared" si="392"/>
        <v>2012.8</v>
      </c>
      <c r="V3475">
        <f>U3475*2</f>
        <v>4025.6</v>
      </c>
      <c r="W3475">
        <f t="shared" si="396"/>
        <v>3030.59666666667</v>
      </c>
      <c r="X3475">
        <f t="shared" si="394"/>
        <v>0.57520488293048</v>
      </c>
      <c r="AH3475" t="str">
        <f t="shared" si="397"/>
        <v>3rd Quality</v>
      </c>
      <c r="AJ3475">
        <f>((T3475-X3475)*2)/14.4</f>
        <v>14.9006284509444</v>
      </c>
      <c r="AK3475">
        <f t="shared" si="395"/>
        <v>68814.5075675676</v>
      </c>
    </row>
    <row r="3476" spans="1:37">
      <c r="A3476" t="s">
        <v>3542</v>
      </c>
      <c r="B3476">
        <v>34</v>
      </c>
      <c r="C3476" t="s">
        <v>44</v>
      </c>
      <c r="D3476" t="s">
        <v>45</v>
      </c>
      <c r="E3476">
        <v>425</v>
      </c>
      <c r="F3476">
        <v>11</v>
      </c>
      <c r="G3476">
        <v>8</v>
      </c>
      <c r="H3476">
        <v>15414.13</v>
      </c>
      <c r="I3476">
        <v>118159.35</v>
      </c>
      <c r="J3476">
        <v>59</v>
      </c>
      <c r="K3476">
        <v>2</v>
      </c>
      <c r="L3476">
        <v>24.8</v>
      </c>
      <c r="M3476">
        <v>43.5</v>
      </c>
      <c r="N3476" t="s">
        <v>61</v>
      </c>
      <c r="O3476" t="s">
        <v>47</v>
      </c>
      <c r="P3476" t="s">
        <v>66</v>
      </c>
      <c r="R3476">
        <f>SUMIF(A3476:A8475,"C03475",I3476:I8475)</f>
        <v>118159.35</v>
      </c>
      <c r="S3476" s="1">
        <v>1558.41</v>
      </c>
      <c r="T3476">
        <f t="shared" si="391"/>
        <v>2002.70084745763</v>
      </c>
      <c r="U3476">
        <f t="shared" si="392"/>
        <v>2566.5</v>
      </c>
      <c r="V3476">
        <f>U3476*2</f>
        <v>5133</v>
      </c>
      <c r="W3476">
        <f t="shared" si="396"/>
        <v>44524.8266666667</v>
      </c>
      <c r="X3476">
        <f t="shared" si="394"/>
        <v>0.0275721042965124</v>
      </c>
      <c r="AH3476" t="str">
        <f t="shared" si="397"/>
        <v>3rd Quality</v>
      </c>
      <c r="AJ3476">
        <f>((T3476-X3476)*2)/24.8</f>
        <v>161.505909302688</v>
      </c>
      <c r="AK3476">
        <f t="shared" si="395"/>
        <v>851147.860169491</v>
      </c>
    </row>
    <row r="3477" spans="1:37">
      <c r="A3477" t="s">
        <v>3543</v>
      </c>
      <c r="B3477">
        <v>32</v>
      </c>
      <c r="C3477" t="s">
        <v>50</v>
      </c>
      <c r="D3477" t="s">
        <v>60</v>
      </c>
      <c r="E3477">
        <v>853</v>
      </c>
      <c r="F3477">
        <v>12</v>
      </c>
      <c r="G3477">
        <v>8</v>
      </c>
      <c r="H3477">
        <v>1295.96</v>
      </c>
      <c r="I3477">
        <v>9231.03</v>
      </c>
      <c r="J3477">
        <v>29</v>
      </c>
      <c r="K3477">
        <v>1</v>
      </c>
      <c r="L3477">
        <v>33.7</v>
      </c>
      <c r="M3477">
        <v>28.8</v>
      </c>
      <c r="N3477" t="s">
        <v>52</v>
      </c>
      <c r="O3477" t="s">
        <v>53</v>
      </c>
      <c r="P3477" t="s">
        <v>48</v>
      </c>
      <c r="R3477">
        <f>SUMIF(A3477:A8476,"C03476",I3477:I8476)</f>
        <v>9231.03</v>
      </c>
      <c r="S3477" s="1">
        <v>1877.31</v>
      </c>
      <c r="T3477">
        <f t="shared" si="391"/>
        <v>318.311379310345</v>
      </c>
      <c r="U3477">
        <f t="shared" si="392"/>
        <v>835.2</v>
      </c>
      <c r="V3477">
        <f>U3477*1</f>
        <v>835.2</v>
      </c>
      <c r="W3477">
        <f t="shared" si="396"/>
        <v>3509.33</v>
      </c>
      <c r="X3477">
        <f t="shared" si="394"/>
        <v>0.658199327139727</v>
      </c>
      <c r="AH3477" t="str">
        <f t="shared" si="397"/>
        <v>3rd Quality</v>
      </c>
      <c r="AJ3477">
        <f>((T3477-X3477)*2)/33.7</f>
        <v>18.8518207705166</v>
      </c>
      <c r="AK3477">
        <f t="shared" si="395"/>
        <v>271519.606551724</v>
      </c>
    </row>
    <row r="3478" spans="1:37">
      <c r="A3478" t="s">
        <v>3544</v>
      </c>
      <c r="B3478">
        <v>41</v>
      </c>
      <c r="C3478" t="s">
        <v>44</v>
      </c>
      <c r="D3478" t="s">
        <v>60</v>
      </c>
      <c r="E3478">
        <v>393</v>
      </c>
      <c r="F3478">
        <v>140</v>
      </c>
      <c r="G3478">
        <v>1</v>
      </c>
      <c r="H3478">
        <v>835.74</v>
      </c>
      <c r="I3478">
        <v>760.16</v>
      </c>
      <c r="J3478">
        <v>17</v>
      </c>
      <c r="K3478">
        <v>0</v>
      </c>
      <c r="L3478">
        <v>37.1</v>
      </c>
      <c r="M3478">
        <v>75.5</v>
      </c>
      <c r="N3478" t="s">
        <v>61</v>
      </c>
      <c r="O3478" t="s">
        <v>47</v>
      </c>
      <c r="P3478" t="s">
        <v>66</v>
      </c>
      <c r="R3478">
        <f>SUMIF(A3478:A8477,"C03477",I3478:I8477)</f>
        <v>760.16</v>
      </c>
      <c r="S3478" s="1">
        <v>50470.34</v>
      </c>
      <c r="T3478">
        <f t="shared" ref="T3478:T3541" si="398">I3478/J3478</f>
        <v>44.7152941176471</v>
      </c>
      <c r="U3478">
        <f t="shared" si="392"/>
        <v>1283.5</v>
      </c>
      <c r="V3478">
        <f t="shared" si="393"/>
        <v>106.958333333333</v>
      </c>
      <c r="W3478">
        <f t="shared" si="396"/>
        <v>532.3</v>
      </c>
      <c r="X3478">
        <f t="shared" si="394"/>
        <v>0.470241941273602</v>
      </c>
      <c r="AH3478" t="str">
        <f t="shared" si="397"/>
        <v>3rd Quality</v>
      </c>
      <c r="AJ3478">
        <f>((T3478-X3478)*2)/37.1</f>
        <v>2.38517801489884</v>
      </c>
      <c r="AK3478">
        <f t="shared" si="395"/>
        <v>17573.1105882353</v>
      </c>
    </row>
    <row r="3479" spans="1:37">
      <c r="A3479" t="s">
        <v>3545</v>
      </c>
      <c r="B3479">
        <v>53</v>
      </c>
      <c r="C3479" t="s">
        <v>50</v>
      </c>
      <c r="D3479" t="s">
        <v>60</v>
      </c>
      <c r="E3479">
        <v>1088</v>
      </c>
      <c r="F3479">
        <v>365</v>
      </c>
      <c r="G3479">
        <v>1</v>
      </c>
      <c r="H3479">
        <v>1587.5</v>
      </c>
      <c r="I3479">
        <v>1558.41</v>
      </c>
      <c r="J3479">
        <v>9</v>
      </c>
      <c r="K3479">
        <v>0</v>
      </c>
      <c r="L3479">
        <v>20.1</v>
      </c>
      <c r="M3479">
        <v>9.6</v>
      </c>
      <c r="N3479" t="s">
        <v>78</v>
      </c>
      <c r="O3479" t="s">
        <v>75</v>
      </c>
      <c r="P3479" t="s">
        <v>54</v>
      </c>
      <c r="R3479">
        <f>SUMIF(A3479:A8478,"C03478",I3479:I8478)</f>
        <v>1558.41</v>
      </c>
      <c r="S3479" s="1">
        <v>7773.51</v>
      </c>
      <c r="T3479">
        <f t="shared" si="398"/>
        <v>173.156666666667</v>
      </c>
      <c r="U3479">
        <f t="shared" si="392"/>
        <v>86.4</v>
      </c>
      <c r="V3479">
        <f t="shared" si="393"/>
        <v>7.2</v>
      </c>
      <c r="W3479">
        <f t="shared" si="396"/>
        <v>1048.97</v>
      </c>
      <c r="X3479">
        <f t="shared" si="394"/>
        <v>0.685354330708661</v>
      </c>
      <c r="AH3479" t="str">
        <f t="shared" si="397"/>
        <v>3rd Quality</v>
      </c>
      <c r="AJ3479">
        <f>((T3479-X3479)*2)/20.1</f>
        <v>17.1613246105431</v>
      </c>
      <c r="AK3479">
        <f t="shared" si="395"/>
        <v>188394.453333333</v>
      </c>
    </row>
    <row r="3480" spans="1:37">
      <c r="A3480" t="s">
        <v>3546</v>
      </c>
      <c r="B3480">
        <v>38</v>
      </c>
      <c r="C3480" t="s">
        <v>44</v>
      </c>
      <c r="D3480" t="s">
        <v>60</v>
      </c>
      <c r="E3480">
        <v>1353</v>
      </c>
      <c r="F3480">
        <v>213</v>
      </c>
      <c r="G3480">
        <v>1</v>
      </c>
      <c r="H3480">
        <v>1957.43</v>
      </c>
      <c r="I3480">
        <v>1877.31</v>
      </c>
      <c r="J3480">
        <v>10</v>
      </c>
      <c r="K3480">
        <v>0</v>
      </c>
      <c r="L3480">
        <v>13.2</v>
      </c>
      <c r="M3480">
        <v>45.5</v>
      </c>
      <c r="N3480" t="s">
        <v>46</v>
      </c>
      <c r="O3480" t="s">
        <v>75</v>
      </c>
      <c r="P3480" t="s">
        <v>68</v>
      </c>
      <c r="R3480">
        <f>SUMIF(A3480:A8479,"C03479",I3480:I8479)</f>
        <v>1877.31</v>
      </c>
      <c r="S3480" s="1">
        <v>1813.19</v>
      </c>
      <c r="T3480">
        <f t="shared" si="398"/>
        <v>187.731</v>
      </c>
      <c r="U3480">
        <f t="shared" si="392"/>
        <v>455</v>
      </c>
      <c r="V3480">
        <f t="shared" si="393"/>
        <v>37.9166666666667</v>
      </c>
      <c r="W3480">
        <f t="shared" si="396"/>
        <v>1278.58</v>
      </c>
      <c r="X3480">
        <f t="shared" si="394"/>
        <v>0.691212457150447</v>
      </c>
      <c r="AH3480" t="str">
        <f t="shared" si="397"/>
        <v>3rd Quality</v>
      </c>
      <c r="AJ3480">
        <f>((T3480-X3480)*2)/13.2</f>
        <v>28.3393617489166</v>
      </c>
      <c r="AK3480">
        <f t="shared" si="395"/>
        <v>254000.043</v>
      </c>
    </row>
    <row r="3481" spans="1:37">
      <c r="A3481" t="s">
        <v>3547</v>
      </c>
      <c r="B3481">
        <v>27</v>
      </c>
      <c r="C3481" t="s">
        <v>50</v>
      </c>
      <c r="D3481" t="s">
        <v>45</v>
      </c>
      <c r="E3481">
        <v>473</v>
      </c>
      <c r="F3481">
        <v>14</v>
      </c>
      <c r="G3481">
        <v>3</v>
      </c>
      <c r="H3481">
        <v>16740.61</v>
      </c>
      <c r="I3481">
        <v>50470.34</v>
      </c>
      <c r="J3481">
        <v>16</v>
      </c>
      <c r="K3481">
        <v>0</v>
      </c>
      <c r="L3481">
        <v>0</v>
      </c>
      <c r="M3481">
        <v>21.6</v>
      </c>
      <c r="N3481" t="s">
        <v>61</v>
      </c>
      <c r="O3481" t="s">
        <v>47</v>
      </c>
      <c r="P3481" t="s">
        <v>58</v>
      </c>
      <c r="R3481">
        <f>SUMIF(A3481:A8480,"C03480",I3481:I8480)</f>
        <v>50470.34</v>
      </c>
      <c r="S3481" s="1">
        <v>1559.39</v>
      </c>
      <c r="T3481">
        <f t="shared" si="398"/>
        <v>3154.39625</v>
      </c>
      <c r="U3481">
        <f t="shared" si="392"/>
        <v>345.6</v>
      </c>
      <c r="V3481">
        <f t="shared" si="393"/>
        <v>28.8</v>
      </c>
      <c r="W3481">
        <f t="shared" si="396"/>
        <v>22403.9833333333</v>
      </c>
      <c r="X3481">
        <f t="shared" si="394"/>
        <v>0.0282546454400407</v>
      </c>
      <c r="AH3481" t="str">
        <f t="shared" si="397"/>
        <v>2nd Quality</v>
      </c>
      <c r="AJ3481">
        <f>((T3481-X3481)*2)</f>
        <v>6308.73599070912</v>
      </c>
      <c r="AK3481">
        <f t="shared" si="395"/>
        <v>1492029.42625</v>
      </c>
    </row>
    <row r="3482" spans="1:37">
      <c r="A3482" t="s">
        <v>3548</v>
      </c>
      <c r="B3482">
        <v>20</v>
      </c>
      <c r="C3482" t="s">
        <v>50</v>
      </c>
      <c r="D3482" t="s">
        <v>60</v>
      </c>
      <c r="E3482">
        <v>1430</v>
      </c>
      <c r="F3482">
        <v>63</v>
      </c>
      <c r="G3482">
        <v>9</v>
      </c>
      <c r="H3482">
        <v>909.36</v>
      </c>
      <c r="I3482">
        <v>7773.51</v>
      </c>
      <c r="J3482">
        <v>49</v>
      </c>
      <c r="K3482">
        <v>0</v>
      </c>
      <c r="L3482">
        <v>20.5</v>
      </c>
      <c r="M3482">
        <v>61.5</v>
      </c>
      <c r="N3482" t="s">
        <v>63</v>
      </c>
      <c r="O3482" t="s">
        <v>47</v>
      </c>
      <c r="P3482" t="s">
        <v>58</v>
      </c>
      <c r="R3482">
        <f>SUMIF(A3482:A8481,"C03481",I3482:I8481)</f>
        <v>7773.51</v>
      </c>
      <c r="S3482" s="1">
        <v>32963.97</v>
      </c>
      <c r="T3482">
        <f t="shared" si="398"/>
        <v>158.64306122449</v>
      </c>
      <c r="U3482">
        <f t="shared" si="392"/>
        <v>3013.5</v>
      </c>
      <c r="V3482">
        <f t="shared" si="393"/>
        <v>251.125</v>
      </c>
      <c r="W3482">
        <f t="shared" si="396"/>
        <v>2894.62333333333</v>
      </c>
      <c r="X3482">
        <f t="shared" si="394"/>
        <v>1.57253452977919</v>
      </c>
      <c r="AH3482" t="str">
        <f t="shared" si="397"/>
        <v>3rd Quality</v>
      </c>
      <c r="AJ3482">
        <f>((T3482-X3482)*2)/20.5</f>
        <v>15.3239538238742</v>
      </c>
      <c r="AK3482">
        <f t="shared" si="395"/>
        <v>226859.57755102</v>
      </c>
    </row>
    <row r="3483" spans="1:37">
      <c r="A3483" t="s">
        <v>3549</v>
      </c>
      <c r="B3483">
        <v>33</v>
      </c>
      <c r="C3483" t="s">
        <v>50</v>
      </c>
      <c r="D3483" t="s">
        <v>45</v>
      </c>
      <c r="E3483">
        <v>468</v>
      </c>
      <c r="F3483">
        <v>217</v>
      </c>
      <c r="G3483">
        <v>2</v>
      </c>
      <c r="H3483">
        <v>944.64</v>
      </c>
      <c r="I3483">
        <v>1813.19</v>
      </c>
      <c r="J3483">
        <v>20</v>
      </c>
      <c r="K3483">
        <v>1</v>
      </c>
      <c r="L3483">
        <v>24</v>
      </c>
      <c r="M3483">
        <v>61.2</v>
      </c>
      <c r="N3483" t="s">
        <v>57</v>
      </c>
      <c r="O3483" t="s">
        <v>75</v>
      </c>
      <c r="P3483" t="s">
        <v>58</v>
      </c>
      <c r="R3483">
        <f>SUMIF(A3483:A8482,"C03482",I3483:I8482)</f>
        <v>1813.19</v>
      </c>
      <c r="S3483" s="1">
        <v>2882.02</v>
      </c>
      <c r="T3483">
        <f t="shared" si="398"/>
        <v>90.6595</v>
      </c>
      <c r="U3483">
        <f t="shared" si="392"/>
        <v>1224</v>
      </c>
      <c r="V3483">
        <f>U3483*1</f>
        <v>1224</v>
      </c>
      <c r="W3483">
        <f t="shared" si="396"/>
        <v>919.61</v>
      </c>
      <c r="X3483">
        <f t="shared" si="394"/>
        <v>0.495426829268293</v>
      </c>
      <c r="AH3483" t="str">
        <f t="shared" si="397"/>
        <v>3rd Quality</v>
      </c>
      <c r="AJ3483">
        <f>((T3483-X3483)*2)/24</f>
        <v>7.51367276422764</v>
      </c>
      <c r="AK3483">
        <f t="shared" si="395"/>
        <v>42428.646</v>
      </c>
    </row>
    <row r="3484" spans="1:37">
      <c r="A3484" t="s">
        <v>3550</v>
      </c>
      <c r="B3484">
        <v>37</v>
      </c>
      <c r="C3484" t="s">
        <v>44</v>
      </c>
      <c r="D3484" t="s">
        <v>45</v>
      </c>
      <c r="E3484">
        <v>888</v>
      </c>
      <c r="F3484">
        <v>140</v>
      </c>
      <c r="G3484">
        <v>3</v>
      </c>
      <c r="H3484">
        <v>468.3</v>
      </c>
      <c r="I3484">
        <v>1559.39</v>
      </c>
      <c r="J3484">
        <v>20</v>
      </c>
      <c r="K3484">
        <v>0</v>
      </c>
      <c r="L3484">
        <v>34</v>
      </c>
      <c r="M3484">
        <v>59.4</v>
      </c>
      <c r="N3484" t="s">
        <v>57</v>
      </c>
      <c r="O3484" t="s">
        <v>75</v>
      </c>
      <c r="P3484" t="s">
        <v>58</v>
      </c>
      <c r="R3484">
        <f>SUMIF(A3484:A8483,"C03483",I3484:I8483)</f>
        <v>1559.39</v>
      </c>
      <c r="S3484" s="1">
        <v>493.45</v>
      </c>
      <c r="T3484">
        <f t="shared" si="398"/>
        <v>77.9695</v>
      </c>
      <c r="U3484">
        <f t="shared" si="392"/>
        <v>1188</v>
      </c>
      <c r="V3484">
        <f t="shared" si="393"/>
        <v>99</v>
      </c>
      <c r="W3484">
        <f t="shared" si="396"/>
        <v>676.23</v>
      </c>
      <c r="X3484">
        <f t="shared" si="394"/>
        <v>1.89622037155669</v>
      </c>
      <c r="AH3484" t="str">
        <f t="shared" si="397"/>
        <v>3rd Quality</v>
      </c>
      <c r="AJ3484">
        <f>((T3484-X3484)*2)/34</f>
        <v>4.47489880167314</v>
      </c>
      <c r="AK3484">
        <f t="shared" si="395"/>
        <v>69236.916</v>
      </c>
    </row>
    <row r="3485" spans="1:37">
      <c r="A3485" t="s">
        <v>3551</v>
      </c>
      <c r="B3485">
        <v>23</v>
      </c>
      <c r="C3485" t="s">
        <v>50</v>
      </c>
      <c r="D3485" t="s">
        <v>60</v>
      </c>
      <c r="E3485">
        <v>1051</v>
      </c>
      <c r="F3485">
        <v>40</v>
      </c>
      <c r="G3485">
        <v>2</v>
      </c>
      <c r="H3485">
        <v>15121.4</v>
      </c>
      <c r="I3485">
        <v>32963.97</v>
      </c>
      <c r="J3485">
        <v>17</v>
      </c>
      <c r="K3485">
        <v>0</v>
      </c>
      <c r="L3485">
        <v>7.1</v>
      </c>
      <c r="M3485">
        <v>10.4</v>
      </c>
      <c r="N3485" t="s">
        <v>78</v>
      </c>
      <c r="O3485" t="s">
        <v>75</v>
      </c>
      <c r="P3485" t="s">
        <v>54</v>
      </c>
      <c r="R3485">
        <f>SUMIF(A3485:A8484,"C03484",I3485:I8484)</f>
        <v>32963.97</v>
      </c>
      <c r="S3485" s="1">
        <v>1435.49</v>
      </c>
      <c r="T3485">
        <f t="shared" si="398"/>
        <v>1939.05705882353</v>
      </c>
      <c r="U3485">
        <f t="shared" si="392"/>
        <v>176.8</v>
      </c>
      <c r="V3485">
        <f t="shared" si="393"/>
        <v>14.7333333333333</v>
      </c>
      <c r="W3485">
        <f t="shared" si="396"/>
        <v>16028.79</v>
      </c>
      <c r="X3485">
        <f t="shared" si="394"/>
        <v>0.0695041464414671</v>
      </c>
      <c r="AH3485" t="str">
        <f t="shared" si="397"/>
        <v>1st Quality</v>
      </c>
      <c r="AJ3485">
        <f>((T3485-X3485)*2)/7.1</f>
        <v>546.193677373828</v>
      </c>
      <c r="AK3485">
        <f t="shared" si="395"/>
        <v>2037948.96882353</v>
      </c>
    </row>
    <row r="3486" spans="1:37">
      <c r="A3486" t="s">
        <v>3552</v>
      </c>
      <c r="B3486">
        <v>34</v>
      </c>
      <c r="C3486" t="s">
        <v>44</v>
      </c>
      <c r="D3486" t="s">
        <v>51</v>
      </c>
      <c r="E3486">
        <v>1069</v>
      </c>
      <c r="F3486">
        <v>35</v>
      </c>
      <c r="G3486">
        <v>4</v>
      </c>
      <c r="H3486">
        <v>815.78</v>
      </c>
      <c r="I3486">
        <v>2882.02</v>
      </c>
      <c r="J3486">
        <v>34</v>
      </c>
      <c r="K3486">
        <v>0</v>
      </c>
      <c r="L3486">
        <v>35</v>
      </c>
      <c r="M3486">
        <v>17.4</v>
      </c>
      <c r="N3486" t="s">
        <v>52</v>
      </c>
      <c r="O3486" t="s">
        <v>47</v>
      </c>
      <c r="P3486" t="s">
        <v>66</v>
      </c>
      <c r="R3486">
        <f>SUMIF(A3486:A8485,"C03485",I3486:I8485)</f>
        <v>2882.02</v>
      </c>
      <c r="S3486" s="1">
        <v>3715.58</v>
      </c>
      <c r="T3486">
        <f t="shared" si="398"/>
        <v>84.7652941176471</v>
      </c>
      <c r="U3486">
        <f t="shared" si="392"/>
        <v>591.6</v>
      </c>
      <c r="V3486">
        <f t="shared" si="393"/>
        <v>49.3</v>
      </c>
      <c r="W3486">
        <f t="shared" si="396"/>
        <v>1232.93333333333</v>
      </c>
      <c r="X3486">
        <f t="shared" si="394"/>
        <v>1.31040231434946</v>
      </c>
      <c r="AH3486" t="str">
        <f t="shared" si="397"/>
        <v>3rd Quality</v>
      </c>
      <c r="AJ3486">
        <f>((T3486-X3486)*2)/35</f>
        <v>4.76885096018844</v>
      </c>
      <c r="AK3486">
        <f t="shared" si="395"/>
        <v>90614.0994117647</v>
      </c>
    </row>
    <row r="3487" spans="1:37">
      <c r="A3487" t="s">
        <v>3553</v>
      </c>
      <c r="B3487">
        <v>48</v>
      </c>
      <c r="C3487" t="s">
        <v>50</v>
      </c>
      <c r="D3487" t="s">
        <v>45</v>
      </c>
      <c r="E3487">
        <v>788</v>
      </c>
      <c r="F3487">
        <v>168</v>
      </c>
      <c r="G3487">
        <v>1</v>
      </c>
      <c r="H3487">
        <v>481.63</v>
      </c>
      <c r="I3487">
        <v>493.45</v>
      </c>
      <c r="J3487">
        <v>12</v>
      </c>
      <c r="K3487">
        <v>0</v>
      </c>
      <c r="L3487">
        <v>30.7</v>
      </c>
      <c r="M3487">
        <v>27</v>
      </c>
      <c r="N3487" t="s">
        <v>78</v>
      </c>
      <c r="O3487" t="s">
        <v>47</v>
      </c>
      <c r="P3487" t="s">
        <v>58</v>
      </c>
      <c r="R3487">
        <f>SUMIF(A3487:A8486,"C03486",I3487:I8486)</f>
        <v>493.45</v>
      </c>
      <c r="S3487" s="1">
        <v>55110.11</v>
      </c>
      <c r="T3487">
        <f t="shared" si="398"/>
        <v>41.1208333333333</v>
      </c>
      <c r="U3487">
        <f t="shared" si="392"/>
        <v>324</v>
      </c>
      <c r="V3487">
        <f t="shared" si="393"/>
        <v>27</v>
      </c>
      <c r="W3487">
        <f t="shared" si="396"/>
        <v>325.36</v>
      </c>
      <c r="X3487">
        <f t="shared" si="394"/>
        <v>1.63611070738949</v>
      </c>
      <c r="AH3487" t="str">
        <f t="shared" si="397"/>
        <v>3rd Quality</v>
      </c>
      <c r="AJ3487">
        <f>((T3487-X3487)*2)/30.7</f>
        <v>2.57229463361197</v>
      </c>
      <c r="AK3487">
        <f t="shared" si="395"/>
        <v>32403.2166666667</v>
      </c>
    </row>
    <row r="3488" spans="1:37">
      <c r="A3488" t="s">
        <v>3554</v>
      </c>
      <c r="B3488">
        <v>29</v>
      </c>
      <c r="C3488" t="s">
        <v>50</v>
      </c>
      <c r="D3488" t="s">
        <v>60</v>
      </c>
      <c r="E3488">
        <v>418</v>
      </c>
      <c r="F3488">
        <v>142</v>
      </c>
      <c r="G3488">
        <v>3</v>
      </c>
      <c r="H3488">
        <v>523.45</v>
      </c>
      <c r="I3488">
        <v>1435.49</v>
      </c>
      <c r="J3488">
        <v>21</v>
      </c>
      <c r="K3488">
        <v>0</v>
      </c>
      <c r="L3488">
        <v>17.2</v>
      </c>
      <c r="M3488">
        <v>11.8</v>
      </c>
      <c r="N3488" t="s">
        <v>78</v>
      </c>
      <c r="O3488" t="s">
        <v>47</v>
      </c>
      <c r="P3488" t="s">
        <v>58</v>
      </c>
      <c r="R3488">
        <f>SUMIF(A3488:A8487,"C03487",I3488:I8487)</f>
        <v>1435.49</v>
      </c>
      <c r="S3488" s="1">
        <v>21932.22</v>
      </c>
      <c r="T3488">
        <f t="shared" si="398"/>
        <v>68.3566666666667</v>
      </c>
      <c r="U3488">
        <f t="shared" si="392"/>
        <v>247.8</v>
      </c>
      <c r="V3488">
        <f t="shared" si="393"/>
        <v>20.65</v>
      </c>
      <c r="W3488">
        <f t="shared" si="396"/>
        <v>653.313333333333</v>
      </c>
      <c r="X3488">
        <f t="shared" si="394"/>
        <v>0.798548094373866</v>
      </c>
      <c r="AH3488" t="str">
        <f t="shared" si="397"/>
        <v>3rd Quality</v>
      </c>
      <c r="AJ3488">
        <f>((T3488-X3488)*2)/17.2</f>
        <v>7.85559518282475</v>
      </c>
      <c r="AK3488">
        <f t="shared" si="395"/>
        <v>28573.0866666667</v>
      </c>
    </row>
    <row r="3489" spans="1:37">
      <c r="A3489" t="s">
        <v>3555</v>
      </c>
      <c r="B3489">
        <v>32</v>
      </c>
      <c r="C3489" t="s">
        <v>50</v>
      </c>
      <c r="D3489" t="s">
        <v>51</v>
      </c>
      <c r="E3489">
        <v>1224</v>
      </c>
      <c r="F3489">
        <v>68</v>
      </c>
      <c r="G3489">
        <v>3</v>
      </c>
      <c r="H3489">
        <v>1158.08</v>
      </c>
      <c r="I3489">
        <v>3715.58</v>
      </c>
      <c r="J3489">
        <v>25</v>
      </c>
      <c r="K3489">
        <v>0</v>
      </c>
      <c r="L3489">
        <v>27.8</v>
      </c>
      <c r="M3489">
        <v>54.3</v>
      </c>
      <c r="N3489" t="s">
        <v>57</v>
      </c>
      <c r="O3489" t="s">
        <v>75</v>
      </c>
      <c r="P3489" t="s">
        <v>66</v>
      </c>
      <c r="R3489">
        <f>SUMIF(A3489:A8488,"C03488",I3489:I8488)</f>
        <v>3715.58</v>
      </c>
      <c r="S3489" s="1">
        <v>50447.02</v>
      </c>
      <c r="T3489">
        <f t="shared" si="398"/>
        <v>148.6232</v>
      </c>
      <c r="U3489">
        <f t="shared" si="392"/>
        <v>1357.5</v>
      </c>
      <c r="V3489">
        <f t="shared" si="393"/>
        <v>113.125</v>
      </c>
      <c r="W3489">
        <f t="shared" si="396"/>
        <v>1624.88666666667</v>
      </c>
      <c r="X3489">
        <f t="shared" si="394"/>
        <v>1.05692180160265</v>
      </c>
      <c r="AH3489" t="str">
        <f t="shared" si="397"/>
        <v>3rd Quality</v>
      </c>
      <c r="AJ3489">
        <f>((T3489-X3489)*2)/27.8</f>
        <v>10.6162790070789</v>
      </c>
      <c r="AK3489">
        <f t="shared" si="395"/>
        <v>181914.7968</v>
      </c>
    </row>
    <row r="3490" spans="1:37">
      <c r="A3490" t="s">
        <v>3556</v>
      </c>
      <c r="B3490">
        <v>43</v>
      </c>
      <c r="C3490" t="s">
        <v>50</v>
      </c>
      <c r="D3490" t="s">
        <v>60</v>
      </c>
      <c r="E3490">
        <v>874</v>
      </c>
      <c r="F3490">
        <v>2</v>
      </c>
      <c r="G3490">
        <v>30</v>
      </c>
      <c r="H3490">
        <v>1699.94</v>
      </c>
      <c r="I3490">
        <v>55110.11</v>
      </c>
      <c r="J3490">
        <v>161</v>
      </c>
      <c r="K3490">
        <v>2</v>
      </c>
      <c r="L3490">
        <v>11.7</v>
      </c>
      <c r="M3490">
        <v>19.2</v>
      </c>
      <c r="N3490" t="s">
        <v>63</v>
      </c>
      <c r="O3490" t="s">
        <v>47</v>
      </c>
      <c r="P3490" t="s">
        <v>66</v>
      </c>
      <c r="R3490">
        <f>SUMIF(A3490:A8489,"C03489",I3490:I8489)</f>
        <v>55110.11</v>
      </c>
      <c r="S3490" s="1">
        <v>77337.22</v>
      </c>
      <c r="T3490">
        <f t="shared" si="398"/>
        <v>342.298819875776</v>
      </c>
      <c r="U3490">
        <f t="shared" ref="U3490:U3553" si="399">J3490*M3490</f>
        <v>3091.2</v>
      </c>
      <c r="V3490">
        <f>U3490*2</f>
        <v>6182.4</v>
      </c>
      <c r="W3490">
        <f t="shared" si="396"/>
        <v>18937.0166666667</v>
      </c>
      <c r="X3490">
        <f t="shared" si="394"/>
        <v>0.514135793027989</v>
      </c>
      <c r="AH3490" t="str">
        <f t="shared" si="397"/>
        <v>2nd Quality</v>
      </c>
      <c r="AJ3490">
        <f>((T3490-X3490)*2)/11.7</f>
        <v>58.4247323218373</v>
      </c>
      <c r="AK3490">
        <f t="shared" si="395"/>
        <v>299169.168571429</v>
      </c>
    </row>
    <row r="3491" spans="1:37">
      <c r="A3491" t="s">
        <v>3557</v>
      </c>
      <c r="B3491">
        <v>51</v>
      </c>
      <c r="C3491" t="s">
        <v>50</v>
      </c>
      <c r="D3491" t="s">
        <v>51</v>
      </c>
      <c r="E3491">
        <v>657</v>
      </c>
      <c r="F3491">
        <v>20</v>
      </c>
      <c r="G3491">
        <v>2</v>
      </c>
      <c r="H3491">
        <v>10559.66</v>
      </c>
      <c r="I3491">
        <v>21932.22</v>
      </c>
      <c r="J3491">
        <v>9</v>
      </c>
      <c r="K3491">
        <v>0</v>
      </c>
      <c r="L3491">
        <v>7.9</v>
      </c>
      <c r="M3491">
        <v>16.1</v>
      </c>
      <c r="N3491" t="s">
        <v>61</v>
      </c>
      <c r="O3491" t="s">
        <v>47</v>
      </c>
      <c r="P3491" t="s">
        <v>48</v>
      </c>
      <c r="R3491">
        <f>SUMIF(A3491:A8490,"C03490",I3491:I8490)</f>
        <v>21932.22</v>
      </c>
      <c r="S3491" s="1">
        <v>1785.31</v>
      </c>
      <c r="T3491">
        <f t="shared" si="398"/>
        <v>2436.91333333333</v>
      </c>
      <c r="U3491">
        <f t="shared" si="399"/>
        <v>144.9</v>
      </c>
      <c r="V3491">
        <f t="shared" si="393"/>
        <v>12.075</v>
      </c>
      <c r="W3491">
        <f t="shared" si="396"/>
        <v>10830.96</v>
      </c>
      <c r="X3491">
        <f t="shared" si="394"/>
        <v>0.0622179123191466</v>
      </c>
      <c r="AH3491" t="str">
        <f t="shared" si="397"/>
        <v>3rd Quality</v>
      </c>
      <c r="AJ3491">
        <f>((T3491-X3491)*2)/7.9</f>
        <v>616.924333017977</v>
      </c>
      <c r="AK3491">
        <f t="shared" si="395"/>
        <v>1601052.06</v>
      </c>
    </row>
    <row r="3492" spans="1:37">
      <c r="A3492" t="s">
        <v>3558</v>
      </c>
      <c r="B3492">
        <v>42</v>
      </c>
      <c r="C3492" t="s">
        <v>44</v>
      </c>
      <c r="D3492" t="s">
        <v>60</v>
      </c>
      <c r="E3492">
        <v>861</v>
      </c>
      <c r="F3492">
        <v>28</v>
      </c>
      <c r="G3492">
        <v>6</v>
      </c>
      <c r="H3492">
        <v>8072.35</v>
      </c>
      <c r="I3492">
        <v>50447.02</v>
      </c>
      <c r="J3492">
        <v>48</v>
      </c>
      <c r="K3492">
        <v>1</v>
      </c>
      <c r="L3492">
        <v>2.1</v>
      </c>
      <c r="M3492">
        <v>9</v>
      </c>
      <c r="N3492" t="s">
        <v>52</v>
      </c>
      <c r="O3492" t="s">
        <v>47</v>
      </c>
      <c r="P3492" t="s">
        <v>68</v>
      </c>
      <c r="R3492">
        <f>SUMIF(A3492:A8491,"C03491",I3492:I8491)</f>
        <v>50447.02</v>
      </c>
      <c r="S3492" s="1">
        <v>20831.34</v>
      </c>
      <c r="T3492">
        <f t="shared" si="398"/>
        <v>1050.97958333333</v>
      </c>
      <c r="U3492">
        <f t="shared" si="399"/>
        <v>432</v>
      </c>
      <c r="V3492">
        <f>U3492*1</f>
        <v>432</v>
      </c>
      <c r="W3492">
        <f t="shared" si="396"/>
        <v>19506.79</v>
      </c>
      <c r="X3492">
        <f t="shared" si="394"/>
        <v>0.10666039009706</v>
      </c>
      <c r="AH3492" t="str">
        <f t="shared" si="397"/>
        <v>2nd Quality</v>
      </c>
      <c r="AJ3492">
        <f>((T3492-X3492)*2)/2.1</f>
        <v>1000.83135518403</v>
      </c>
      <c r="AK3492">
        <f t="shared" si="395"/>
        <v>904893.42125</v>
      </c>
    </row>
    <row r="3493" spans="1:37">
      <c r="A3493" t="s">
        <v>3559</v>
      </c>
      <c r="B3493">
        <v>18</v>
      </c>
      <c r="C3493" t="s">
        <v>44</v>
      </c>
      <c r="D3493" t="s">
        <v>60</v>
      </c>
      <c r="E3493">
        <v>842</v>
      </c>
      <c r="F3493">
        <v>16</v>
      </c>
      <c r="G3493">
        <v>24</v>
      </c>
      <c r="H3493">
        <v>2971.73</v>
      </c>
      <c r="I3493">
        <v>77337.22</v>
      </c>
      <c r="J3493">
        <v>153</v>
      </c>
      <c r="K3493">
        <v>1</v>
      </c>
      <c r="L3493">
        <v>5.6</v>
      </c>
      <c r="M3493">
        <v>37.5</v>
      </c>
      <c r="N3493" t="s">
        <v>61</v>
      </c>
      <c r="O3493" t="s">
        <v>47</v>
      </c>
      <c r="P3493" t="s">
        <v>58</v>
      </c>
      <c r="R3493">
        <f>SUMIF(A3493:A8492,"C03492",I3493:I8492)</f>
        <v>77337.22</v>
      </c>
      <c r="S3493" s="1">
        <v>62826.22</v>
      </c>
      <c r="T3493">
        <f t="shared" si="398"/>
        <v>505.472026143791</v>
      </c>
      <c r="U3493">
        <f t="shared" si="399"/>
        <v>5737.5</v>
      </c>
      <c r="V3493">
        <f>U3493*1</f>
        <v>5737.5</v>
      </c>
      <c r="W3493">
        <f t="shared" si="396"/>
        <v>26769.9833333333</v>
      </c>
      <c r="X3493">
        <f t="shared" si="394"/>
        <v>0.283336642292537</v>
      </c>
      <c r="AH3493" t="str">
        <f t="shared" si="397"/>
        <v>2nd Quality</v>
      </c>
      <c r="AJ3493">
        <f>((T3493-X3493)*2)/5.6</f>
        <v>180.424531964821</v>
      </c>
      <c r="AK3493">
        <f t="shared" si="395"/>
        <v>425607.446013072</v>
      </c>
    </row>
    <row r="3494" spans="1:37">
      <c r="A3494" t="s">
        <v>3560</v>
      </c>
      <c r="B3494">
        <v>50</v>
      </c>
      <c r="C3494" t="s">
        <v>44</v>
      </c>
      <c r="D3494" t="s">
        <v>60</v>
      </c>
      <c r="E3494">
        <v>1020</v>
      </c>
      <c r="F3494">
        <v>168</v>
      </c>
      <c r="G3494">
        <v>3</v>
      </c>
      <c r="H3494">
        <v>657.98</v>
      </c>
      <c r="I3494">
        <v>1785.31</v>
      </c>
      <c r="J3494">
        <v>29</v>
      </c>
      <c r="K3494">
        <v>1</v>
      </c>
      <c r="L3494">
        <v>24.3</v>
      </c>
      <c r="M3494">
        <v>36.6</v>
      </c>
      <c r="N3494" t="s">
        <v>57</v>
      </c>
      <c r="O3494" t="s">
        <v>47</v>
      </c>
      <c r="P3494" t="s">
        <v>54</v>
      </c>
      <c r="R3494">
        <f>SUMIF(A3494:A8493,"C03493",I3494:I8493)</f>
        <v>1785.31</v>
      </c>
      <c r="S3494" s="1">
        <v>1880.65</v>
      </c>
      <c r="T3494">
        <f t="shared" si="398"/>
        <v>61.5624137931034</v>
      </c>
      <c r="U3494">
        <f t="shared" si="399"/>
        <v>1061.4</v>
      </c>
      <c r="V3494">
        <f>U3494*1</f>
        <v>1061.4</v>
      </c>
      <c r="W3494">
        <f t="shared" si="396"/>
        <v>814.763333333333</v>
      </c>
      <c r="X3494">
        <f t="shared" si="394"/>
        <v>1.55019909419739</v>
      </c>
      <c r="AH3494" t="str">
        <f t="shared" si="397"/>
        <v>3rd Quality</v>
      </c>
      <c r="AJ3494">
        <f>((T3494-X3494)*2)/24.3</f>
        <v>4.93927692995111</v>
      </c>
      <c r="AK3494">
        <f t="shared" si="395"/>
        <v>62793.6620689655</v>
      </c>
    </row>
    <row r="3495" spans="1:37">
      <c r="A3495" t="s">
        <v>3561</v>
      </c>
      <c r="B3495">
        <v>27</v>
      </c>
      <c r="C3495" t="s">
        <v>44</v>
      </c>
      <c r="D3495" t="s">
        <v>45</v>
      </c>
      <c r="E3495">
        <v>931</v>
      </c>
      <c r="F3495">
        <v>26</v>
      </c>
      <c r="G3495">
        <v>3</v>
      </c>
      <c r="H3495">
        <v>6614.13</v>
      </c>
      <c r="I3495">
        <v>20831.34</v>
      </c>
      <c r="J3495">
        <v>30</v>
      </c>
      <c r="K3495">
        <v>0</v>
      </c>
      <c r="L3495">
        <v>0</v>
      </c>
      <c r="M3495">
        <v>22</v>
      </c>
      <c r="N3495" t="s">
        <v>61</v>
      </c>
      <c r="O3495" t="s">
        <v>47</v>
      </c>
      <c r="P3495" t="s">
        <v>54</v>
      </c>
      <c r="R3495">
        <f>SUMIF(A3495:A8494,"C03494",I3495:I8494)</f>
        <v>20831.34</v>
      </c>
      <c r="S3495" s="1">
        <v>1571.72</v>
      </c>
      <c r="T3495">
        <f t="shared" si="398"/>
        <v>694.378</v>
      </c>
      <c r="U3495">
        <f t="shared" si="399"/>
        <v>660</v>
      </c>
      <c r="V3495">
        <f t="shared" si="393"/>
        <v>55</v>
      </c>
      <c r="W3495">
        <f t="shared" si="396"/>
        <v>9148.82333333333</v>
      </c>
      <c r="X3495">
        <f t="shared" si="394"/>
        <v>0.140759253295596</v>
      </c>
      <c r="AH3495" t="str">
        <f t="shared" si="397"/>
        <v>2nd Quality</v>
      </c>
      <c r="AJ3495">
        <f>((T3495-X3495)*2)</f>
        <v>1388.47448149341</v>
      </c>
      <c r="AK3495">
        <f t="shared" si="395"/>
        <v>646465.918</v>
      </c>
    </row>
    <row r="3496" spans="1:37">
      <c r="A3496" t="s">
        <v>3562</v>
      </c>
      <c r="B3496">
        <v>29</v>
      </c>
      <c r="C3496" t="s">
        <v>50</v>
      </c>
      <c r="D3496" t="s">
        <v>45</v>
      </c>
      <c r="E3496">
        <v>1024</v>
      </c>
      <c r="F3496">
        <v>8</v>
      </c>
      <c r="G3496">
        <v>26</v>
      </c>
      <c r="H3496">
        <v>2658.93</v>
      </c>
      <c r="I3496">
        <v>62826.22</v>
      </c>
      <c r="J3496">
        <v>190</v>
      </c>
      <c r="K3496">
        <v>0</v>
      </c>
      <c r="L3496">
        <v>8.8</v>
      </c>
      <c r="M3496">
        <v>21.7</v>
      </c>
      <c r="N3496" t="s">
        <v>52</v>
      </c>
      <c r="O3496" t="s">
        <v>75</v>
      </c>
      <c r="P3496" t="s">
        <v>58</v>
      </c>
      <c r="R3496">
        <f>SUMIF(A3496:A8495,"C03495",I3496:I8495)</f>
        <v>62826.22</v>
      </c>
      <c r="S3496" s="1">
        <v>3771.94</v>
      </c>
      <c r="T3496">
        <f t="shared" si="398"/>
        <v>330.664315789474</v>
      </c>
      <c r="U3496">
        <f t="shared" si="399"/>
        <v>4123</v>
      </c>
      <c r="V3496">
        <f t="shared" si="393"/>
        <v>343.583333333333</v>
      </c>
      <c r="W3496">
        <f t="shared" si="396"/>
        <v>21828.7166666667</v>
      </c>
      <c r="X3496">
        <f t="shared" si="394"/>
        <v>0.385117321629377</v>
      </c>
      <c r="AH3496" t="str">
        <f t="shared" si="397"/>
        <v>1st Quality</v>
      </c>
      <c r="AJ3496">
        <f>((T3496-X3496)*2)/8.8</f>
        <v>75.0634541972374</v>
      </c>
      <c r="AK3496">
        <f t="shared" si="395"/>
        <v>338600.259368421</v>
      </c>
    </row>
    <row r="3497" spans="1:37">
      <c r="A3497" t="s">
        <v>3563</v>
      </c>
      <c r="B3497">
        <v>19</v>
      </c>
      <c r="C3497" t="s">
        <v>50</v>
      </c>
      <c r="D3497" t="s">
        <v>60</v>
      </c>
      <c r="E3497">
        <v>1398</v>
      </c>
      <c r="F3497">
        <v>188</v>
      </c>
      <c r="G3497">
        <v>2</v>
      </c>
      <c r="H3497">
        <v>1056.36</v>
      </c>
      <c r="I3497">
        <v>1880.65</v>
      </c>
      <c r="J3497">
        <v>13</v>
      </c>
      <c r="K3497">
        <v>0</v>
      </c>
      <c r="L3497">
        <v>34.5</v>
      </c>
      <c r="M3497">
        <v>28.6</v>
      </c>
      <c r="N3497" t="s">
        <v>57</v>
      </c>
      <c r="O3497" t="s">
        <v>47</v>
      </c>
      <c r="P3497" t="s">
        <v>58</v>
      </c>
      <c r="R3497">
        <f>SUMIF(A3497:A8496,"C03496",I3497:I8496)</f>
        <v>1880.65</v>
      </c>
      <c r="S3497" s="1">
        <v>14262.09</v>
      </c>
      <c r="T3497">
        <f t="shared" si="398"/>
        <v>144.665384615385</v>
      </c>
      <c r="U3497">
        <f t="shared" si="399"/>
        <v>371.8</v>
      </c>
      <c r="V3497">
        <f t="shared" si="393"/>
        <v>30.9833333333333</v>
      </c>
      <c r="W3497">
        <f t="shared" si="396"/>
        <v>979.336666666667</v>
      </c>
      <c r="X3497">
        <f t="shared" si="394"/>
        <v>1.32341247302056</v>
      </c>
      <c r="AH3497" t="str">
        <f t="shared" si="397"/>
        <v>3rd Quality</v>
      </c>
      <c r="AJ3497">
        <f>((T3497-X3497)*2)/34.5</f>
        <v>8.30967954448489</v>
      </c>
      <c r="AK3497">
        <f t="shared" si="395"/>
        <v>202242.207692308</v>
      </c>
    </row>
    <row r="3498" spans="1:37">
      <c r="A3498" t="s">
        <v>3564</v>
      </c>
      <c r="B3498">
        <v>28</v>
      </c>
      <c r="C3498" t="s">
        <v>101</v>
      </c>
      <c r="D3498" t="s">
        <v>45</v>
      </c>
      <c r="E3498">
        <v>1376</v>
      </c>
      <c r="F3498">
        <v>117</v>
      </c>
      <c r="G3498">
        <v>2</v>
      </c>
      <c r="H3498">
        <v>760.56</v>
      </c>
      <c r="I3498">
        <v>1571.72</v>
      </c>
      <c r="J3498">
        <v>22</v>
      </c>
      <c r="K3498">
        <v>0</v>
      </c>
      <c r="L3498">
        <v>25.7</v>
      </c>
      <c r="M3498">
        <v>26.4</v>
      </c>
      <c r="N3498" t="s">
        <v>57</v>
      </c>
      <c r="O3498" t="s">
        <v>75</v>
      </c>
      <c r="P3498" t="s">
        <v>66</v>
      </c>
      <c r="R3498">
        <f>SUMIF(A3498:A8497,"C03497",I3498:I8497)</f>
        <v>1571.72</v>
      </c>
      <c r="S3498" s="1">
        <v>3839.27</v>
      </c>
      <c r="T3498">
        <f t="shared" si="398"/>
        <v>71.4418181818182</v>
      </c>
      <c r="U3498">
        <f t="shared" si="399"/>
        <v>580.8</v>
      </c>
      <c r="V3498">
        <f t="shared" si="393"/>
        <v>48.4</v>
      </c>
      <c r="W3498">
        <f t="shared" si="396"/>
        <v>777.76</v>
      </c>
      <c r="X3498">
        <f t="shared" si="394"/>
        <v>1.80919322604397</v>
      </c>
      <c r="AH3498" t="str">
        <f t="shared" si="397"/>
        <v>3rd Quality</v>
      </c>
      <c r="AJ3498">
        <f>((T3498-X3498)*2)/25.7</f>
        <v>5.4188813195155</v>
      </c>
      <c r="AK3498">
        <f t="shared" si="395"/>
        <v>98303.9418181818</v>
      </c>
    </row>
    <row r="3499" spans="1:37">
      <c r="A3499" t="s">
        <v>3565</v>
      </c>
      <c r="B3499">
        <v>37</v>
      </c>
      <c r="C3499" t="s">
        <v>50</v>
      </c>
      <c r="D3499" t="s">
        <v>60</v>
      </c>
      <c r="E3499">
        <v>378</v>
      </c>
      <c r="F3499">
        <v>140</v>
      </c>
      <c r="G3499">
        <v>4</v>
      </c>
      <c r="H3499">
        <v>997.55</v>
      </c>
      <c r="I3499">
        <v>3771.94</v>
      </c>
      <c r="J3499">
        <v>34</v>
      </c>
      <c r="K3499">
        <v>1</v>
      </c>
      <c r="L3499">
        <v>20.3</v>
      </c>
      <c r="M3499">
        <v>17.3</v>
      </c>
      <c r="N3499" t="s">
        <v>57</v>
      </c>
      <c r="O3499" t="s">
        <v>75</v>
      </c>
      <c r="P3499" t="s">
        <v>68</v>
      </c>
      <c r="R3499">
        <f>SUMIF(A3499:A8498,"C03498",I3499:I8498)</f>
        <v>3771.94</v>
      </c>
      <c r="S3499" s="1">
        <v>14100.28</v>
      </c>
      <c r="T3499">
        <f t="shared" si="398"/>
        <v>110.939411764706</v>
      </c>
      <c r="U3499">
        <f t="shared" si="399"/>
        <v>588.2</v>
      </c>
      <c r="V3499">
        <f>U3499*1</f>
        <v>588.2</v>
      </c>
      <c r="W3499">
        <f t="shared" si="396"/>
        <v>1590.16333333333</v>
      </c>
      <c r="X3499">
        <f t="shared" si="394"/>
        <v>0.378928374517568</v>
      </c>
      <c r="AH3499" t="str">
        <f t="shared" si="397"/>
        <v>3rd Quality</v>
      </c>
      <c r="AJ3499">
        <f>((T3499-X3499)*2)/20.3</f>
        <v>10.8926584620875</v>
      </c>
      <c r="AK3499">
        <f t="shared" si="395"/>
        <v>41935.0976470588</v>
      </c>
    </row>
    <row r="3500" spans="1:37">
      <c r="A3500" t="s">
        <v>3566</v>
      </c>
      <c r="B3500">
        <v>21</v>
      </c>
      <c r="C3500" t="s">
        <v>44</v>
      </c>
      <c r="D3500" t="s">
        <v>60</v>
      </c>
      <c r="E3500">
        <v>1072</v>
      </c>
      <c r="F3500">
        <v>26</v>
      </c>
      <c r="G3500">
        <v>13</v>
      </c>
      <c r="H3500">
        <v>1231.28</v>
      </c>
      <c r="I3500">
        <v>14262.09</v>
      </c>
      <c r="J3500">
        <v>57</v>
      </c>
      <c r="K3500">
        <v>2</v>
      </c>
      <c r="L3500">
        <v>29</v>
      </c>
      <c r="M3500">
        <v>16.3</v>
      </c>
      <c r="N3500" t="s">
        <v>57</v>
      </c>
      <c r="O3500" t="s">
        <v>47</v>
      </c>
      <c r="P3500" t="s">
        <v>58</v>
      </c>
      <c r="R3500">
        <f>SUMIF(A3500:A8499,"C03499",I3500:I8499)</f>
        <v>14262.09</v>
      </c>
      <c r="S3500" s="1">
        <v>43328.41</v>
      </c>
      <c r="T3500">
        <f t="shared" si="398"/>
        <v>250.212105263158</v>
      </c>
      <c r="U3500">
        <f t="shared" si="399"/>
        <v>929.1</v>
      </c>
      <c r="V3500">
        <f>U3500*2</f>
        <v>1858.2</v>
      </c>
      <c r="W3500">
        <f t="shared" si="396"/>
        <v>5164.79</v>
      </c>
      <c r="X3500">
        <f t="shared" si="394"/>
        <v>0.870638684945748</v>
      </c>
      <c r="AH3500" t="str">
        <f t="shared" si="397"/>
        <v>3rd Quality</v>
      </c>
      <c r="AJ3500">
        <f>((T3500-X3500)*2)/298</f>
        <v>1.67343266159874</v>
      </c>
      <c r="AK3500">
        <f t="shared" si="395"/>
        <v>268227.376842105</v>
      </c>
    </row>
    <row r="3501" spans="1:37">
      <c r="A3501" t="s">
        <v>3567</v>
      </c>
      <c r="B3501">
        <v>32</v>
      </c>
      <c r="C3501" t="s">
        <v>44</v>
      </c>
      <c r="D3501" t="s">
        <v>45</v>
      </c>
      <c r="E3501">
        <v>606</v>
      </c>
      <c r="F3501">
        <v>186</v>
      </c>
      <c r="G3501">
        <v>4</v>
      </c>
      <c r="H3501">
        <v>1072.24</v>
      </c>
      <c r="I3501">
        <v>3839.27</v>
      </c>
      <c r="J3501">
        <v>27</v>
      </c>
      <c r="K3501">
        <v>0</v>
      </c>
      <c r="L3501">
        <v>38.5</v>
      </c>
      <c r="M3501">
        <v>8.3</v>
      </c>
      <c r="N3501" t="s">
        <v>78</v>
      </c>
      <c r="O3501" t="s">
        <v>75</v>
      </c>
      <c r="P3501" t="s">
        <v>68</v>
      </c>
      <c r="R3501">
        <f>SUMIF(A3501:A8500,"C03500",I3501:I8500)</f>
        <v>3839.27</v>
      </c>
      <c r="S3501" s="1">
        <v>50092.95</v>
      </c>
      <c r="T3501">
        <f t="shared" si="398"/>
        <v>142.195185185185</v>
      </c>
      <c r="U3501">
        <f t="shared" si="399"/>
        <v>224.1</v>
      </c>
      <c r="V3501">
        <f t="shared" si="393"/>
        <v>18.675</v>
      </c>
      <c r="W3501">
        <f t="shared" si="396"/>
        <v>1637.50333333333</v>
      </c>
      <c r="X3501">
        <f t="shared" si="394"/>
        <v>0.565171976423189</v>
      </c>
      <c r="AH3501" t="str">
        <f t="shared" si="397"/>
        <v>3rd Quality</v>
      </c>
      <c r="AJ3501">
        <f>((T3501-X3501)*2)/38.5</f>
        <v>7.35740328357204</v>
      </c>
      <c r="AK3501">
        <f t="shared" si="395"/>
        <v>86170.2822222222</v>
      </c>
    </row>
    <row r="3502" spans="1:37">
      <c r="A3502" t="s">
        <v>3568</v>
      </c>
      <c r="B3502">
        <v>18</v>
      </c>
      <c r="C3502" t="s">
        <v>44</v>
      </c>
      <c r="D3502" t="s">
        <v>51</v>
      </c>
      <c r="E3502">
        <v>444</v>
      </c>
      <c r="F3502">
        <v>21</v>
      </c>
      <c r="G3502">
        <v>8</v>
      </c>
      <c r="H3502">
        <v>1580.57</v>
      </c>
      <c r="I3502">
        <v>14100.28</v>
      </c>
      <c r="J3502">
        <v>43</v>
      </c>
      <c r="K3502">
        <v>1</v>
      </c>
      <c r="L3502">
        <v>18.9</v>
      </c>
      <c r="M3502">
        <v>36.8</v>
      </c>
      <c r="N3502" t="s">
        <v>81</v>
      </c>
      <c r="O3502" t="s">
        <v>75</v>
      </c>
      <c r="P3502" t="s">
        <v>58</v>
      </c>
      <c r="R3502">
        <f>SUMIF(A3502:A8501,"C03501",I3502:I8501)</f>
        <v>14100.28</v>
      </c>
      <c r="S3502" s="1">
        <v>51576.69</v>
      </c>
      <c r="T3502">
        <f t="shared" si="398"/>
        <v>327.913488372093</v>
      </c>
      <c r="U3502">
        <f t="shared" si="399"/>
        <v>1582.4</v>
      </c>
      <c r="V3502">
        <f>U3502*1</f>
        <v>1582.4</v>
      </c>
      <c r="W3502">
        <f t="shared" si="396"/>
        <v>5227.28333333333</v>
      </c>
      <c r="X3502">
        <f t="shared" si="394"/>
        <v>0.280911316803432</v>
      </c>
      <c r="AH3502" t="str">
        <f t="shared" si="397"/>
        <v>3rd Quality</v>
      </c>
      <c r="AJ3502">
        <f>((T3502-X3502)*2)/18.9</f>
        <v>34.6701139741047</v>
      </c>
      <c r="AK3502">
        <f t="shared" si="395"/>
        <v>145593.588837209</v>
      </c>
    </row>
    <row r="3503" spans="1:37">
      <c r="A3503" t="s">
        <v>3569</v>
      </c>
      <c r="B3503">
        <v>40</v>
      </c>
      <c r="C3503" t="s">
        <v>44</v>
      </c>
      <c r="D3503" t="s">
        <v>60</v>
      </c>
      <c r="E3503">
        <v>470</v>
      </c>
      <c r="F3503">
        <v>100</v>
      </c>
      <c r="G3503">
        <v>6</v>
      </c>
      <c r="H3503">
        <v>7735.48</v>
      </c>
      <c r="I3503">
        <v>43328.41</v>
      </c>
      <c r="J3503">
        <v>37</v>
      </c>
      <c r="K3503">
        <v>0</v>
      </c>
      <c r="L3503">
        <v>0</v>
      </c>
      <c r="M3503">
        <v>8.8</v>
      </c>
      <c r="N3503" t="s">
        <v>81</v>
      </c>
      <c r="O3503" t="s">
        <v>75</v>
      </c>
      <c r="P3503" t="s">
        <v>58</v>
      </c>
      <c r="R3503">
        <f>SUMIF(A3503:A8502,"C03502",I3503:I8502)</f>
        <v>43328.41</v>
      </c>
      <c r="S3503" s="1">
        <v>2067.58</v>
      </c>
      <c r="T3503">
        <f t="shared" si="398"/>
        <v>1171.03810810811</v>
      </c>
      <c r="U3503">
        <f t="shared" si="399"/>
        <v>325.6</v>
      </c>
      <c r="V3503">
        <f t="shared" si="393"/>
        <v>27.1333333333333</v>
      </c>
      <c r="W3503">
        <f t="shared" si="396"/>
        <v>17021.63</v>
      </c>
      <c r="X3503">
        <f t="shared" si="394"/>
        <v>0.0607589962096728</v>
      </c>
      <c r="AH3503" t="str">
        <f t="shared" si="397"/>
        <v>2nd Quality</v>
      </c>
      <c r="AJ3503">
        <f>((T3503-X3503)*2)</f>
        <v>2341.9546982238</v>
      </c>
      <c r="AK3503">
        <f t="shared" si="395"/>
        <v>550387.910810811</v>
      </c>
    </row>
    <row r="3504" spans="1:37">
      <c r="A3504" t="s">
        <v>3570</v>
      </c>
      <c r="B3504">
        <v>29</v>
      </c>
      <c r="C3504" t="s">
        <v>50</v>
      </c>
      <c r="D3504" t="s">
        <v>60</v>
      </c>
      <c r="E3504">
        <v>1066</v>
      </c>
      <c r="F3504">
        <v>3</v>
      </c>
      <c r="G3504">
        <v>23</v>
      </c>
      <c r="H3504">
        <v>2227.22</v>
      </c>
      <c r="I3504">
        <v>50092.95</v>
      </c>
      <c r="J3504">
        <v>49</v>
      </c>
      <c r="K3504">
        <v>0</v>
      </c>
      <c r="L3504">
        <v>8</v>
      </c>
      <c r="M3504">
        <v>21.3</v>
      </c>
      <c r="N3504" t="s">
        <v>78</v>
      </c>
      <c r="O3504" t="s">
        <v>47</v>
      </c>
      <c r="P3504" t="s">
        <v>48</v>
      </c>
      <c r="R3504">
        <f>SUMIF(A3504:A8503,"C03503",I3504:I8503)</f>
        <v>50092.95</v>
      </c>
      <c r="S3504" s="1">
        <v>41263.75</v>
      </c>
      <c r="T3504">
        <f t="shared" si="398"/>
        <v>1022.30510204082</v>
      </c>
      <c r="U3504">
        <f t="shared" si="399"/>
        <v>1043.7</v>
      </c>
      <c r="V3504">
        <f t="shared" si="393"/>
        <v>86.975</v>
      </c>
      <c r="W3504">
        <f t="shared" si="396"/>
        <v>17440.39</v>
      </c>
      <c r="X3504">
        <f t="shared" si="394"/>
        <v>0.478623575578524</v>
      </c>
      <c r="AH3504" t="str">
        <f t="shared" si="397"/>
        <v>1st Quality</v>
      </c>
      <c r="AJ3504">
        <f>((T3504-X3504)*2)/8</f>
        <v>255.45661961631</v>
      </c>
      <c r="AK3504">
        <f t="shared" si="395"/>
        <v>1089777.23877551</v>
      </c>
    </row>
    <row r="3505" spans="1:37">
      <c r="A3505" t="s">
        <v>3571</v>
      </c>
      <c r="B3505">
        <v>36</v>
      </c>
      <c r="C3505" t="s">
        <v>50</v>
      </c>
      <c r="D3505" t="s">
        <v>60</v>
      </c>
      <c r="E3505">
        <v>1451</v>
      </c>
      <c r="F3505">
        <v>30</v>
      </c>
      <c r="G3505">
        <v>4</v>
      </c>
      <c r="H3505">
        <v>13659.56</v>
      </c>
      <c r="I3505">
        <v>51576.69</v>
      </c>
      <c r="J3505">
        <v>33</v>
      </c>
      <c r="K3505">
        <v>0</v>
      </c>
      <c r="L3505">
        <v>8</v>
      </c>
      <c r="M3505">
        <v>49.9</v>
      </c>
      <c r="N3505" t="s">
        <v>63</v>
      </c>
      <c r="O3505" t="s">
        <v>47</v>
      </c>
      <c r="P3505" t="s">
        <v>58</v>
      </c>
      <c r="R3505">
        <f>SUMIF(A3505:A8504,"C03504",I3505:I8504)</f>
        <v>51576.69</v>
      </c>
      <c r="S3505" s="1">
        <v>38850.37</v>
      </c>
      <c r="T3505">
        <f t="shared" si="398"/>
        <v>1562.93</v>
      </c>
      <c r="U3505">
        <f t="shared" si="399"/>
        <v>1646.7</v>
      </c>
      <c r="V3505">
        <f t="shared" si="393"/>
        <v>137.225</v>
      </c>
      <c r="W3505">
        <f t="shared" si="396"/>
        <v>21745.75</v>
      </c>
      <c r="X3505">
        <f t="shared" si="394"/>
        <v>0.106225969211307</v>
      </c>
      <c r="AH3505" t="str">
        <f t="shared" si="397"/>
        <v>2nd Quality</v>
      </c>
      <c r="AJ3505">
        <f>((T3505-X3505)*2)/8</f>
        <v>390.705943507697</v>
      </c>
      <c r="AK3505">
        <f t="shared" si="395"/>
        <v>2267811.43</v>
      </c>
    </row>
    <row r="3506" spans="1:37">
      <c r="A3506" t="s">
        <v>3572</v>
      </c>
      <c r="B3506">
        <v>27</v>
      </c>
      <c r="C3506" t="s">
        <v>44</v>
      </c>
      <c r="D3506" t="s">
        <v>60</v>
      </c>
      <c r="E3506">
        <v>1221</v>
      </c>
      <c r="F3506">
        <v>29</v>
      </c>
      <c r="G3506">
        <v>3</v>
      </c>
      <c r="H3506">
        <v>624</v>
      </c>
      <c r="I3506">
        <v>2067.58</v>
      </c>
      <c r="J3506">
        <v>23</v>
      </c>
      <c r="K3506">
        <v>0</v>
      </c>
      <c r="L3506">
        <v>25.9</v>
      </c>
      <c r="M3506">
        <v>12.3</v>
      </c>
      <c r="N3506" t="s">
        <v>63</v>
      </c>
      <c r="O3506" t="s">
        <v>47</v>
      </c>
      <c r="P3506" t="s">
        <v>58</v>
      </c>
      <c r="R3506">
        <f>SUMIF(A3506:A8505,"C03505",I3506:I8505)</f>
        <v>2067.58</v>
      </c>
      <c r="S3506" s="1">
        <v>2127.15</v>
      </c>
      <c r="T3506">
        <f t="shared" si="398"/>
        <v>89.8947826086956</v>
      </c>
      <c r="U3506">
        <f t="shared" si="399"/>
        <v>282.9</v>
      </c>
      <c r="V3506">
        <f t="shared" si="393"/>
        <v>23.575</v>
      </c>
      <c r="W3506">
        <f t="shared" si="396"/>
        <v>897.526666666667</v>
      </c>
      <c r="X3506">
        <f t="shared" si="394"/>
        <v>1.95673076923077</v>
      </c>
      <c r="AH3506" t="str">
        <f t="shared" si="397"/>
        <v>3rd Quality</v>
      </c>
      <c r="AJ3506">
        <f>((T3506-X3506)*2)/25.9</f>
        <v>6.79058315362663</v>
      </c>
      <c r="AK3506">
        <f t="shared" si="395"/>
        <v>109761.529565217</v>
      </c>
    </row>
    <row r="3507" spans="1:37">
      <c r="A3507" t="s">
        <v>3573</v>
      </c>
      <c r="B3507">
        <v>36</v>
      </c>
      <c r="C3507" t="s">
        <v>44</v>
      </c>
      <c r="D3507" t="s">
        <v>45</v>
      </c>
      <c r="E3507">
        <v>514</v>
      </c>
      <c r="F3507">
        <v>42</v>
      </c>
      <c r="G3507">
        <v>4</v>
      </c>
      <c r="H3507">
        <v>11491.3</v>
      </c>
      <c r="I3507">
        <v>41263.75</v>
      </c>
      <c r="J3507">
        <v>37</v>
      </c>
      <c r="K3507">
        <v>0</v>
      </c>
      <c r="L3507">
        <v>0</v>
      </c>
      <c r="M3507">
        <v>24.7</v>
      </c>
      <c r="N3507" t="s">
        <v>81</v>
      </c>
      <c r="O3507" t="s">
        <v>47</v>
      </c>
      <c r="P3507" t="s">
        <v>58</v>
      </c>
      <c r="R3507">
        <f>SUMIF(A3507:A8506,"C03506",I3507:I8506)</f>
        <v>41263.75</v>
      </c>
      <c r="S3507" s="1">
        <v>1046.82</v>
      </c>
      <c r="T3507">
        <f t="shared" si="398"/>
        <v>1115.23648648649</v>
      </c>
      <c r="U3507">
        <f t="shared" si="399"/>
        <v>913.9</v>
      </c>
      <c r="V3507">
        <f t="shared" si="393"/>
        <v>76.1583333333333</v>
      </c>
      <c r="W3507">
        <f t="shared" si="396"/>
        <v>17585.35</v>
      </c>
      <c r="X3507">
        <f t="shared" si="394"/>
        <v>0.0447294910062395</v>
      </c>
      <c r="AH3507" t="str">
        <f t="shared" si="397"/>
        <v>2nd Quality</v>
      </c>
      <c r="AJ3507">
        <f>((T3507-X3507)*2)</f>
        <v>2230.38351399097</v>
      </c>
      <c r="AK3507">
        <f t="shared" si="395"/>
        <v>573231.554054054</v>
      </c>
    </row>
    <row r="3508" spans="1:37">
      <c r="A3508" t="s">
        <v>3574</v>
      </c>
      <c r="B3508">
        <v>25</v>
      </c>
      <c r="C3508" t="s">
        <v>44</v>
      </c>
      <c r="D3508" t="s">
        <v>60</v>
      </c>
      <c r="E3508">
        <v>599</v>
      </c>
      <c r="F3508">
        <v>64</v>
      </c>
      <c r="G3508">
        <v>4</v>
      </c>
      <c r="H3508">
        <v>9612.91</v>
      </c>
      <c r="I3508">
        <v>38850.37</v>
      </c>
      <c r="J3508">
        <v>29</v>
      </c>
      <c r="K3508">
        <v>1</v>
      </c>
      <c r="L3508">
        <v>12.7</v>
      </c>
      <c r="M3508">
        <v>16</v>
      </c>
      <c r="N3508" t="s">
        <v>63</v>
      </c>
      <c r="O3508" t="s">
        <v>47</v>
      </c>
      <c r="P3508" t="s">
        <v>48</v>
      </c>
      <c r="R3508">
        <f>SUMIF(A3508:A8507,"C03507",I3508:I8507)</f>
        <v>38850.37</v>
      </c>
      <c r="S3508" s="1">
        <v>19898.39</v>
      </c>
      <c r="T3508">
        <f t="shared" si="398"/>
        <v>1339.66793103448</v>
      </c>
      <c r="U3508">
        <f t="shared" si="399"/>
        <v>464</v>
      </c>
      <c r="V3508">
        <f>U3508*1</f>
        <v>464</v>
      </c>
      <c r="W3508">
        <f t="shared" si="396"/>
        <v>16154.76</v>
      </c>
      <c r="X3508">
        <f t="shared" si="394"/>
        <v>0.062312036625746</v>
      </c>
      <c r="AH3508" t="str">
        <f t="shared" si="397"/>
        <v>2nd Quality</v>
      </c>
      <c r="AJ3508">
        <f>((T3508-X3508)*2)/12.7</f>
        <v>210.961514802812</v>
      </c>
      <c r="AK3508">
        <f t="shared" si="395"/>
        <v>802461.090689655</v>
      </c>
    </row>
    <row r="3509" spans="1:37">
      <c r="A3509" t="s">
        <v>3575</v>
      </c>
      <c r="B3509">
        <v>21</v>
      </c>
      <c r="C3509" t="s">
        <v>44</v>
      </c>
      <c r="D3509" t="s">
        <v>60</v>
      </c>
      <c r="E3509">
        <v>1268</v>
      </c>
      <c r="F3509">
        <v>141</v>
      </c>
      <c r="G3509">
        <v>3</v>
      </c>
      <c r="H3509">
        <v>712.85</v>
      </c>
      <c r="I3509">
        <v>2127.15</v>
      </c>
      <c r="J3509">
        <v>30</v>
      </c>
      <c r="K3509">
        <v>0</v>
      </c>
      <c r="L3509">
        <v>30.7</v>
      </c>
      <c r="M3509">
        <v>16.4</v>
      </c>
      <c r="N3509" t="s">
        <v>81</v>
      </c>
      <c r="O3509" t="s">
        <v>53</v>
      </c>
      <c r="P3509" t="s">
        <v>48</v>
      </c>
      <c r="R3509">
        <f>SUMIF(A3509:A8508,"C03508",I3509:I8508)</f>
        <v>2127.15</v>
      </c>
      <c r="S3509" s="1">
        <v>1897.62</v>
      </c>
      <c r="T3509">
        <f t="shared" si="398"/>
        <v>70.905</v>
      </c>
      <c r="U3509">
        <f t="shared" si="399"/>
        <v>492</v>
      </c>
      <c r="V3509">
        <f t="shared" si="393"/>
        <v>41</v>
      </c>
      <c r="W3509">
        <f t="shared" si="396"/>
        <v>947</v>
      </c>
      <c r="X3509">
        <f t="shared" si="394"/>
        <v>1.77877533843024</v>
      </c>
      <c r="AH3509" t="str">
        <f t="shared" si="397"/>
        <v>3rd Quality</v>
      </c>
      <c r="AJ3509">
        <f>((T3509-X3509)*2)/30.7</f>
        <v>4.50333711150292</v>
      </c>
      <c r="AK3509">
        <f t="shared" si="395"/>
        <v>89907.54</v>
      </c>
    </row>
    <row r="3510" spans="1:37">
      <c r="A3510" t="s">
        <v>3576</v>
      </c>
      <c r="B3510">
        <v>35</v>
      </c>
      <c r="C3510" t="s">
        <v>50</v>
      </c>
      <c r="D3510" t="s">
        <v>60</v>
      </c>
      <c r="E3510">
        <v>1032</v>
      </c>
      <c r="F3510">
        <v>65</v>
      </c>
      <c r="G3510">
        <v>1</v>
      </c>
      <c r="H3510">
        <v>1000.68</v>
      </c>
      <c r="I3510">
        <v>1046.82</v>
      </c>
      <c r="J3510">
        <v>10</v>
      </c>
      <c r="K3510">
        <v>0</v>
      </c>
      <c r="L3510">
        <v>39.8</v>
      </c>
      <c r="M3510">
        <v>15.4</v>
      </c>
      <c r="N3510" t="s">
        <v>46</v>
      </c>
      <c r="O3510" t="s">
        <v>53</v>
      </c>
      <c r="P3510" t="s">
        <v>58</v>
      </c>
      <c r="R3510">
        <f>SUMIF(A3510:A8509,"C03509",I3510:I8509)</f>
        <v>1046.82</v>
      </c>
      <c r="S3510" s="1">
        <v>2367.64</v>
      </c>
      <c r="T3510">
        <f t="shared" si="398"/>
        <v>104.682</v>
      </c>
      <c r="U3510">
        <f t="shared" si="399"/>
        <v>154</v>
      </c>
      <c r="V3510">
        <f t="shared" ref="V3510:V3573" si="400">U3510/12</f>
        <v>12.8333333333333</v>
      </c>
      <c r="W3510">
        <f t="shared" si="396"/>
        <v>682.833333333333</v>
      </c>
      <c r="X3510">
        <f t="shared" si="394"/>
        <v>1.03129871687253</v>
      </c>
      <c r="AH3510" t="str">
        <f t="shared" si="397"/>
        <v>3rd Quality</v>
      </c>
      <c r="AJ3510">
        <f>((T3510-X3510)*2)/39.8</f>
        <v>5.208577953926</v>
      </c>
      <c r="AK3510">
        <f t="shared" si="395"/>
        <v>108031.824</v>
      </c>
    </row>
    <row r="3511" spans="1:37">
      <c r="A3511" t="s">
        <v>3577</v>
      </c>
      <c r="B3511">
        <v>48</v>
      </c>
      <c r="C3511" t="s">
        <v>50</v>
      </c>
      <c r="D3511" t="s">
        <v>60</v>
      </c>
      <c r="E3511">
        <v>937</v>
      </c>
      <c r="F3511">
        <v>11</v>
      </c>
      <c r="G3511">
        <v>8</v>
      </c>
      <c r="H3511">
        <v>2270.27</v>
      </c>
      <c r="I3511">
        <v>19898.39</v>
      </c>
      <c r="J3511">
        <v>52</v>
      </c>
      <c r="K3511">
        <v>0</v>
      </c>
      <c r="L3511">
        <v>22.3</v>
      </c>
      <c r="M3511">
        <v>23.3</v>
      </c>
      <c r="N3511" t="s">
        <v>63</v>
      </c>
      <c r="O3511" t="s">
        <v>75</v>
      </c>
      <c r="P3511" t="s">
        <v>58</v>
      </c>
      <c r="R3511">
        <f>SUMIF(A3511:A8510,"C03510",I3511:I8510)</f>
        <v>19898.39</v>
      </c>
      <c r="S3511" s="1">
        <v>6110.7</v>
      </c>
      <c r="T3511">
        <f t="shared" si="398"/>
        <v>382.661346153846</v>
      </c>
      <c r="U3511">
        <f t="shared" si="399"/>
        <v>1211.6</v>
      </c>
      <c r="V3511">
        <f t="shared" si="400"/>
        <v>100.966666666667</v>
      </c>
      <c r="W3511">
        <f t="shared" si="396"/>
        <v>7389.88666666667</v>
      </c>
      <c r="X3511">
        <f t="shared" si="394"/>
        <v>0.412726239610267</v>
      </c>
      <c r="AH3511" t="str">
        <f t="shared" si="397"/>
        <v>3rd Quality</v>
      </c>
      <c r="AJ3511">
        <f>((T3511-X3511)*2)/22.3</f>
        <v>34.2823874362543</v>
      </c>
      <c r="AK3511">
        <f t="shared" si="395"/>
        <v>358553.681346154</v>
      </c>
    </row>
    <row r="3512" spans="1:37">
      <c r="A3512" t="s">
        <v>3578</v>
      </c>
      <c r="B3512">
        <v>18</v>
      </c>
      <c r="C3512" t="s">
        <v>50</v>
      </c>
      <c r="D3512" t="s">
        <v>45</v>
      </c>
      <c r="E3512">
        <v>570</v>
      </c>
      <c r="F3512">
        <v>145</v>
      </c>
      <c r="G3512">
        <v>1</v>
      </c>
      <c r="H3512">
        <v>2156.15</v>
      </c>
      <c r="I3512">
        <v>1897.62</v>
      </c>
      <c r="J3512">
        <v>15</v>
      </c>
      <c r="K3512">
        <v>0</v>
      </c>
      <c r="L3512">
        <v>27.3</v>
      </c>
      <c r="M3512">
        <v>38.2</v>
      </c>
      <c r="N3512" t="s">
        <v>57</v>
      </c>
      <c r="O3512" t="s">
        <v>47</v>
      </c>
      <c r="P3512" t="s">
        <v>58</v>
      </c>
      <c r="R3512">
        <f>SUMIF(A3512:A8511,"C03511",I3512:I8511)</f>
        <v>1897.62</v>
      </c>
      <c r="S3512" s="1">
        <v>878.54</v>
      </c>
      <c r="T3512">
        <f t="shared" si="398"/>
        <v>126.508</v>
      </c>
      <c r="U3512">
        <f t="shared" si="399"/>
        <v>573</v>
      </c>
      <c r="V3512">
        <f t="shared" si="400"/>
        <v>47.75</v>
      </c>
      <c r="W3512">
        <f t="shared" si="396"/>
        <v>1351.59</v>
      </c>
      <c r="X3512">
        <f t="shared" ref="X3512:X3575" si="401">E3512/H3512</f>
        <v>0.26436008626487</v>
      </c>
      <c r="AH3512" t="str">
        <f t="shared" si="397"/>
        <v>3rd Quality</v>
      </c>
      <c r="AJ3512">
        <f>((T3512-X3512)*2)/27.3</f>
        <v>9.24861830869854</v>
      </c>
      <c r="AK3512">
        <f t="shared" si="395"/>
        <v>72109.56</v>
      </c>
    </row>
    <row r="3513" spans="1:37">
      <c r="A3513" t="s">
        <v>3579</v>
      </c>
      <c r="B3513">
        <v>22</v>
      </c>
      <c r="C3513" t="s">
        <v>44</v>
      </c>
      <c r="D3513" t="s">
        <v>51</v>
      </c>
      <c r="E3513">
        <v>1223</v>
      </c>
      <c r="F3513">
        <v>144</v>
      </c>
      <c r="G3513">
        <v>3</v>
      </c>
      <c r="H3513">
        <v>892.8</v>
      </c>
      <c r="I3513">
        <v>2367.64</v>
      </c>
      <c r="J3513">
        <v>21</v>
      </c>
      <c r="K3513">
        <v>0</v>
      </c>
      <c r="L3513">
        <v>27.4</v>
      </c>
      <c r="M3513">
        <v>6.3</v>
      </c>
      <c r="N3513" t="s">
        <v>78</v>
      </c>
      <c r="O3513" t="s">
        <v>47</v>
      </c>
      <c r="P3513" t="s">
        <v>54</v>
      </c>
      <c r="R3513">
        <f>SUMIF(A3513:A8512,"C03512",I3513:I8512)</f>
        <v>2367.64</v>
      </c>
      <c r="S3513" s="1">
        <v>1218.44</v>
      </c>
      <c r="T3513">
        <f t="shared" si="398"/>
        <v>112.744761904762</v>
      </c>
      <c r="U3513">
        <f t="shared" si="399"/>
        <v>132.3</v>
      </c>
      <c r="V3513">
        <f t="shared" si="400"/>
        <v>11.025</v>
      </c>
      <c r="W3513">
        <f t="shared" si="396"/>
        <v>1087.14666666667</v>
      </c>
      <c r="X3513">
        <f t="shared" si="401"/>
        <v>1.3698476702509</v>
      </c>
      <c r="AH3513" t="str">
        <f t="shared" si="397"/>
        <v>3rd Quality</v>
      </c>
      <c r="AJ3513">
        <f>((T3513-X3513)*2)/27.4</f>
        <v>8.12955578354096</v>
      </c>
      <c r="AK3513">
        <f t="shared" si="395"/>
        <v>137886.843809524</v>
      </c>
    </row>
    <row r="3514" spans="1:37">
      <c r="A3514" t="s">
        <v>3580</v>
      </c>
      <c r="B3514">
        <v>45</v>
      </c>
      <c r="C3514" t="s">
        <v>50</v>
      </c>
      <c r="D3514" t="s">
        <v>60</v>
      </c>
      <c r="E3514">
        <v>1279</v>
      </c>
      <c r="F3514">
        <v>87</v>
      </c>
      <c r="G3514">
        <v>2</v>
      </c>
      <c r="H3514">
        <v>3148.07</v>
      </c>
      <c r="I3514">
        <v>6110.7</v>
      </c>
      <c r="J3514">
        <v>17</v>
      </c>
      <c r="K3514">
        <v>0</v>
      </c>
      <c r="L3514">
        <v>12.8</v>
      </c>
      <c r="M3514">
        <v>53.6</v>
      </c>
      <c r="N3514" t="s">
        <v>81</v>
      </c>
      <c r="O3514" t="s">
        <v>47</v>
      </c>
      <c r="P3514" t="s">
        <v>58</v>
      </c>
      <c r="R3514">
        <f>SUMIF(A3514:A8513,"C03513",I3514:I8513)</f>
        <v>6110.7</v>
      </c>
      <c r="S3514" s="1">
        <v>3373.34</v>
      </c>
      <c r="T3514">
        <f t="shared" si="398"/>
        <v>359.452941176471</v>
      </c>
      <c r="U3514">
        <f t="shared" si="399"/>
        <v>911.2</v>
      </c>
      <c r="V3514">
        <f t="shared" si="400"/>
        <v>75.9333333333333</v>
      </c>
      <c r="W3514">
        <f t="shared" si="396"/>
        <v>3086.59</v>
      </c>
      <c r="X3514">
        <f t="shared" si="401"/>
        <v>0.406280673555544</v>
      </c>
      <c r="AH3514" t="str">
        <f t="shared" si="397"/>
        <v>3rd Quality</v>
      </c>
      <c r="AJ3514">
        <f>((T3514-X3514)*2)/12.8</f>
        <v>56.1010407035805</v>
      </c>
      <c r="AK3514">
        <f t="shared" si="395"/>
        <v>459740.311764706</v>
      </c>
    </row>
    <row r="3515" spans="1:37">
      <c r="A3515" t="s">
        <v>3581</v>
      </c>
      <c r="B3515">
        <v>34</v>
      </c>
      <c r="C3515" t="s">
        <v>44</v>
      </c>
      <c r="D3515" t="s">
        <v>60</v>
      </c>
      <c r="E3515">
        <v>699</v>
      </c>
      <c r="F3515">
        <v>44</v>
      </c>
      <c r="G3515">
        <v>1</v>
      </c>
      <c r="H3515">
        <v>899.79</v>
      </c>
      <c r="I3515">
        <v>878.54</v>
      </c>
      <c r="J3515">
        <v>16</v>
      </c>
      <c r="K3515">
        <v>0</v>
      </c>
      <c r="L3515">
        <v>13.5</v>
      </c>
      <c r="M3515">
        <v>21.3</v>
      </c>
      <c r="N3515" t="s">
        <v>63</v>
      </c>
      <c r="O3515" t="s">
        <v>47</v>
      </c>
      <c r="P3515" t="s">
        <v>58</v>
      </c>
      <c r="R3515">
        <f>SUMIF(A3515:A8514,"C03514",I3515:I8514)</f>
        <v>878.54</v>
      </c>
      <c r="S3515" s="1">
        <v>52959.97</v>
      </c>
      <c r="T3515">
        <f t="shared" si="398"/>
        <v>54.90875</v>
      </c>
      <c r="U3515">
        <f t="shared" si="399"/>
        <v>340.8</v>
      </c>
      <c r="V3515">
        <f t="shared" si="400"/>
        <v>28.4</v>
      </c>
      <c r="W3515">
        <f t="shared" si="396"/>
        <v>593.11</v>
      </c>
      <c r="X3515">
        <f t="shared" si="401"/>
        <v>0.776847931183943</v>
      </c>
      <c r="AH3515" t="str">
        <f t="shared" si="397"/>
        <v>3rd Quality</v>
      </c>
      <c r="AJ3515">
        <f>((T3515-X3515)*2)/13.5</f>
        <v>8.01954104723201</v>
      </c>
      <c r="AK3515">
        <f t="shared" si="395"/>
        <v>38381.21625</v>
      </c>
    </row>
    <row r="3516" spans="1:37">
      <c r="A3516" t="s">
        <v>3582</v>
      </c>
      <c r="B3516">
        <v>35</v>
      </c>
      <c r="C3516" t="s">
        <v>44</v>
      </c>
      <c r="D3516" t="s">
        <v>60</v>
      </c>
      <c r="E3516">
        <v>1459</v>
      </c>
      <c r="F3516">
        <v>170</v>
      </c>
      <c r="G3516">
        <v>1</v>
      </c>
      <c r="H3516">
        <v>1114.04</v>
      </c>
      <c r="I3516">
        <v>1218.44</v>
      </c>
      <c r="J3516">
        <v>11</v>
      </c>
      <c r="K3516">
        <v>0</v>
      </c>
      <c r="L3516">
        <v>29.8</v>
      </c>
      <c r="M3516">
        <v>28.7</v>
      </c>
      <c r="N3516" t="s">
        <v>52</v>
      </c>
      <c r="O3516" t="s">
        <v>47</v>
      </c>
      <c r="P3516" t="s">
        <v>68</v>
      </c>
      <c r="R3516">
        <f>SUMIF(A3516:A8515,"C03515",I3516:I8515)</f>
        <v>1218.44</v>
      </c>
      <c r="S3516" s="1">
        <v>74293.33</v>
      </c>
      <c r="T3516">
        <f t="shared" si="398"/>
        <v>110.767272727273</v>
      </c>
      <c r="U3516">
        <f t="shared" si="399"/>
        <v>315.7</v>
      </c>
      <c r="V3516">
        <f t="shared" si="400"/>
        <v>26.3083333333333</v>
      </c>
      <c r="W3516">
        <f t="shared" si="396"/>
        <v>777.826666666667</v>
      </c>
      <c r="X3516">
        <f t="shared" si="401"/>
        <v>1.30964776848228</v>
      </c>
      <c r="AH3516" t="str">
        <f t="shared" si="397"/>
        <v>3rd Quality</v>
      </c>
      <c r="AJ3516">
        <f>((T3516-X3516)*2)/29.8</f>
        <v>7.34614932609334</v>
      </c>
      <c r="AK3516">
        <f t="shared" si="395"/>
        <v>161609.450909091</v>
      </c>
    </row>
    <row r="3517" spans="1:37">
      <c r="A3517" t="s">
        <v>3583</v>
      </c>
      <c r="B3517">
        <v>57</v>
      </c>
      <c r="C3517" t="s">
        <v>44</v>
      </c>
      <c r="D3517" t="s">
        <v>51</v>
      </c>
      <c r="E3517">
        <v>888</v>
      </c>
      <c r="F3517">
        <v>30</v>
      </c>
      <c r="G3517">
        <v>5</v>
      </c>
      <c r="H3517">
        <v>712.48</v>
      </c>
      <c r="I3517">
        <v>3373.34</v>
      </c>
      <c r="J3517">
        <v>44</v>
      </c>
      <c r="K3517">
        <v>1</v>
      </c>
      <c r="L3517">
        <v>27.7</v>
      </c>
      <c r="M3517">
        <v>25.9</v>
      </c>
      <c r="N3517" t="s">
        <v>63</v>
      </c>
      <c r="O3517" t="s">
        <v>47</v>
      </c>
      <c r="P3517" t="s">
        <v>68</v>
      </c>
      <c r="R3517">
        <f>SUMIF(A3517:A8516,"C03516",I3517:I8516)</f>
        <v>3373.34</v>
      </c>
      <c r="S3517" s="1">
        <v>17786.75</v>
      </c>
      <c r="T3517">
        <f t="shared" si="398"/>
        <v>76.6668181818182</v>
      </c>
      <c r="U3517">
        <f t="shared" si="399"/>
        <v>1139.6</v>
      </c>
      <c r="V3517">
        <f>U3517*1</f>
        <v>1139.6</v>
      </c>
      <c r="W3517">
        <f t="shared" si="396"/>
        <v>1362.27333333333</v>
      </c>
      <c r="X3517">
        <f t="shared" si="401"/>
        <v>1.24635077475859</v>
      </c>
      <c r="AH3517" t="str">
        <f t="shared" si="397"/>
        <v>3rd Quality</v>
      </c>
      <c r="AJ3517">
        <f>((T3517-X3517)*2)/27.7</f>
        <v>5.44552111242308</v>
      </c>
      <c r="AK3517">
        <f t="shared" si="395"/>
        <v>68080.1345454546</v>
      </c>
    </row>
    <row r="3518" spans="1:37">
      <c r="A3518" t="s">
        <v>3584</v>
      </c>
      <c r="B3518">
        <v>29</v>
      </c>
      <c r="C3518" t="s">
        <v>50</v>
      </c>
      <c r="D3518" t="s">
        <v>45</v>
      </c>
      <c r="E3518">
        <v>412</v>
      </c>
      <c r="F3518">
        <v>36</v>
      </c>
      <c r="G3518">
        <v>3</v>
      </c>
      <c r="H3518">
        <v>16291.36</v>
      </c>
      <c r="I3518">
        <v>52959.97</v>
      </c>
      <c r="J3518">
        <v>26</v>
      </c>
      <c r="K3518">
        <v>0</v>
      </c>
      <c r="L3518">
        <v>17.1</v>
      </c>
      <c r="M3518">
        <v>20.9</v>
      </c>
      <c r="N3518" t="s">
        <v>57</v>
      </c>
      <c r="O3518" t="s">
        <v>53</v>
      </c>
      <c r="P3518" t="s">
        <v>58</v>
      </c>
      <c r="R3518">
        <f>SUMIF(A3518:A8517,"C03517",I3518:I8517)</f>
        <v>52959.97</v>
      </c>
      <c r="S3518" s="1">
        <v>3049.94</v>
      </c>
      <c r="T3518">
        <f t="shared" si="398"/>
        <v>2036.92192307692</v>
      </c>
      <c r="U3518">
        <f t="shared" si="399"/>
        <v>543.4</v>
      </c>
      <c r="V3518">
        <f t="shared" si="400"/>
        <v>45.2833333333333</v>
      </c>
      <c r="W3518">
        <f t="shared" si="396"/>
        <v>23084.11</v>
      </c>
      <c r="X3518">
        <f t="shared" si="401"/>
        <v>0.0252894785947889</v>
      </c>
      <c r="AH3518" t="str">
        <f t="shared" si="397"/>
        <v>3rd Quality</v>
      </c>
      <c r="AJ3518">
        <f>((T3518-X3518)*2)/17.1</f>
        <v>238.233524397465</v>
      </c>
      <c r="AK3518">
        <f t="shared" si="395"/>
        <v>839211.832307692</v>
      </c>
    </row>
    <row r="3519" spans="1:37">
      <c r="A3519" t="s">
        <v>3585</v>
      </c>
      <c r="B3519">
        <v>23</v>
      </c>
      <c r="C3519" t="s">
        <v>44</v>
      </c>
      <c r="D3519" t="s">
        <v>60</v>
      </c>
      <c r="E3519">
        <v>1436</v>
      </c>
      <c r="F3519">
        <v>9</v>
      </c>
      <c r="G3519">
        <v>18</v>
      </c>
      <c r="H3519">
        <v>4578.76</v>
      </c>
      <c r="I3519">
        <v>74293.33</v>
      </c>
      <c r="J3519">
        <v>78</v>
      </c>
      <c r="K3519">
        <v>0</v>
      </c>
      <c r="L3519">
        <v>5.8</v>
      </c>
      <c r="M3519">
        <v>31.1</v>
      </c>
      <c r="N3519" t="s">
        <v>46</v>
      </c>
      <c r="O3519" t="s">
        <v>47</v>
      </c>
      <c r="P3519" t="s">
        <v>68</v>
      </c>
      <c r="R3519">
        <f>SUMIF(A3519:A8518,"C03518",I3519:I8518)</f>
        <v>74293.33</v>
      </c>
      <c r="S3519" s="1">
        <v>30532.85</v>
      </c>
      <c r="T3519">
        <f t="shared" si="398"/>
        <v>952.47858974359</v>
      </c>
      <c r="U3519">
        <f t="shared" si="399"/>
        <v>2425.8</v>
      </c>
      <c r="V3519">
        <f t="shared" si="400"/>
        <v>202.15</v>
      </c>
      <c r="W3519">
        <f t="shared" si="396"/>
        <v>26291.03</v>
      </c>
      <c r="X3519">
        <f t="shared" si="401"/>
        <v>0.313622028671518</v>
      </c>
      <c r="AH3519" t="str">
        <f t="shared" si="397"/>
        <v>1st Quality</v>
      </c>
      <c r="AJ3519">
        <f>((T3519-X3519)*2)/5.8</f>
        <v>328.332747487903</v>
      </c>
      <c r="AK3519">
        <f t="shared" si="395"/>
        <v>1367759.25487179</v>
      </c>
    </row>
    <row r="3520" spans="1:37">
      <c r="A3520" t="s">
        <v>3586</v>
      </c>
      <c r="B3520">
        <v>24</v>
      </c>
      <c r="C3520" t="s">
        <v>44</v>
      </c>
      <c r="D3520" t="s">
        <v>51</v>
      </c>
      <c r="E3520">
        <v>582</v>
      </c>
      <c r="F3520">
        <v>23</v>
      </c>
      <c r="G3520">
        <v>4</v>
      </c>
      <c r="H3520">
        <v>4948.59</v>
      </c>
      <c r="I3520">
        <v>17786.75</v>
      </c>
      <c r="J3520">
        <v>41</v>
      </c>
      <c r="K3520">
        <v>0</v>
      </c>
      <c r="L3520">
        <v>0</v>
      </c>
      <c r="M3520">
        <v>34.3</v>
      </c>
      <c r="N3520" t="s">
        <v>78</v>
      </c>
      <c r="O3520" t="s">
        <v>47</v>
      </c>
      <c r="P3520" t="s">
        <v>68</v>
      </c>
      <c r="R3520">
        <f>SUMIF(A3520:A8519,"C03519",I3520:I8519)</f>
        <v>17786.75</v>
      </c>
      <c r="S3520" s="1">
        <v>1511.14</v>
      </c>
      <c r="T3520">
        <f t="shared" si="398"/>
        <v>433.823170731707</v>
      </c>
      <c r="U3520">
        <f t="shared" si="399"/>
        <v>1406.3</v>
      </c>
      <c r="V3520">
        <f t="shared" si="400"/>
        <v>117.191666666667</v>
      </c>
      <c r="W3520">
        <f t="shared" si="396"/>
        <v>7578.78</v>
      </c>
      <c r="X3520">
        <f t="shared" si="401"/>
        <v>0.117609258394815</v>
      </c>
      <c r="AH3520" t="str">
        <f t="shared" si="397"/>
        <v>2nd Quality</v>
      </c>
      <c r="AJ3520">
        <f>((T3520-X3520)*2)</f>
        <v>867.411122946624</v>
      </c>
      <c r="AK3520">
        <f t="shared" si="395"/>
        <v>252485.085365854</v>
      </c>
    </row>
    <row r="3521" spans="1:37">
      <c r="A3521" t="s">
        <v>3587</v>
      </c>
      <c r="B3521">
        <v>46</v>
      </c>
      <c r="C3521" t="s">
        <v>50</v>
      </c>
      <c r="D3521" t="s">
        <v>45</v>
      </c>
      <c r="E3521">
        <v>473</v>
      </c>
      <c r="F3521">
        <v>341</v>
      </c>
      <c r="G3521">
        <v>4</v>
      </c>
      <c r="H3521">
        <v>720.12</v>
      </c>
      <c r="I3521">
        <v>3049.94</v>
      </c>
      <c r="J3521">
        <v>38</v>
      </c>
      <c r="K3521">
        <v>0</v>
      </c>
      <c r="L3521">
        <v>33.9</v>
      </c>
      <c r="M3521">
        <v>20.3</v>
      </c>
      <c r="N3521" t="s">
        <v>52</v>
      </c>
      <c r="O3521" t="s">
        <v>47</v>
      </c>
      <c r="P3521" t="s">
        <v>48</v>
      </c>
      <c r="R3521">
        <f>SUMIF(A3521:A8520,"C03520",I3521:I8520)</f>
        <v>3049.94</v>
      </c>
      <c r="S3521" s="1">
        <v>105869.66</v>
      </c>
      <c r="T3521">
        <f t="shared" si="398"/>
        <v>80.2615789473684</v>
      </c>
      <c r="U3521">
        <f t="shared" si="399"/>
        <v>771.4</v>
      </c>
      <c r="V3521">
        <f t="shared" si="400"/>
        <v>64.2833333333333</v>
      </c>
      <c r="W3521">
        <f t="shared" si="396"/>
        <v>1257.02</v>
      </c>
      <c r="X3521">
        <f t="shared" si="401"/>
        <v>0.65683497194912</v>
      </c>
      <c r="AH3521" t="str">
        <f t="shared" si="397"/>
        <v>3rd Quality</v>
      </c>
      <c r="AJ3521">
        <f>((T3521-X3521)*2)/33.9</f>
        <v>4.69644507229612</v>
      </c>
      <c r="AK3521">
        <f t="shared" si="395"/>
        <v>37963.7268421053</v>
      </c>
    </row>
    <row r="3522" spans="1:37">
      <c r="A3522" t="s">
        <v>3588</v>
      </c>
      <c r="B3522">
        <v>18</v>
      </c>
      <c r="C3522" t="s">
        <v>50</v>
      </c>
      <c r="D3522" t="s">
        <v>45</v>
      </c>
      <c r="E3522">
        <v>864</v>
      </c>
      <c r="F3522">
        <v>40</v>
      </c>
      <c r="G3522">
        <v>5</v>
      </c>
      <c r="H3522">
        <v>5744.47</v>
      </c>
      <c r="I3522">
        <v>30532.85</v>
      </c>
      <c r="J3522">
        <v>17</v>
      </c>
      <c r="K3522">
        <v>0</v>
      </c>
      <c r="L3522">
        <v>1.5</v>
      </c>
      <c r="M3522">
        <v>12.4</v>
      </c>
      <c r="N3522" t="s">
        <v>81</v>
      </c>
      <c r="O3522" t="s">
        <v>53</v>
      </c>
      <c r="P3522" t="s">
        <v>68</v>
      </c>
      <c r="R3522">
        <f>SUMIF(A3522:A8521,"C03521",I3522:I8521)</f>
        <v>30532.85</v>
      </c>
      <c r="S3522" s="1">
        <v>12312.8</v>
      </c>
      <c r="T3522">
        <f t="shared" si="398"/>
        <v>1796.05</v>
      </c>
      <c r="U3522">
        <f t="shared" si="399"/>
        <v>210.8</v>
      </c>
      <c r="V3522">
        <f t="shared" si="400"/>
        <v>17.5666666666667</v>
      </c>
      <c r="W3522">
        <f t="shared" si="396"/>
        <v>12092.7733333333</v>
      </c>
      <c r="X3522">
        <f t="shared" si="401"/>
        <v>0.150405520439658</v>
      </c>
      <c r="AH3522" t="str">
        <f t="shared" si="397"/>
        <v>2nd Quality</v>
      </c>
      <c r="AJ3522">
        <f>((T3522-X3522)*2)/1.5</f>
        <v>2394.53279263941</v>
      </c>
      <c r="AK3522">
        <f t="shared" si="395"/>
        <v>1551787.2</v>
      </c>
    </row>
    <row r="3523" spans="1:37">
      <c r="A3523" t="s">
        <v>3589</v>
      </c>
      <c r="B3523">
        <v>22</v>
      </c>
      <c r="C3523" t="s">
        <v>44</v>
      </c>
      <c r="D3523" t="s">
        <v>60</v>
      </c>
      <c r="E3523">
        <v>1047</v>
      </c>
      <c r="F3523">
        <v>13</v>
      </c>
      <c r="G3523">
        <v>1</v>
      </c>
      <c r="H3523">
        <v>1674.07</v>
      </c>
      <c r="I3523">
        <v>1511.14</v>
      </c>
      <c r="J3523">
        <v>14</v>
      </c>
      <c r="K3523">
        <v>0</v>
      </c>
      <c r="L3523">
        <v>19.1</v>
      </c>
      <c r="M3523">
        <v>37</v>
      </c>
      <c r="N3523" t="s">
        <v>52</v>
      </c>
      <c r="O3523" t="s">
        <v>47</v>
      </c>
      <c r="P3523" t="s">
        <v>66</v>
      </c>
      <c r="R3523">
        <f>SUMIF(A3523:A8522,"C03522",I3523:I8522)</f>
        <v>1511.14</v>
      </c>
      <c r="S3523" s="1">
        <v>80418.44</v>
      </c>
      <c r="T3523">
        <f t="shared" si="398"/>
        <v>107.938571428571</v>
      </c>
      <c r="U3523">
        <f t="shared" si="399"/>
        <v>518</v>
      </c>
      <c r="V3523">
        <f t="shared" si="400"/>
        <v>43.1666666666667</v>
      </c>
      <c r="W3523">
        <f t="shared" si="396"/>
        <v>1062.07</v>
      </c>
      <c r="X3523">
        <f t="shared" si="401"/>
        <v>0.625421876026689</v>
      </c>
      <c r="AH3523" t="str">
        <f t="shared" si="397"/>
        <v>3rd Quality</v>
      </c>
      <c r="AJ3523">
        <f>((T3523-X3523)*2)/19.1</f>
        <v>11.2369790107376</v>
      </c>
      <c r="AK3523">
        <f t="shared" ref="AK3523:AK3586" si="402">I3523/J3523*E3523</f>
        <v>113011.684285714</v>
      </c>
    </row>
    <row r="3524" spans="1:37">
      <c r="A3524" t="s">
        <v>3590</v>
      </c>
      <c r="B3524">
        <v>28</v>
      </c>
      <c r="C3524" t="s">
        <v>50</v>
      </c>
      <c r="D3524" t="s">
        <v>45</v>
      </c>
      <c r="E3524">
        <v>1056</v>
      </c>
      <c r="F3524">
        <v>33</v>
      </c>
      <c r="G3524">
        <v>21</v>
      </c>
      <c r="H3524">
        <v>4507.97</v>
      </c>
      <c r="I3524">
        <v>105869.66</v>
      </c>
      <c r="J3524">
        <v>175</v>
      </c>
      <c r="K3524">
        <v>1</v>
      </c>
      <c r="L3524">
        <v>10.4</v>
      </c>
      <c r="M3524">
        <v>58.8</v>
      </c>
      <c r="N3524" t="s">
        <v>63</v>
      </c>
      <c r="O3524" t="s">
        <v>47</v>
      </c>
      <c r="P3524" t="s">
        <v>68</v>
      </c>
      <c r="R3524">
        <f>SUMIF(A3524:A8523,"C03523",I3524:I8523)</f>
        <v>105869.66</v>
      </c>
      <c r="S3524" s="1">
        <v>13835.65</v>
      </c>
      <c r="T3524">
        <f t="shared" si="398"/>
        <v>604.969485714286</v>
      </c>
      <c r="U3524">
        <f t="shared" si="399"/>
        <v>10290</v>
      </c>
      <c r="V3524">
        <f>U3524*1</f>
        <v>10290</v>
      </c>
      <c r="W3524">
        <f t="shared" si="396"/>
        <v>36792.8766666667</v>
      </c>
      <c r="X3524">
        <f t="shared" si="401"/>
        <v>0.234251780735009</v>
      </c>
      <c r="AH3524" t="str">
        <f t="shared" si="397"/>
        <v>1st Quality</v>
      </c>
      <c r="AJ3524">
        <f>((T3524-X3524)*2)/10.4</f>
        <v>116.295237294914</v>
      </c>
      <c r="AK3524">
        <f t="shared" si="402"/>
        <v>638847.776914286</v>
      </c>
    </row>
    <row r="3525" spans="1:37">
      <c r="A3525" t="s">
        <v>3591</v>
      </c>
      <c r="B3525">
        <v>18</v>
      </c>
      <c r="C3525" t="s">
        <v>50</v>
      </c>
      <c r="D3525" t="s">
        <v>51</v>
      </c>
      <c r="E3525">
        <v>1415</v>
      </c>
      <c r="F3525">
        <v>36</v>
      </c>
      <c r="G3525">
        <v>7</v>
      </c>
      <c r="H3525">
        <v>1955.91</v>
      </c>
      <c r="I3525">
        <v>12312.8</v>
      </c>
      <c r="J3525">
        <v>42</v>
      </c>
      <c r="K3525">
        <v>0</v>
      </c>
      <c r="L3525">
        <v>23.3</v>
      </c>
      <c r="M3525">
        <v>41.8</v>
      </c>
      <c r="N3525" t="s">
        <v>63</v>
      </c>
      <c r="O3525" t="s">
        <v>53</v>
      </c>
      <c r="P3525" t="s">
        <v>58</v>
      </c>
      <c r="R3525">
        <f>SUMIF(A3525:A8524,"C03524",I3525:I8524)</f>
        <v>12312.8</v>
      </c>
      <c r="S3525" s="1">
        <v>62836.54</v>
      </c>
      <c r="T3525">
        <f t="shared" si="398"/>
        <v>293.161904761905</v>
      </c>
      <c r="U3525">
        <f t="shared" si="399"/>
        <v>1755.6</v>
      </c>
      <c r="V3525">
        <f t="shared" si="400"/>
        <v>146.3</v>
      </c>
      <c r="W3525">
        <f t="shared" si="396"/>
        <v>4756.57</v>
      </c>
      <c r="X3525">
        <f t="shared" si="401"/>
        <v>0.723448420428343</v>
      </c>
      <c r="AH3525" t="str">
        <f t="shared" si="397"/>
        <v>3rd Quality</v>
      </c>
      <c r="AJ3525">
        <f>((T3525-X3525)*2)/23.3</f>
        <v>25.1020134198692</v>
      </c>
      <c r="AK3525">
        <f t="shared" si="402"/>
        <v>414824.095238095</v>
      </c>
    </row>
    <row r="3526" spans="1:37">
      <c r="A3526" t="s">
        <v>3592</v>
      </c>
      <c r="B3526">
        <v>23</v>
      </c>
      <c r="C3526" t="s">
        <v>44</v>
      </c>
      <c r="D3526" t="s">
        <v>45</v>
      </c>
      <c r="E3526">
        <v>874</v>
      </c>
      <c r="F3526">
        <v>21</v>
      </c>
      <c r="G3526">
        <v>7</v>
      </c>
      <c r="H3526">
        <v>10518.5</v>
      </c>
      <c r="I3526">
        <v>80418.44</v>
      </c>
      <c r="J3526">
        <v>36</v>
      </c>
      <c r="K3526">
        <v>1</v>
      </c>
      <c r="L3526">
        <v>17.5</v>
      </c>
      <c r="M3526">
        <v>45.3</v>
      </c>
      <c r="N3526" t="s">
        <v>81</v>
      </c>
      <c r="O3526" t="s">
        <v>47</v>
      </c>
      <c r="P3526" t="s">
        <v>66</v>
      </c>
      <c r="R3526">
        <f>SUMIF(A3526:A8525,"C03525",I3526:I8525)</f>
        <v>80418.44</v>
      </c>
      <c r="S3526" s="1">
        <v>112549.34</v>
      </c>
      <c r="T3526">
        <f t="shared" si="398"/>
        <v>2233.84555555556</v>
      </c>
      <c r="U3526">
        <f t="shared" si="399"/>
        <v>1630.8</v>
      </c>
      <c r="V3526">
        <f>U3526*1</f>
        <v>1630.8</v>
      </c>
      <c r="W3526">
        <f t="shared" si="396"/>
        <v>30312.6466666667</v>
      </c>
      <c r="X3526">
        <f t="shared" si="401"/>
        <v>0.0830916955839711</v>
      </c>
      <c r="AH3526" t="str">
        <f t="shared" si="397"/>
        <v>2nd Quality</v>
      </c>
      <c r="AJ3526">
        <f>((T3526-X3526)*2)/17.5</f>
        <v>255.287138726854</v>
      </c>
      <c r="AK3526">
        <f t="shared" si="402"/>
        <v>1952381.01555556</v>
      </c>
    </row>
    <row r="3527" spans="1:37">
      <c r="A3527" t="s">
        <v>3593</v>
      </c>
      <c r="B3527">
        <v>46</v>
      </c>
      <c r="C3527" t="s">
        <v>101</v>
      </c>
      <c r="D3527" t="s">
        <v>60</v>
      </c>
      <c r="E3527">
        <v>508</v>
      </c>
      <c r="F3527">
        <v>41</v>
      </c>
      <c r="G3527">
        <v>13</v>
      </c>
      <c r="H3527">
        <v>1148.66</v>
      </c>
      <c r="I3527">
        <v>13835.65</v>
      </c>
      <c r="J3527">
        <v>83</v>
      </c>
      <c r="K3527">
        <v>0</v>
      </c>
      <c r="L3527">
        <v>23.8</v>
      </c>
      <c r="M3527">
        <v>49.7</v>
      </c>
      <c r="N3527" t="s">
        <v>61</v>
      </c>
      <c r="O3527" t="s">
        <v>47</v>
      </c>
      <c r="P3527" t="s">
        <v>58</v>
      </c>
      <c r="R3527">
        <f>SUMIF(A3527:A8526,"C03526",I3527:I8526)</f>
        <v>13835.65</v>
      </c>
      <c r="S3527" s="1">
        <v>1916.83</v>
      </c>
      <c r="T3527">
        <f t="shared" si="398"/>
        <v>166.694578313253</v>
      </c>
      <c r="U3527">
        <f t="shared" si="399"/>
        <v>4125.1</v>
      </c>
      <c r="V3527">
        <f t="shared" si="400"/>
        <v>343.758333333333</v>
      </c>
      <c r="W3527">
        <f t="shared" si="396"/>
        <v>4995.10333333333</v>
      </c>
      <c r="X3527">
        <f t="shared" si="401"/>
        <v>0.442254453014817</v>
      </c>
      <c r="AH3527" t="str">
        <f t="shared" si="397"/>
        <v>3rd Quality</v>
      </c>
      <c r="AJ3527">
        <f>((T3527-X3527)*2)/23.8</f>
        <v>13.9707835176671</v>
      </c>
      <c r="AK3527">
        <f t="shared" si="402"/>
        <v>84680.8457831325</v>
      </c>
    </row>
    <row r="3528" spans="1:37">
      <c r="A3528" t="s">
        <v>3594</v>
      </c>
      <c r="B3528">
        <v>22</v>
      </c>
      <c r="C3528" t="s">
        <v>101</v>
      </c>
      <c r="D3528" t="s">
        <v>60</v>
      </c>
      <c r="E3528">
        <v>865</v>
      </c>
      <c r="F3528">
        <v>3</v>
      </c>
      <c r="G3528">
        <v>23</v>
      </c>
      <c r="H3528">
        <v>3086.07</v>
      </c>
      <c r="I3528">
        <v>62836.54</v>
      </c>
      <c r="J3528">
        <v>171</v>
      </c>
      <c r="K3528">
        <v>3</v>
      </c>
      <c r="L3528">
        <v>9.8</v>
      </c>
      <c r="M3528">
        <v>43.4</v>
      </c>
      <c r="N3528" t="s">
        <v>52</v>
      </c>
      <c r="O3528" t="s">
        <v>47</v>
      </c>
      <c r="P3528" t="s">
        <v>48</v>
      </c>
      <c r="R3528">
        <f>SUMIF(A3528:A8527,"C03527",I3528:I8527)</f>
        <v>62836.54</v>
      </c>
      <c r="S3528" s="1">
        <v>11265.61</v>
      </c>
      <c r="T3528">
        <f t="shared" si="398"/>
        <v>367.46514619883</v>
      </c>
      <c r="U3528">
        <f t="shared" si="399"/>
        <v>7421.4</v>
      </c>
      <c r="V3528">
        <f>U3528*3</f>
        <v>22264.2</v>
      </c>
      <c r="W3528">
        <f t="shared" si="396"/>
        <v>21974.5366666667</v>
      </c>
      <c r="X3528">
        <f t="shared" si="401"/>
        <v>0.280291762662545</v>
      </c>
      <c r="AH3528" t="str">
        <f t="shared" si="397"/>
        <v>2nd Quality</v>
      </c>
      <c r="AJ3528">
        <f>((T3528-X3528)*2)/9.8</f>
        <v>74.9356845788097</v>
      </c>
      <c r="AK3528">
        <f t="shared" si="402"/>
        <v>317857.351461988</v>
      </c>
    </row>
    <row r="3529" spans="1:37">
      <c r="A3529" t="s">
        <v>3595</v>
      </c>
      <c r="B3529">
        <v>18</v>
      </c>
      <c r="C3529" t="s">
        <v>50</v>
      </c>
      <c r="D3529" t="s">
        <v>60</v>
      </c>
      <c r="E3529">
        <v>1286</v>
      </c>
      <c r="F3529">
        <v>8</v>
      </c>
      <c r="G3529">
        <v>25</v>
      </c>
      <c r="H3529">
        <v>4148.71</v>
      </c>
      <c r="I3529">
        <v>112549.34</v>
      </c>
      <c r="J3529">
        <v>82</v>
      </c>
      <c r="K3529">
        <v>3</v>
      </c>
      <c r="L3529">
        <v>6.5</v>
      </c>
      <c r="M3529">
        <v>42.8</v>
      </c>
      <c r="N3529" t="s">
        <v>78</v>
      </c>
      <c r="O3529" t="s">
        <v>53</v>
      </c>
      <c r="P3529" t="s">
        <v>48</v>
      </c>
      <c r="R3529">
        <f>SUMIF(A3529:A8528,"C03528",I3529:I8528)</f>
        <v>112549.34</v>
      </c>
      <c r="S3529" s="1">
        <v>170418.8</v>
      </c>
      <c r="T3529">
        <f t="shared" si="398"/>
        <v>1372.55292682927</v>
      </c>
      <c r="U3529">
        <f t="shared" si="399"/>
        <v>3509.6</v>
      </c>
      <c r="V3529">
        <f>U3529*3</f>
        <v>10528.8</v>
      </c>
      <c r="W3529">
        <f t="shared" ref="W3529:W3592" si="403">(H3529+I3529+1)/3</f>
        <v>38899.6833333333</v>
      </c>
      <c r="X3529">
        <f t="shared" si="401"/>
        <v>0.309975872018049</v>
      </c>
      <c r="AH3529" t="str">
        <f t="shared" si="397"/>
        <v>1st Quality</v>
      </c>
      <c r="AJ3529">
        <f>((T3529-X3529)*2)/6.5</f>
        <v>422.228600294539</v>
      </c>
      <c r="AK3529">
        <f t="shared" si="402"/>
        <v>1765103.06390244</v>
      </c>
    </row>
    <row r="3530" spans="1:37">
      <c r="A3530" t="s">
        <v>3596</v>
      </c>
      <c r="B3530">
        <v>33</v>
      </c>
      <c r="C3530" t="s">
        <v>44</v>
      </c>
      <c r="D3530" t="s">
        <v>60</v>
      </c>
      <c r="E3530">
        <v>382</v>
      </c>
      <c r="F3530">
        <v>182</v>
      </c>
      <c r="G3530">
        <v>1</v>
      </c>
      <c r="H3530">
        <v>2073.95</v>
      </c>
      <c r="I3530">
        <v>1916.83</v>
      </c>
      <c r="J3530">
        <v>7</v>
      </c>
      <c r="K3530">
        <v>0</v>
      </c>
      <c r="L3530">
        <v>32.8</v>
      </c>
      <c r="M3530">
        <v>9.1</v>
      </c>
      <c r="N3530" t="s">
        <v>63</v>
      </c>
      <c r="O3530" t="s">
        <v>47</v>
      </c>
      <c r="P3530" t="s">
        <v>66</v>
      </c>
      <c r="R3530">
        <f>SUMIF(A3530:A8529,"C03529",I3530:I8529)</f>
        <v>1916.83</v>
      </c>
      <c r="S3530" s="1">
        <v>70840.53</v>
      </c>
      <c r="T3530">
        <f t="shared" si="398"/>
        <v>273.832857142857</v>
      </c>
      <c r="U3530">
        <f t="shared" si="399"/>
        <v>63.7</v>
      </c>
      <c r="V3530">
        <f t="shared" si="400"/>
        <v>5.30833333333333</v>
      </c>
      <c r="W3530">
        <f t="shared" si="403"/>
        <v>1330.59333333333</v>
      </c>
      <c r="X3530">
        <f t="shared" si="401"/>
        <v>0.184189589912968</v>
      </c>
      <c r="AH3530" t="str">
        <f t="shared" si="397"/>
        <v>3rd Quality</v>
      </c>
      <c r="AJ3530">
        <f>((T3530-X3530)*2)/32.8</f>
        <v>16.6858943629844</v>
      </c>
      <c r="AK3530">
        <f t="shared" si="402"/>
        <v>104604.151428571</v>
      </c>
    </row>
    <row r="3531" spans="1:37">
      <c r="A3531" t="s">
        <v>3597</v>
      </c>
      <c r="B3531">
        <v>18</v>
      </c>
      <c r="C3531" t="s">
        <v>44</v>
      </c>
      <c r="D3531" t="s">
        <v>45</v>
      </c>
      <c r="E3531">
        <v>671</v>
      </c>
      <c r="F3531">
        <v>27</v>
      </c>
      <c r="G3531">
        <v>13</v>
      </c>
      <c r="H3531">
        <v>860.51</v>
      </c>
      <c r="I3531">
        <v>11265.61</v>
      </c>
      <c r="J3531">
        <v>76</v>
      </c>
      <c r="K3531">
        <v>3</v>
      </c>
      <c r="L3531">
        <v>25.1</v>
      </c>
      <c r="M3531">
        <v>10.6</v>
      </c>
      <c r="N3531" t="s">
        <v>63</v>
      </c>
      <c r="O3531" t="s">
        <v>53</v>
      </c>
      <c r="P3531" t="s">
        <v>58</v>
      </c>
      <c r="R3531">
        <f>SUMIF(A3531:A8530,"C03530",I3531:I8530)</f>
        <v>11265.61</v>
      </c>
      <c r="S3531" s="1">
        <v>17553.76</v>
      </c>
      <c r="T3531">
        <f t="shared" si="398"/>
        <v>148.231710526316</v>
      </c>
      <c r="U3531">
        <f t="shared" si="399"/>
        <v>805.6</v>
      </c>
      <c r="V3531">
        <f>U3531*3</f>
        <v>2416.8</v>
      </c>
      <c r="W3531">
        <f t="shared" si="403"/>
        <v>4042.37333333333</v>
      </c>
      <c r="X3531">
        <f t="shared" si="401"/>
        <v>0.779770136314511</v>
      </c>
      <c r="AH3531" t="str">
        <f t="shared" si="397"/>
        <v>3rd Quality</v>
      </c>
      <c r="AJ3531">
        <f>((T3531-X3531)*2)/25.1</f>
        <v>11.7491585968129</v>
      </c>
      <c r="AK3531">
        <f t="shared" si="402"/>
        <v>99463.4777631579</v>
      </c>
    </row>
    <row r="3532" spans="1:37">
      <c r="A3532" t="s">
        <v>3598</v>
      </c>
      <c r="B3532">
        <v>47</v>
      </c>
      <c r="C3532" t="s">
        <v>44</v>
      </c>
      <c r="D3532" t="s">
        <v>51</v>
      </c>
      <c r="E3532">
        <v>1107</v>
      </c>
      <c r="F3532">
        <v>6</v>
      </c>
      <c r="G3532">
        <v>27</v>
      </c>
      <c r="H3532">
        <v>5852.76</v>
      </c>
      <c r="I3532">
        <v>170418.8</v>
      </c>
      <c r="J3532">
        <v>91</v>
      </c>
      <c r="K3532">
        <v>0</v>
      </c>
      <c r="L3532">
        <v>6.2</v>
      </c>
      <c r="M3532">
        <v>38.2</v>
      </c>
      <c r="N3532" t="s">
        <v>52</v>
      </c>
      <c r="O3532" t="s">
        <v>47</v>
      </c>
      <c r="P3532" t="s">
        <v>48</v>
      </c>
      <c r="R3532">
        <f>SUMIF(A3532:A8531,"C03531",I3532:I8531)</f>
        <v>170418.8</v>
      </c>
      <c r="S3532" s="1">
        <v>72644.45</v>
      </c>
      <c r="T3532">
        <f t="shared" si="398"/>
        <v>1872.73406593407</v>
      </c>
      <c r="U3532">
        <f t="shared" si="399"/>
        <v>3476.2</v>
      </c>
      <c r="V3532">
        <f t="shared" si="400"/>
        <v>289.683333333333</v>
      </c>
      <c r="W3532">
        <f t="shared" si="403"/>
        <v>58757.52</v>
      </c>
      <c r="X3532">
        <f t="shared" si="401"/>
        <v>0.18914153322535</v>
      </c>
      <c r="AH3532" t="str">
        <f t="shared" si="397"/>
        <v>3rd Quality</v>
      </c>
      <c r="AJ3532">
        <f>((T3532-X3532)*2)/6.2</f>
        <v>604.046749806724</v>
      </c>
      <c r="AK3532">
        <f t="shared" si="402"/>
        <v>2073116.61098901</v>
      </c>
    </row>
    <row r="3533" spans="1:37">
      <c r="A3533" t="s">
        <v>3599</v>
      </c>
      <c r="B3533">
        <v>27</v>
      </c>
      <c r="C3533" t="s">
        <v>50</v>
      </c>
      <c r="D3533" t="s">
        <v>51</v>
      </c>
      <c r="E3533">
        <v>588</v>
      </c>
      <c r="F3533">
        <v>5</v>
      </c>
      <c r="G3533">
        <v>22</v>
      </c>
      <c r="H3533">
        <v>3510.97</v>
      </c>
      <c r="I3533">
        <v>70840.53</v>
      </c>
      <c r="J3533">
        <v>76</v>
      </c>
      <c r="K3533">
        <v>4</v>
      </c>
      <c r="L3533">
        <v>15.6</v>
      </c>
      <c r="M3533">
        <v>16.7</v>
      </c>
      <c r="N3533" t="s">
        <v>57</v>
      </c>
      <c r="O3533" t="s">
        <v>47</v>
      </c>
      <c r="P3533" t="s">
        <v>58</v>
      </c>
      <c r="R3533">
        <f>SUMIF(A3533:A8532,"C03532",I3533:I8532)</f>
        <v>70840.53</v>
      </c>
      <c r="S3533" s="1">
        <v>2728.75</v>
      </c>
      <c r="T3533">
        <f t="shared" si="398"/>
        <v>932.112236842105</v>
      </c>
      <c r="U3533">
        <f t="shared" si="399"/>
        <v>1269.2</v>
      </c>
      <c r="V3533">
        <f>U3533*4</f>
        <v>5076.8</v>
      </c>
      <c r="W3533">
        <f t="shared" si="403"/>
        <v>24784.1666666667</v>
      </c>
      <c r="X3533">
        <f t="shared" si="401"/>
        <v>0.167475085232856</v>
      </c>
      <c r="AH3533" t="str">
        <f t="shared" si="397"/>
        <v>2nd Quality</v>
      </c>
      <c r="AJ3533">
        <f>((T3533-X3533)*2)/15.6</f>
        <v>119.480097661137</v>
      </c>
      <c r="AK3533">
        <f t="shared" si="402"/>
        <v>548081.995263158</v>
      </c>
    </row>
    <row r="3534" spans="1:37">
      <c r="A3534" t="s">
        <v>3600</v>
      </c>
      <c r="B3534">
        <v>27</v>
      </c>
      <c r="C3534" t="s">
        <v>44</v>
      </c>
      <c r="D3534" t="s">
        <v>60</v>
      </c>
      <c r="E3534">
        <v>901</v>
      </c>
      <c r="F3534">
        <v>62</v>
      </c>
      <c r="G3534">
        <v>9</v>
      </c>
      <c r="H3534">
        <v>1843.75</v>
      </c>
      <c r="I3534">
        <v>17553.76</v>
      </c>
      <c r="J3534">
        <v>21</v>
      </c>
      <c r="K3534">
        <v>0</v>
      </c>
      <c r="L3534">
        <v>20.6</v>
      </c>
      <c r="M3534">
        <v>16</v>
      </c>
      <c r="N3534" t="s">
        <v>46</v>
      </c>
      <c r="O3534" t="s">
        <v>47</v>
      </c>
      <c r="P3534" t="s">
        <v>58</v>
      </c>
      <c r="R3534">
        <f>SUMIF(A3534:A8533,"C03533",I3534:I8533)</f>
        <v>17553.76</v>
      </c>
      <c r="S3534" s="1">
        <v>2572.31</v>
      </c>
      <c r="T3534">
        <f t="shared" si="398"/>
        <v>835.893333333333</v>
      </c>
      <c r="U3534">
        <f t="shared" si="399"/>
        <v>336</v>
      </c>
      <c r="V3534">
        <f t="shared" si="400"/>
        <v>28</v>
      </c>
      <c r="W3534">
        <f t="shared" si="403"/>
        <v>6466.17</v>
      </c>
      <c r="X3534">
        <f t="shared" si="401"/>
        <v>0.488677966101695</v>
      </c>
      <c r="AH3534" t="str">
        <f t="shared" ref="AH3534:AH3597" si="404">IF(AND(W3534&gt;=12550,B3534&lt;=33,E3534&gt;=915),"1st Quality",IF(AND(W3534&gt;=6275,B3534&lt;=43,E3534&gt;=457),"2nd Quality","3rd Quality"))</f>
        <v>2nd Quality</v>
      </c>
      <c r="AJ3534">
        <f>((T3534-X3534)*2)/20.6</f>
        <v>81.1072480939059</v>
      </c>
      <c r="AK3534">
        <f t="shared" si="402"/>
        <v>753139.893333333</v>
      </c>
    </row>
    <row r="3535" spans="1:37">
      <c r="A3535" t="s">
        <v>3601</v>
      </c>
      <c r="B3535">
        <v>31</v>
      </c>
      <c r="C3535" t="s">
        <v>44</v>
      </c>
      <c r="D3535" t="s">
        <v>45</v>
      </c>
      <c r="E3535">
        <v>551</v>
      </c>
      <c r="F3535">
        <v>12</v>
      </c>
      <c r="G3535">
        <v>21</v>
      </c>
      <c r="H3535">
        <v>3433.27</v>
      </c>
      <c r="I3535">
        <v>72644.45</v>
      </c>
      <c r="J3535">
        <v>72</v>
      </c>
      <c r="K3535">
        <v>5</v>
      </c>
      <c r="L3535">
        <v>13.1</v>
      </c>
      <c r="M3535">
        <v>23.6</v>
      </c>
      <c r="N3535" t="s">
        <v>81</v>
      </c>
      <c r="O3535" t="s">
        <v>47</v>
      </c>
      <c r="P3535" t="s">
        <v>58</v>
      </c>
      <c r="R3535">
        <f>SUMIF(A3535:A8534,"C03534",I3535:I8534)</f>
        <v>72644.45</v>
      </c>
      <c r="S3535" s="1">
        <v>13930.18</v>
      </c>
      <c r="T3535">
        <f t="shared" si="398"/>
        <v>1008.95069444444</v>
      </c>
      <c r="U3535">
        <f t="shared" si="399"/>
        <v>1699.2</v>
      </c>
      <c r="V3535">
        <f>U3535*5</f>
        <v>8496</v>
      </c>
      <c r="W3535">
        <f t="shared" si="403"/>
        <v>25359.5733333333</v>
      </c>
      <c r="X3535">
        <f t="shared" si="401"/>
        <v>0.160488397358786</v>
      </c>
      <c r="AH3535" t="str">
        <f t="shared" si="404"/>
        <v>2nd Quality</v>
      </c>
      <c r="AJ3535">
        <f>((T3535-X3535)*2)/13.1</f>
        <v>154.013771915585</v>
      </c>
      <c r="AK3535">
        <f t="shared" si="402"/>
        <v>555931.832638889</v>
      </c>
    </row>
    <row r="3536" spans="1:37">
      <c r="A3536" t="s">
        <v>3602</v>
      </c>
      <c r="B3536">
        <v>42</v>
      </c>
      <c r="C3536" t="s">
        <v>44</v>
      </c>
      <c r="D3536" t="s">
        <v>45</v>
      </c>
      <c r="E3536">
        <v>507</v>
      </c>
      <c r="F3536">
        <v>311</v>
      </c>
      <c r="G3536">
        <v>2</v>
      </c>
      <c r="H3536">
        <v>1449.29</v>
      </c>
      <c r="I3536">
        <v>2728.75</v>
      </c>
      <c r="J3536">
        <v>22</v>
      </c>
      <c r="K3536">
        <v>0</v>
      </c>
      <c r="L3536">
        <v>19.7</v>
      </c>
      <c r="M3536">
        <v>46</v>
      </c>
      <c r="N3536" t="s">
        <v>81</v>
      </c>
      <c r="O3536" t="s">
        <v>53</v>
      </c>
      <c r="P3536" t="s">
        <v>58</v>
      </c>
      <c r="R3536">
        <f>SUMIF(A3536:A8535,"C03535",I3536:I8535)</f>
        <v>2728.75</v>
      </c>
      <c r="S3536" s="1">
        <v>33205.81</v>
      </c>
      <c r="T3536">
        <f t="shared" si="398"/>
        <v>124.034090909091</v>
      </c>
      <c r="U3536">
        <f t="shared" si="399"/>
        <v>1012</v>
      </c>
      <c r="V3536">
        <f t="shared" si="400"/>
        <v>84.3333333333333</v>
      </c>
      <c r="W3536">
        <f t="shared" si="403"/>
        <v>1393.01333333333</v>
      </c>
      <c r="X3536">
        <f t="shared" si="401"/>
        <v>0.349826466752686</v>
      </c>
      <c r="AH3536" t="str">
        <f t="shared" si="404"/>
        <v>3rd Quality</v>
      </c>
      <c r="AJ3536">
        <f>((T3536-X3536)*2)/19.7</f>
        <v>12.5567781159734</v>
      </c>
      <c r="AK3536">
        <f t="shared" si="402"/>
        <v>62885.2840909091</v>
      </c>
    </row>
    <row r="3537" spans="1:37">
      <c r="A3537" t="s">
        <v>3603</v>
      </c>
      <c r="B3537">
        <v>27</v>
      </c>
      <c r="C3537" t="s">
        <v>44</v>
      </c>
      <c r="D3537" t="s">
        <v>51</v>
      </c>
      <c r="E3537">
        <v>1172</v>
      </c>
      <c r="F3537">
        <v>279</v>
      </c>
      <c r="G3537">
        <v>3</v>
      </c>
      <c r="H3537">
        <v>963.44</v>
      </c>
      <c r="I3537">
        <v>2572.31</v>
      </c>
      <c r="J3537">
        <v>18</v>
      </c>
      <c r="K3537">
        <v>2</v>
      </c>
      <c r="L3537">
        <v>35.4</v>
      </c>
      <c r="M3537">
        <v>51.4</v>
      </c>
      <c r="N3537" t="s">
        <v>61</v>
      </c>
      <c r="O3537" t="s">
        <v>47</v>
      </c>
      <c r="P3537" t="s">
        <v>66</v>
      </c>
      <c r="R3537">
        <f>SUMIF(A3537:A8536,"C03536",I3537:I8536)</f>
        <v>2572.31</v>
      </c>
      <c r="S3537" s="1">
        <v>128374.4</v>
      </c>
      <c r="T3537">
        <f t="shared" si="398"/>
        <v>142.906111111111</v>
      </c>
      <c r="U3537">
        <f t="shared" si="399"/>
        <v>925.2</v>
      </c>
      <c r="V3537">
        <f>U3537*2</f>
        <v>1850.4</v>
      </c>
      <c r="W3537">
        <f t="shared" si="403"/>
        <v>1178.91666666667</v>
      </c>
      <c r="X3537">
        <f t="shared" si="401"/>
        <v>1.21647430042348</v>
      </c>
      <c r="AH3537" t="str">
        <f t="shared" si="404"/>
        <v>3rd Quality</v>
      </c>
      <c r="AJ3537">
        <f>((T3537-X3537)*2)/35.4</f>
        <v>8.00506422659252</v>
      </c>
      <c r="AK3537">
        <f t="shared" si="402"/>
        <v>167485.962222222</v>
      </c>
    </row>
    <row r="3538" spans="1:37">
      <c r="A3538" t="s">
        <v>3604</v>
      </c>
      <c r="B3538">
        <v>18</v>
      </c>
      <c r="C3538" t="s">
        <v>44</v>
      </c>
      <c r="D3538" t="s">
        <v>60</v>
      </c>
      <c r="E3538">
        <v>1219</v>
      </c>
      <c r="F3538">
        <v>29</v>
      </c>
      <c r="G3538">
        <v>14</v>
      </c>
      <c r="H3538">
        <v>1055.04</v>
      </c>
      <c r="I3538">
        <v>13930.18</v>
      </c>
      <c r="J3538">
        <v>93</v>
      </c>
      <c r="K3538">
        <v>1</v>
      </c>
      <c r="L3538">
        <v>17</v>
      </c>
      <c r="M3538">
        <v>53.5</v>
      </c>
      <c r="N3538" t="s">
        <v>63</v>
      </c>
      <c r="O3538" t="s">
        <v>47</v>
      </c>
      <c r="P3538" t="s">
        <v>58</v>
      </c>
      <c r="R3538">
        <f>SUMIF(A3538:A8537,"C03537",I3538:I8537)</f>
        <v>13930.18</v>
      </c>
      <c r="S3538" s="1">
        <v>14203.91</v>
      </c>
      <c r="T3538">
        <f t="shared" si="398"/>
        <v>149.78688172043</v>
      </c>
      <c r="U3538">
        <f t="shared" si="399"/>
        <v>4975.5</v>
      </c>
      <c r="V3538">
        <f>U3538*1</f>
        <v>4975.5</v>
      </c>
      <c r="W3538">
        <f t="shared" si="403"/>
        <v>4995.40666666667</v>
      </c>
      <c r="X3538">
        <f t="shared" si="401"/>
        <v>1.15540643008796</v>
      </c>
      <c r="AH3538" t="str">
        <f t="shared" si="404"/>
        <v>3rd Quality</v>
      </c>
      <c r="AJ3538">
        <f>((T3538-X3538)*2)/17</f>
        <v>17.4860559165108</v>
      </c>
      <c r="AK3538">
        <f t="shared" si="402"/>
        <v>182590.208817204</v>
      </c>
    </row>
    <row r="3539" spans="1:37">
      <c r="A3539" t="s">
        <v>3605</v>
      </c>
      <c r="B3539">
        <v>24</v>
      </c>
      <c r="C3539" t="s">
        <v>50</v>
      </c>
      <c r="D3539" t="s">
        <v>51</v>
      </c>
      <c r="E3539">
        <v>409</v>
      </c>
      <c r="F3539">
        <v>43</v>
      </c>
      <c r="G3539">
        <v>3</v>
      </c>
      <c r="H3539">
        <v>11272.15</v>
      </c>
      <c r="I3539">
        <v>33205.81</v>
      </c>
      <c r="J3539">
        <v>16</v>
      </c>
      <c r="K3539">
        <v>1</v>
      </c>
      <c r="L3539">
        <v>10.7</v>
      </c>
      <c r="M3539">
        <v>26.9</v>
      </c>
      <c r="N3539" t="s">
        <v>81</v>
      </c>
      <c r="O3539" t="s">
        <v>75</v>
      </c>
      <c r="P3539" t="s">
        <v>58</v>
      </c>
      <c r="R3539">
        <f>SUMIF(A3539:A8538,"C03538",I3539:I8538)</f>
        <v>33205.81</v>
      </c>
      <c r="S3539" s="1">
        <v>756.23</v>
      </c>
      <c r="T3539">
        <f t="shared" si="398"/>
        <v>2075.363125</v>
      </c>
      <c r="U3539">
        <f t="shared" si="399"/>
        <v>430.4</v>
      </c>
      <c r="V3539">
        <f>U3539*1</f>
        <v>430.4</v>
      </c>
      <c r="W3539">
        <f t="shared" si="403"/>
        <v>14826.32</v>
      </c>
      <c r="X3539">
        <f t="shared" si="401"/>
        <v>0.0362841161624003</v>
      </c>
      <c r="AH3539" t="str">
        <f t="shared" si="404"/>
        <v>3rd Quality</v>
      </c>
      <c r="AJ3539">
        <f>((T3539-X3539)*2)/10.7</f>
        <v>387.911559043708</v>
      </c>
      <c r="AK3539">
        <f t="shared" si="402"/>
        <v>848823.518125</v>
      </c>
    </row>
    <row r="3540" spans="1:37">
      <c r="A3540" t="s">
        <v>3606</v>
      </c>
      <c r="B3540">
        <v>40</v>
      </c>
      <c r="C3540" t="s">
        <v>56</v>
      </c>
      <c r="D3540" t="s">
        <v>51</v>
      </c>
      <c r="E3540">
        <v>954</v>
      </c>
      <c r="F3540">
        <v>7</v>
      </c>
      <c r="G3540">
        <v>27</v>
      </c>
      <c r="H3540">
        <v>4910.25</v>
      </c>
      <c r="I3540">
        <v>128374.4</v>
      </c>
      <c r="J3540">
        <v>199</v>
      </c>
      <c r="K3540">
        <v>1</v>
      </c>
      <c r="L3540">
        <v>18</v>
      </c>
      <c r="M3540">
        <v>54.3</v>
      </c>
      <c r="N3540" t="s">
        <v>81</v>
      </c>
      <c r="O3540" t="s">
        <v>53</v>
      </c>
      <c r="P3540" t="s">
        <v>58</v>
      </c>
      <c r="R3540">
        <f>SUMIF(A3540:A8539,"C03539",I3540:I8539)</f>
        <v>128374.4</v>
      </c>
      <c r="S3540" s="1">
        <v>17665.71</v>
      </c>
      <c r="T3540">
        <f t="shared" si="398"/>
        <v>645.097487437186</v>
      </c>
      <c r="U3540">
        <f t="shared" si="399"/>
        <v>10805.7</v>
      </c>
      <c r="V3540">
        <f>U3540*1</f>
        <v>10805.7</v>
      </c>
      <c r="W3540">
        <f t="shared" si="403"/>
        <v>44428.55</v>
      </c>
      <c r="X3540">
        <f t="shared" si="401"/>
        <v>0.1942874599053</v>
      </c>
      <c r="AH3540" t="str">
        <f t="shared" si="404"/>
        <v>2nd Quality</v>
      </c>
      <c r="AJ3540">
        <f>((T3540-X3540)*2)/18</f>
        <v>71.6559111085867</v>
      </c>
      <c r="AK3540">
        <f t="shared" si="402"/>
        <v>615423.003015075</v>
      </c>
    </row>
    <row r="3541" spans="1:37">
      <c r="A3541" t="s">
        <v>3607</v>
      </c>
      <c r="B3541">
        <v>20</v>
      </c>
      <c r="C3541" t="s">
        <v>44</v>
      </c>
      <c r="D3541" t="s">
        <v>45</v>
      </c>
      <c r="E3541">
        <v>828</v>
      </c>
      <c r="F3541">
        <v>22</v>
      </c>
      <c r="G3541">
        <v>10</v>
      </c>
      <c r="H3541">
        <v>1350.11</v>
      </c>
      <c r="I3541">
        <v>14203.91</v>
      </c>
      <c r="J3541">
        <v>65</v>
      </c>
      <c r="K3541">
        <v>1</v>
      </c>
      <c r="L3541">
        <v>24.9</v>
      </c>
      <c r="M3541">
        <v>11.9</v>
      </c>
      <c r="N3541" t="s">
        <v>61</v>
      </c>
      <c r="O3541" t="s">
        <v>47</v>
      </c>
      <c r="P3541" t="s">
        <v>58</v>
      </c>
      <c r="R3541">
        <f>SUMIF(A3541:A8540,"C03540",I3541:I8540)</f>
        <v>14203.91</v>
      </c>
      <c r="S3541" s="1">
        <v>5690.32</v>
      </c>
      <c r="T3541">
        <f t="shared" si="398"/>
        <v>218.521692307692</v>
      </c>
      <c r="U3541">
        <f t="shared" si="399"/>
        <v>773.5</v>
      </c>
      <c r="V3541">
        <f>U3541*1</f>
        <v>773.5</v>
      </c>
      <c r="W3541">
        <f t="shared" si="403"/>
        <v>5185.00666666667</v>
      </c>
      <c r="X3541">
        <f t="shared" si="401"/>
        <v>0.613283362096422</v>
      </c>
      <c r="AH3541" t="str">
        <f t="shared" si="404"/>
        <v>3rd Quality</v>
      </c>
      <c r="AJ3541">
        <f>((T3541-X3541)*2)/24.9</f>
        <v>17.5026834494454</v>
      </c>
      <c r="AK3541">
        <f t="shared" si="402"/>
        <v>180935.961230769</v>
      </c>
    </row>
    <row r="3542" spans="1:37">
      <c r="A3542" t="s">
        <v>3608</v>
      </c>
      <c r="B3542">
        <v>28</v>
      </c>
      <c r="C3542" t="s">
        <v>50</v>
      </c>
      <c r="D3542" t="s">
        <v>51</v>
      </c>
      <c r="E3542">
        <v>771</v>
      </c>
      <c r="F3542">
        <v>123</v>
      </c>
      <c r="G3542">
        <v>1</v>
      </c>
      <c r="H3542">
        <v>772.96</v>
      </c>
      <c r="I3542">
        <v>756.23</v>
      </c>
      <c r="J3542">
        <v>8</v>
      </c>
      <c r="K3542">
        <v>0</v>
      </c>
      <c r="L3542">
        <v>25.1</v>
      </c>
      <c r="M3542">
        <v>14.4</v>
      </c>
      <c r="N3542" t="s">
        <v>57</v>
      </c>
      <c r="O3542" t="s">
        <v>47</v>
      </c>
      <c r="P3542" t="s">
        <v>58</v>
      </c>
      <c r="R3542">
        <f>SUMIF(A3542:A8541,"C03541",I3542:I8541)</f>
        <v>756.23</v>
      </c>
      <c r="S3542" s="1">
        <v>13156.6</v>
      </c>
      <c r="T3542">
        <f t="shared" ref="T3542:T3605" si="405">I3542/J3542</f>
        <v>94.52875</v>
      </c>
      <c r="U3542">
        <f t="shared" si="399"/>
        <v>115.2</v>
      </c>
      <c r="V3542">
        <f t="shared" si="400"/>
        <v>9.6</v>
      </c>
      <c r="W3542">
        <f t="shared" si="403"/>
        <v>510.063333333333</v>
      </c>
      <c r="X3542">
        <f t="shared" si="401"/>
        <v>0.997464293107017</v>
      </c>
      <c r="AH3542" t="str">
        <f t="shared" si="404"/>
        <v>3rd Quality</v>
      </c>
      <c r="AJ3542">
        <f>((T3542-X3542)*2)/25.1</f>
        <v>7.45269208819864</v>
      </c>
      <c r="AK3542">
        <f t="shared" si="402"/>
        <v>72881.66625</v>
      </c>
    </row>
    <row r="3543" spans="1:37">
      <c r="A3543" t="s">
        <v>3609</v>
      </c>
      <c r="B3543">
        <v>33</v>
      </c>
      <c r="C3543" t="s">
        <v>50</v>
      </c>
      <c r="D3543" t="s">
        <v>60</v>
      </c>
      <c r="E3543">
        <v>1130</v>
      </c>
      <c r="F3543">
        <v>16</v>
      </c>
      <c r="G3543">
        <v>2</v>
      </c>
      <c r="H3543">
        <v>9094.02</v>
      </c>
      <c r="I3543">
        <v>17665.71</v>
      </c>
      <c r="J3543">
        <v>23</v>
      </c>
      <c r="K3543">
        <v>0</v>
      </c>
      <c r="L3543">
        <v>0</v>
      </c>
      <c r="M3543">
        <v>41.1</v>
      </c>
      <c r="N3543" t="s">
        <v>81</v>
      </c>
      <c r="O3543" t="s">
        <v>47</v>
      </c>
      <c r="P3543" t="s">
        <v>66</v>
      </c>
      <c r="R3543">
        <f>SUMIF(A3543:A8542,"C03542",I3543:I8542)</f>
        <v>17665.71</v>
      </c>
      <c r="S3543" s="1">
        <v>3745.84</v>
      </c>
      <c r="T3543">
        <f t="shared" si="405"/>
        <v>768.074347826087</v>
      </c>
      <c r="U3543">
        <f t="shared" si="399"/>
        <v>945.3</v>
      </c>
      <c r="V3543">
        <f t="shared" si="400"/>
        <v>78.775</v>
      </c>
      <c r="W3543">
        <f t="shared" si="403"/>
        <v>8920.24333333333</v>
      </c>
      <c r="X3543">
        <f t="shared" si="401"/>
        <v>0.124257479090655</v>
      </c>
      <c r="AH3543" t="str">
        <f t="shared" si="404"/>
        <v>2nd Quality</v>
      </c>
      <c r="AJ3543">
        <f>((T3543-X3543)*2)</f>
        <v>1535.90018069399</v>
      </c>
      <c r="AK3543">
        <f t="shared" si="402"/>
        <v>867924.013043478</v>
      </c>
    </row>
    <row r="3544" spans="1:37">
      <c r="A3544" t="s">
        <v>3610</v>
      </c>
      <c r="B3544">
        <v>24</v>
      </c>
      <c r="C3544" t="s">
        <v>50</v>
      </c>
      <c r="D3544" t="s">
        <v>60</v>
      </c>
      <c r="E3544">
        <v>1065</v>
      </c>
      <c r="F3544">
        <v>365</v>
      </c>
      <c r="G3544">
        <v>3</v>
      </c>
      <c r="H3544">
        <v>1764.54</v>
      </c>
      <c r="I3544">
        <v>5690.32</v>
      </c>
      <c r="J3544">
        <v>29</v>
      </c>
      <c r="K3544">
        <v>0</v>
      </c>
      <c r="L3544">
        <v>16.4</v>
      </c>
      <c r="M3544">
        <v>5.1</v>
      </c>
      <c r="N3544" t="s">
        <v>61</v>
      </c>
      <c r="O3544" t="s">
        <v>47</v>
      </c>
      <c r="P3544" t="s">
        <v>68</v>
      </c>
      <c r="R3544">
        <f>SUMIF(A3544:A8543,"C03543",I3544:I8543)</f>
        <v>5690.32</v>
      </c>
      <c r="S3544" s="1">
        <v>22717.86</v>
      </c>
      <c r="T3544">
        <f t="shared" si="405"/>
        <v>196.217931034483</v>
      </c>
      <c r="U3544">
        <f t="shared" si="399"/>
        <v>147.9</v>
      </c>
      <c r="V3544">
        <f t="shared" si="400"/>
        <v>12.325</v>
      </c>
      <c r="W3544">
        <f t="shared" si="403"/>
        <v>2485.28666666667</v>
      </c>
      <c r="X3544">
        <f t="shared" si="401"/>
        <v>0.603556734333027</v>
      </c>
      <c r="AH3544" t="str">
        <f t="shared" si="404"/>
        <v>3rd Quality</v>
      </c>
      <c r="AJ3544">
        <f>((T3544-X3544)*2)/16.4</f>
        <v>23.8554115000183</v>
      </c>
      <c r="AK3544">
        <f t="shared" si="402"/>
        <v>208972.096551724</v>
      </c>
    </row>
    <row r="3545" spans="1:37">
      <c r="A3545" t="s">
        <v>3611</v>
      </c>
      <c r="B3545">
        <v>37</v>
      </c>
      <c r="C3545" t="s">
        <v>50</v>
      </c>
      <c r="D3545" t="s">
        <v>60</v>
      </c>
      <c r="E3545">
        <v>522</v>
      </c>
      <c r="F3545">
        <v>22</v>
      </c>
      <c r="G3545">
        <v>10</v>
      </c>
      <c r="H3545">
        <v>1327.15</v>
      </c>
      <c r="I3545">
        <v>13156.6</v>
      </c>
      <c r="J3545">
        <v>77</v>
      </c>
      <c r="K3545">
        <v>1</v>
      </c>
      <c r="L3545">
        <v>17.5</v>
      </c>
      <c r="M3545">
        <v>48.2</v>
      </c>
      <c r="N3545" t="s">
        <v>61</v>
      </c>
      <c r="O3545" t="s">
        <v>47</v>
      </c>
      <c r="P3545" t="s">
        <v>48</v>
      </c>
      <c r="R3545">
        <f>SUMIF(A3545:A8544,"C03544",I3545:I8544)</f>
        <v>13156.6</v>
      </c>
      <c r="S3545" s="1">
        <v>5448.72</v>
      </c>
      <c r="T3545">
        <f t="shared" si="405"/>
        <v>170.864935064935</v>
      </c>
      <c r="U3545">
        <f t="shared" si="399"/>
        <v>3711.4</v>
      </c>
      <c r="V3545">
        <f>U3545*1</f>
        <v>3711.4</v>
      </c>
      <c r="W3545">
        <f t="shared" si="403"/>
        <v>4828.25</v>
      </c>
      <c r="X3545">
        <f t="shared" si="401"/>
        <v>0.393324040236597</v>
      </c>
      <c r="AH3545" t="str">
        <f t="shared" si="404"/>
        <v>3rd Quality</v>
      </c>
      <c r="AJ3545">
        <f>((T3545-X3545)*2)/17.5</f>
        <v>19.4824698313941</v>
      </c>
      <c r="AK3545">
        <f t="shared" si="402"/>
        <v>89191.4961038961</v>
      </c>
    </row>
    <row r="3546" spans="1:37">
      <c r="A3546" t="s">
        <v>3612</v>
      </c>
      <c r="B3546">
        <v>25</v>
      </c>
      <c r="C3546" t="s">
        <v>44</v>
      </c>
      <c r="D3546" t="s">
        <v>60</v>
      </c>
      <c r="E3546">
        <v>1430</v>
      </c>
      <c r="F3546">
        <v>25</v>
      </c>
      <c r="G3546">
        <v>3</v>
      </c>
      <c r="H3546">
        <v>1118.31</v>
      </c>
      <c r="I3546">
        <v>3745.84</v>
      </c>
      <c r="J3546">
        <v>25</v>
      </c>
      <c r="K3546">
        <v>0</v>
      </c>
      <c r="L3546">
        <v>17.4</v>
      </c>
      <c r="M3546">
        <v>44.6</v>
      </c>
      <c r="N3546" t="s">
        <v>63</v>
      </c>
      <c r="O3546" t="s">
        <v>75</v>
      </c>
      <c r="P3546" t="s">
        <v>58</v>
      </c>
      <c r="R3546">
        <f>SUMIF(A3546:A8545,"C03545",I3546:I8545)</f>
        <v>3745.84</v>
      </c>
      <c r="S3546" s="1">
        <v>1923.42</v>
      </c>
      <c r="T3546">
        <f t="shared" si="405"/>
        <v>149.8336</v>
      </c>
      <c r="U3546">
        <f t="shared" si="399"/>
        <v>1115</v>
      </c>
      <c r="V3546">
        <f t="shared" si="400"/>
        <v>92.9166666666667</v>
      </c>
      <c r="W3546">
        <f t="shared" si="403"/>
        <v>1621.71666666667</v>
      </c>
      <c r="X3546">
        <f t="shared" si="401"/>
        <v>1.27871520419204</v>
      </c>
      <c r="AH3546" t="str">
        <f t="shared" si="404"/>
        <v>3rd Quality</v>
      </c>
      <c r="AJ3546">
        <f>((T3546-X3546)*2)/17.4</f>
        <v>17.0752741144607</v>
      </c>
      <c r="AK3546">
        <f t="shared" si="402"/>
        <v>214262.048</v>
      </c>
    </row>
    <row r="3547" spans="1:37">
      <c r="A3547" t="s">
        <v>3613</v>
      </c>
      <c r="B3547">
        <v>51</v>
      </c>
      <c r="C3547" t="s">
        <v>44</v>
      </c>
      <c r="D3547" t="s">
        <v>51</v>
      </c>
      <c r="E3547">
        <v>614</v>
      </c>
      <c r="F3547">
        <v>43</v>
      </c>
      <c r="G3547">
        <v>10</v>
      </c>
      <c r="H3547">
        <v>2231.9</v>
      </c>
      <c r="I3547">
        <v>22717.86</v>
      </c>
      <c r="J3547">
        <v>39</v>
      </c>
      <c r="K3547">
        <v>0</v>
      </c>
      <c r="L3547">
        <v>11</v>
      </c>
      <c r="M3547">
        <v>59.9</v>
      </c>
      <c r="N3547" t="s">
        <v>46</v>
      </c>
      <c r="O3547" t="s">
        <v>75</v>
      </c>
      <c r="P3547" t="s">
        <v>58</v>
      </c>
      <c r="R3547">
        <f>SUMIF(A3547:A8546,"C03546",I3547:I8546)</f>
        <v>22717.86</v>
      </c>
      <c r="S3547" s="1">
        <v>84896.59</v>
      </c>
      <c r="T3547">
        <f t="shared" si="405"/>
        <v>582.509230769231</v>
      </c>
      <c r="U3547">
        <f t="shared" si="399"/>
        <v>2336.1</v>
      </c>
      <c r="V3547">
        <f t="shared" si="400"/>
        <v>194.675</v>
      </c>
      <c r="W3547">
        <f t="shared" si="403"/>
        <v>8316.92</v>
      </c>
      <c r="X3547">
        <f t="shared" si="401"/>
        <v>0.275101931090103</v>
      </c>
      <c r="AH3547" t="str">
        <f t="shared" si="404"/>
        <v>3rd Quality</v>
      </c>
      <c r="AJ3547">
        <f>((T3547-X3547)*2)/11</f>
        <v>105.860750697844</v>
      </c>
      <c r="AK3547">
        <f t="shared" si="402"/>
        <v>357660.667692308</v>
      </c>
    </row>
    <row r="3548" spans="1:37">
      <c r="A3548" t="s">
        <v>3614</v>
      </c>
      <c r="B3548">
        <v>44</v>
      </c>
      <c r="C3548" t="s">
        <v>44</v>
      </c>
      <c r="D3548" t="s">
        <v>60</v>
      </c>
      <c r="E3548">
        <v>967</v>
      </c>
      <c r="F3548">
        <v>40</v>
      </c>
      <c r="G3548">
        <v>9</v>
      </c>
      <c r="H3548">
        <v>547.92</v>
      </c>
      <c r="I3548">
        <v>5448.72</v>
      </c>
      <c r="J3548">
        <v>72</v>
      </c>
      <c r="K3548">
        <v>3</v>
      </c>
      <c r="L3548">
        <v>22.6</v>
      </c>
      <c r="M3548">
        <v>31.8</v>
      </c>
      <c r="N3548" t="s">
        <v>63</v>
      </c>
      <c r="O3548" t="s">
        <v>47</v>
      </c>
      <c r="P3548" t="s">
        <v>58</v>
      </c>
      <c r="R3548">
        <f>SUMIF(A3548:A8547,"C03547",I3548:I8547)</f>
        <v>5448.72</v>
      </c>
      <c r="S3548" s="1">
        <v>5805.57</v>
      </c>
      <c r="T3548">
        <f t="shared" si="405"/>
        <v>75.6766666666667</v>
      </c>
      <c r="U3548">
        <f t="shared" si="399"/>
        <v>2289.6</v>
      </c>
      <c r="V3548">
        <f>U3548*3</f>
        <v>6868.8</v>
      </c>
      <c r="W3548">
        <f t="shared" si="403"/>
        <v>1999.21333333333</v>
      </c>
      <c r="X3548">
        <f t="shared" si="401"/>
        <v>1.76485618338444</v>
      </c>
      <c r="AH3548" t="str">
        <f t="shared" si="404"/>
        <v>3rd Quality</v>
      </c>
      <c r="AJ3548">
        <f>((T3548-X3548)*2)/22.6</f>
        <v>6.54086818436126</v>
      </c>
      <c r="AK3548">
        <f t="shared" si="402"/>
        <v>73179.3366666667</v>
      </c>
    </row>
    <row r="3549" spans="1:37">
      <c r="A3549" t="s">
        <v>3615</v>
      </c>
      <c r="B3549">
        <v>32</v>
      </c>
      <c r="C3549" t="s">
        <v>44</v>
      </c>
      <c r="D3549" t="s">
        <v>45</v>
      </c>
      <c r="E3549">
        <v>536</v>
      </c>
      <c r="F3549">
        <v>220</v>
      </c>
      <c r="G3549">
        <v>1</v>
      </c>
      <c r="H3549">
        <v>1761.81</v>
      </c>
      <c r="I3549">
        <v>1923.42</v>
      </c>
      <c r="J3549">
        <v>10</v>
      </c>
      <c r="K3549">
        <v>1</v>
      </c>
      <c r="L3549">
        <v>23.6</v>
      </c>
      <c r="M3549">
        <v>33</v>
      </c>
      <c r="N3549" t="s">
        <v>63</v>
      </c>
      <c r="O3549" t="s">
        <v>47</v>
      </c>
      <c r="P3549" t="s">
        <v>48</v>
      </c>
      <c r="R3549">
        <f>SUMIF(A3549:A8548,"C03548",I3549:I8548)</f>
        <v>1923.42</v>
      </c>
      <c r="S3549" s="1">
        <v>1544.95</v>
      </c>
      <c r="T3549">
        <f t="shared" si="405"/>
        <v>192.342</v>
      </c>
      <c r="U3549">
        <f t="shared" si="399"/>
        <v>330</v>
      </c>
      <c r="V3549">
        <f>U3549*1</f>
        <v>330</v>
      </c>
      <c r="W3549">
        <f t="shared" si="403"/>
        <v>1228.74333333333</v>
      </c>
      <c r="X3549">
        <f t="shared" si="401"/>
        <v>0.304232578995465</v>
      </c>
      <c r="AH3549" t="str">
        <f t="shared" si="404"/>
        <v>3rd Quality</v>
      </c>
      <c r="AJ3549">
        <f>((T3549-X3549)*2)/23.6</f>
        <v>16.2743870695767</v>
      </c>
      <c r="AK3549">
        <f t="shared" si="402"/>
        <v>103095.312</v>
      </c>
    </row>
    <row r="3550" spans="1:37">
      <c r="A3550" t="s">
        <v>3616</v>
      </c>
      <c r="B3550">
        <v>50</v>
      </c>
      <c r="C3550" t="s">
        <v>50</v>
      </c>
      <c r="D3550" t="s">
        <v>45</v>
      </c>
      <c r="E3550">
        <v>1025</v>
      </c>
      <c r="F3550">
        <v>22</v>
      </c>
      <c r="G3550">
        <v>26</v>
      </c>
      <c r="H3550">
        <v>3334.04</v>
      </c>
      <c r="I3550">
        <v>84896.59</v>
      </c>
      <c r="J3550">
        <v>85</v>
      </c>
      <c r="K3550">
        <v>5</v>
      </c>
      <c r="L3550">
        <v>17.9</v>
      </c>
      <c r="M3550">
        <v>32.7</v>
      </c>
      <c r="N3550" t="s">
        <v>57</v>
      </c>
      <c r="O3550" t="s">
        <v>75</v>
      </c>
      <c r="P3550" t="s">
        <v>58</v>
      </c>
      <c r="R3550">
        <f>SUMIF(A3550:A8549,"C03549",I3550:I8549)</f>
        <v>84896.59</v>
      </c>
      <c r="S3550" s="1">
        <v>22651.86</v>
      </c>
      <c r="T3550">
        <f t="shared" si="405"/>
        <v>998.783411764706</v>
      </c>
      <c r="U3550">
        <f t="shared" si="399"/>
        <v>2779.5</v>
      </c>
      <c r="V3550">
        <f>U3550*5</f>
        <v>13897.5</v>
      </c>
      <c r="W3550">
        <f t="shared" si="403"/>
        <v>29410.5433333333</v>
      </c>
      <c r="X3550">
        <f t="shared" si="401"/>
        <v>0.307434823817351</v>
      </c>
      <c r="AH3550" t="str">
        <f t="shared" si="404"/>
        <v>3rd Quality</v>
      </c>
      <c r="AJ3550">
        <f>((T3550-X3550)*2)/17.9</f>
        <v>111.561561669373</v>
      </c>
      <c r="AK3550">
        <f t="shared" si="402"/>
        <v>1023752.99705882</v>
      </c>
    </row>
    <row r="3551" spans="1:37">
      <c r="A3551" t="s">
        <v>3617</v>
      </c>
      <c r="B3551">
        <v>36</v>
      </c>
      <c r="C3551" t="s">
        <v>44</v>
      </c>
      <c r="D3551" t="s">
        <v>45</v>
      </c>
      <c r="E3551">
        <v>398</v>
      </c>
      <c r="F3551">
        <v>56</v>
      </c>
      <c r="G3551">
        <v>3</v>
      </c>
      <c r="H3551">
        <v>1884.24</v>
      </c>
      <c r="I3551">
        <v>5805.57</v>
      </c>
      <c r="J3551">
        <v>34</v>
      </c>
      <c r="K3551">
        <v>0</v>
      </c>
      <c r="L3551">
        <v>21.6</v>
      </c>
      <c r="M3551">
        <v>40</v>
      </c>
      <c r="N3551" t="s">
        <v>63</v>
      </c>
      <c r="O3551" t="s">
        <v>53</v>
      </c>
      <c r="P3551" t="s">
        <v>66</v>
      </c>
      <c r="R3551">
        <f>SUMIF(A3551:A8550,"C03550",I3551:I8550)</f>
        <v>5805.57</v>
      </c>
      <c r="S3551" s="1">
        <v>12508.65</v>
      </c>
      <c r="T3551">
        <f t="shared" si="405"/>
        <v>170.752058823529</v>
      </c>
      <c r="U3551">
        <f t="shared" si="399"/>
        <v>1360</v>
      </c>
      <c r="V3551">
        <f t="shared" si="400"/>
        <v>113.333333333333</v>
      </c>
      <c r="W3551">
        <f t="shared" si="403"/>
        <v>2563.60333333333</v>
      </c>
      <c r="X3551">
        <f t="shared" si="401"/>
        <v>0.211225746189445</v>
      </c>
      <c r="AH3551" t="str">
        <f t="shared" si="404"/>
        <v>3rd Quality</v>
      </c>
      <c r="AJ3551">
        <f>((T3551-X3551)*2)/21.6</f>
        <v>15.7908178775314</v>
      </c>
      <c r="AK3551">
        <f t="shared" si="402"/>
        <v>67959.3194117647</v>
      </c>
    </row>
    <row r="3552" spans="1:37">
      <c r="A3552" t="s">
        <v>3618</v>
      </c>
      <c r="B3552">
        <v>37</v>
      </c>
      <c r="C3552" t="s">
        <v>44</v>
      </c>
      <c r="D3552" t="s">
        <v>51</v>
      </c>
      <c r="E3552">
        <v>663</v>
      </c>
      <c r="F3552">
        <v>112</v>
      </c>
      <c r="G3552">
        <v>1</v>
      </c>
      <c r="H3552">
        <v>1690.7</v>
      </c>
      <c r="I3552">
        <v>1544.95</v>
      </c>
      <c r="J3552">
        <v>16</v>
      </c>
      <c r="K3552">
        <v>0</v>
      </c>
      <c r="L3552">
        <v>13.6</v>
      </c>
      <c r="M3552">
        <v>72</v>
      </c>
      <c r="N3552" t="s">
        <v>52</v>
      </c>
      <c r="O3552" t="s">
        <v>53</v>
      </c>
      <c r="P3552" t="s">
        <v>66</v>
      </c>
      <c r="R3552">
        <f>SUMIF(A3552:A8551,"C03551",I3552:I8551)</f>
        <v>1544.95</v>
      </c>
      <c r="S3552" s="1">
        <v>39234.7</v>
      </c>
      <c r="T3552">
        <f t="shared" si="405"/>
        <v>96.559375</v>
      </c>
      <c r="U3552">
        <f t="shared" si="399"/>
        <v>1152</v>
      </c>
      <c r="V3552">
        <f t="shared" si="400"/>
        <v>96</v>
      </c>
      <c r="W3552">
        <f t="shared" si="403"/>
        <v>1078.88333333333</v>
      </c>
      <c r="X3552">
        <f t="shared" si="401"/>
        <v>0.392145265274738</v>
      </c>
      <c r="AH3552" t="str">
        <f t="shared" si="404"/>
        <v>3rd Quality</v>
      </c>
      <c r="AJ3552">
        <f>((T3552-X3552)*2)/13.6</f>
        <v>14.1422396668714</v>
      </c>
      <c r="AK3552">
        <f t="shared" si="402"/>
        <v>64018.865625</v>
      </c>
    </row>
    <row r="3553" spans="1:37">
      <c r="A3553" t="s">
        <v>3619</v>
      </c>
      <c r="B3553">
        <v>40</v>
      </c>
      <c r="C3553" t="s">
        <v>44</v>
      </c>
      <c r="D3553" t="s">
        <v>60</v>
      </c>
      <c r="E3553">
        <v>868</v>
      </c>
      <c r="F3553">
        <v>1</v>
      </c>
      <c r="G3553">
        <v>2</v>
      </c>
      <c r="H3553">
        <v>11252.96</v>
      </c>
      <c r="I3553">
        <v>22651.86</v>
      </c>
      <c r="J3553">
        <v>28</v>
      </c>
      <c r="K3553">
        <v>0</v>
      </c>
      <c r="L3553">
        <v>0.8</v>
      </c>
      <c r="M3553">
        <v>12.5</v>
      </c>
      <c r="N3553" t="s">
        <v>52</v>
      </c>
      <c r="O3553" t="s">
        <v>47</v>
      </c>
      <c r="P3553" t="s">
        <v>58</v>
      </c>
      <c r="R3553">
        <f>SUMIF(A3553:A8552,"C03552",I3553:I8552)</f>
        <v>22651.86</v>
      </c>
      <c r="S3553" s="1">
        <v>19505.01</v>
      </c>
      <c r="T3553">
        <f t="shared" si="405"/>
        <v>808.995</v>
      </c>
      <c r="U3553">
        <f t="shared" si="399"/>
        <v>350</v>
      </c>
      <c r="V3553">
        <f t="shared" si="400"/>
        <v>29.1666666666667</v>
      </c>
      <c r="W3553">
        <f t="shared" si="403"/>
        <v>11301.94</v>
      </c>
      <c r="X3553">
        <f t="shared" si="401"/>
        <v>0.0771352604114828</v>
      </c>
      <c r="AH3553" t="str">
        <f t="shared" si="404"/>
        <v>2nd Quality</v>
      </c>
      <c r="AJ3553">
        <f>((T3553-X3553)*2)/0.8</f>
        <v>2022.29466184897</v>
      </c>
      <c r="AK3553">
        <f t="shared" si="402"/>
        <v>702207.66</v>
      </c>
    </row>
    <row r="3554" spans="1:37">
      <c r="A3554" t="s">
        <v>3620</v>
      </c>
      <c r="B3554">
        <v>36</v>
      </c>
      <c r="C3554" t="s">
        <v>50</v>
      </c>
      <c r="D3554" t="s">
        <v>60</v>
      </c>
      <c r="E3554">
        <v>477</v>
      </c>
      <c r="F3554">
        <v>53</v>
      </c>
      <c r="G3554">
        <v>9</v>
      </c>
      <c r="H3554">
        <v>1415.68</v>
      </c>
      <c r="I3554">
        <v>12508.65</v>
      </c>
      <c r="J3554">
        <v>44</v>
      </c>
      <c r="K3554">
        <v>2</v>
      </c>
      <c r="L3554">
        <v>16.3</v>
      </c>
      <c r="M3554">
        <v>45.2</v>
      </c>
      <c r="N3554" t="s">
        <v>57</v>
      </c>
      <c r="O3554" t="s">
        <v>47</v>
      </c>
      <c r="P3554" t="s">
        <v>58</v>
      </c>
      <c r="R3554">
        <f>SUMIF(A3554:A8553,"C03553",I3554:I8553)</f>
        <v>12508.65</v>
      </c>
      <c r="S3554" s="1">
        <v>1212.22</v>
      </c>
      <c r="T3554">
        <f t="shared" si="405"/>
        <v>284.2875</v>
      </c>
      <c r="U3554">
        <f t="shared" ref="U3554:U3617" si="406">J3554*M3554</f>
        <v>1988.8</v>
      </c>
      <c r="V3554">
        <f>U3554*2</f>
        <v>3977.6</v>
      </c>
      <c r="W3554">
        <f t="shared" si="403"/>
        <v>4641.77666666667</v>
      </c>
      <c r="X3554">
        <f t="shared" si="401"/>
        <v>0.336940551537071</v>
      </c>
      <c r="AH3554" t="str">
        <f t="shared" si="404"/>
        <v>3rd Quality</v>
      </c>
      <c r="AJ3554">
        <f>((T3554-X3554)*2)/16.3</f>
        <v>34.8405594415292</v>
      </c>
      <c r="AK3554">
        <f t="shared" si="402"/>
        <v>135605.1375</v>
      </c>
    </row>
    <row r="3555" spans="1:37">
      <c r="A3555" t="s">
        <v>3621</v>
      </c>
      <c r="B3555">
        <v>41</v>
      </c>
      <c r="C3555" t="s">
        <v>50</v>
      </c>
      <c r="D3555" t="s">
        <v>60</v>
      </c>
      <c r="E3555">
        <v>911</v>
      </c>
      <c r="F3555">
        <v>43</v>
      </c>
      <c r="G3555">
        <v>4</v>
      </c>
      <c r="H3555">
        <v>9847.08</v>
      </c>
      <c r="I3555">
        <v>39234.7</v>
      </c>
      <c r="J3555">
        <v>40</v>
      </c>
      <c r="K3555">
        <v>0</v>
      </c>
      <c r="L3555">
        <v>3.9</v>
      </c>
      <c r="M3555">
        <v>11.1</v>
      </c>
      <c r="N3555" t="s">
        <v>63</v>
      </c>
      <c r="O3555" t="s">
        <v>47</v>
      </c>
      <c r="P3555" t="s">
        <v>58</v>
      </c>
      <c r="R3555">
        <f>SUMIF(A3555:A8554,"C03554",I3555:I8554)</f>
        <v>39234.7</v>
      </c>
      <c r="S3555" s="1">
        <v>13258.56</v>
      </c>
      <c r="T3555">
        <f t="shared" si="405"/>
        <v>980.8675</v>
      </c>
      <c r="U3555">
        <f t="shared" si="406"/>
        <v>444</v>
      </c>
      <c r="V3555">
        <f t="shared" si="400"/>
        <v>37</v>
      </c>
      <c r="W3555">
        <f t="shared" si="403"/>
        <v>16360.9266666667</v>
      </c>
      <c r="X3555">
        <f t="shared" si="401"/>
        <v>0.0925147353327078</v>
      </c>
      <c r="AH3555" t="str">
        <f t="shared" si="404"/>
        <v>2nd Quality</v>
      </c>
      <c r="AJ3555">
        <f>((T3555-X3555)*2)/3.9</f>
        <v>502.961530904958</v>
      </c>
      <c r="AK3555">
        <f t="shared" si="402"/>
        <v>893570.2925</v>
      </c>
    </row>
    <row r="3556" spans="1:37">
      <c r="A3556" t="s">
        <v>3622</v>
      </c>
      <c r="B3556">
        <v>36</v>
      </c>
      <c r="C3556" t="s">
        <v>44</v>
      </c>
      <c r="D3556" t="s">
        <v>45</v>
      </c>
      <c r="E3556">
        <v>1003</v>
      </c>
      <c r="F3556">
        <v>73</v>
      </c>
      <c r="G3556">
        <v>8</v>
      </c>
      <c r="H3556">
        <v>2638.02</v>
      </c>
      <c r="I3556">
        <v>19505.01</v>
      </c>
      <c r="J3556">
        <v>77</v>
      </c>
      <c r="K3556">
        <v>1</v>
      </c>
      <c r="L3556">
        <v>22.1</v>
      </c>
      <c r="M3556">
        <v>16.4</v>
      </c>
      <c r="N3556" t="s">
        <v>63</v>
      </c>
      <c r="O3556" t="s">
        <v>53</v>
      </c>
      <c r="P3556" t="s">
        <v>66</v>
      </c>
      <c r="R3556">
        <f>SUMIF(A3556:A8555,"C03555",I3556:I8555)</f>
        <v>19505.01</v>
      </c>
      <c r="S3556" s="1">
        <v>2416.99</v>
      </c>
      <c r="T3556">
        <f t="shared" si="405"/>
        <v>253.311818181818</v>
      </c>
      <c r="U3556">
        <f t="shared" si="406"/>
        <v>1262.8</v>
      </c>
      <c r="V3556">
        <f>U3556*1</f>
        <v>1262.8</v>
      </c>
      <c r="W3556">
        <f t="shared" si="403"/>
        <v>7381.34333333333</v>
      </c>
      <c r="X3556">
        <f t="shared" si="401"/>
        <v>0.380209399473848</v>
      </c>
      <c r="AH3556" t="str">
        <f t="shared" si="404"/>
        <v>2nd Quality</v>
      </c>
      <c r="AJ3556">
        <f>((T3556-X3556)*2)/22.1</f>
        <v>22.8897383513434</v>
      </c>
      <c r="AK3556">
        <f t="shared" si="402"/>
        <v>254071.753636364</v>
      </c>
    </row>
    <row r="3557" spans="1:37">
      <c r="A3557" t="s">
        <v>3623</v>
      </c>
      <c r="B3557">
        <v>37</v>
      </c>
      <c r="C3557" t="s">
        <v>50</v>
      </c>
      <c r="D3557" t="s">
        <v>45</v>
      </c>
      <c r="E3557">
        <v>1401</v>
      </c>
      <c r="F3557">
        <v>75</v>
      </c>
      <c r="G3557">
        <v>2</v>
      </c>
      <c r="H3557">
        <v>557.14</v>
      </c>
      <c r="I3557">
        <v>1212.22</v>
      </c>
      <c r="J3557">
        <v>18</v>
      </c>
      <c r="K3557">
        <v>0</v>
      </c>
      <c r="L3557">
        <v>27</v>
      </c>
      <c r="M3557">
        <v>20.7</v>
      </c>
      <c r="N3557" t="s">
        <v>63</v>
      </c>
      <c r="O3557" t="s">
        <v>53</v>
      </c>
      <c r="P3557" t="s">
        <v>58</v>
      </c>
      <c r="R3557">
        <f>SUMIF(A3557:A8556,"C03556",I3557:I8556)</f>
        <v>1212.22</v>
      </c>
      <c r="S3557" s="1">
        <v>34771.1</v>
      </c>
      <c r="T3557">
        <f t="shared" si="405"/>
        <v>67.3455555555556</v>
      </c>
      <c r="U3557">
        <f t="shared" si="406"/>
        <v>372.6</v>
      </c>
      <c r="V3557">
        <f t="shared" si="400"/>
        <v>31.05</v>
      </c>
      <c r="W3557">
        <f t="shared" si="403"/>
        <v>590.12</v>
      </c>
      <c r="X3557">
        <f t="shared" si="401"/>
        <v>2.51462828014503</v>
      </c>
      <c r="AH3557" t="str">
        <f t="shared" si="404"/>
        <v>3rd Quality</v>
      </c>
      <c r="AJ3557">
        <f>((T3557-X3557)*2)/27</f>
        <v>4.80229090928967</v>
      </c>
      <c r="AK3557">
        <f t="shared" si="402"/>
        <v>94351.1233333334</v>
      </c>
    </row>
    <row r="3558" spans="1:37">
      <c r="A3558" t="s">
        <v>3624</v>
      </c>
      <c r="B3558">
        <v>53</v>
      </c>
      <c r="C3558" t="s">
        <v>50</v>
      </c>
      <c r="D3558" t="s">
        <v>60</v>
      </c>
      <c r="E3558">
        <v>779</v>
      </c>
      <c r="F3558">
        <v>27</v>
      </c>
      <c r="G3558">
        <v>2</v>
      </c>
      <c r="H3558">
        <v>7372.48</v>
      </c>
      <c r="I3558">
        <v>13258.56</v>
      </c>
      <c r="J3558">
        <v>17</v>
      </c>
      <c r="K3558">
        <v>0</v>
      </c>
      <c r="L3558">
        <v>0</v>
      </c>
      <c r="M3558">
        <v>23.8</v>
      </c>
      <c r="N3558" t="s">
        <v>46</v>
      </c>
      <c r="O3558" t="s">
        <v>75</v>
      </c>
      <c r="P3558" t="s">
        <v>68</v>
      </c>
      <c r="R3558">
        <f>SUMIF(A3558:A8557,"C03557",I3558:I8557)</f>
        <v>13258.56</v>
      </c>
      <c r="S3558" s="1">
        <v>69522.05</v>
      </c>
      <c r="T3558">
        <f t="shared" si="405"/>
        <v>779.915294117647</v>
      </c>
      <c r="U3558">
        <f t="shared" si="406"/>
        <v>404.6</v>
      </c>
      <c r="V3558">
        <f t="shared" si="400"/>
        <v>33.7166666666667</v>
      </c>
      <c r="W3558">
        <f t="shared" si="403"/>
        <v>6877.34666666667</v>
      </c>
      <c r="X3558">
        <f t="shared" si="401"/>
        <v>0.105663223230175</v>
      </c>
      <c r="AH3558" t="str">
        <f t="shared" si="404"/>
        <v>3rd Quality</v>
      </c>
      <c r="AJ3558">
        <f>((T3558-X3558)*2)</f>
        <v>1559.61926178883</v>
      </c>
      <c r="AK3558">
        <f t="shared" si="402"/>
        <v>607554.014117647</v>
      </c>
    </row>
    <row r="3559" spans="1:37">
      <c r="A3559" t="s">
        <v>3625</v>
      </c>
      <c r="B3559">
        <v>50</v>
      </c>
      <c r="C3559" t="s">
        <v>56</v>
      </c>
      <c r="D3559" t="s">
        <v>45</v>
      </c>
      <c r="E3559">
        <v>1164</v>
      </c>
      <c r="F3559">
        <v>365</v>
      </c>
      <c r="G3559">
        <v>1</v>
      </c>
      <c r="H3559">
        <v>2264.18</v>
      </c>
      <c r="I3559">
        <v>2416.99</v>
      </c>
      <c r="J3559">
        <v>19</v>
      </c>
      <c r="K3559">
        <v>0</v>
      </c>
      <c r="L3559">
        <v>23.8</v>
      </c>
      <c r="M3559">
        <v>38.7</v>
      </c>
      <c r="N3559" t="s">
        <v>81</v>
      </c>
      <c r="O3559" t="s">
        <v>53</v>
      </c>
      <c r="P3559" t="s">
        <v>48</v>
      </c>
      <c r="R3559">
        <f>SUMIF(A3559:A8558,"C03558",I3559:I8558)</f>
        <v>2416.99</v>
      </c>
      <c r="S3559" s="1">
        <v>814.34</v>
      </c>
      <c r="T3559">
        <f t="shared" si="405"/>
        <v>127.21</v>
      </c>
      <c r="U3559">
        <f t="shared" si="406"/>
        <v>735.3</v>
      </c>
      <c r="V3559">
        <f t="shared" si="400"/>
        <v>61.275</v>
      </c>
      <c r="W3559">
        <f t="shared" si="403"/>
        <v>1560.72333333333</v>
      </c>
      <c r="X3559">
        <f t="shared" si="401"/>
        <v>0.514093402468002</v>
      </c>
      <c r="AH3559" t="str">
        <f t="shared" si="404"/>
        <v>3rd Quality</v>
      </c>
      <c r="AJ3559">
        <f>((T3559-X3559)*2)/23.8</f>
        <v>10.6467148401287</v>
      </c>
      <c r="AK3559">
        <f t="shared" si="402"/>
        <v>148072.44</v>
      </c>
    </row>
    <row r="3560" spans="1:37">
      <c r="A3560" t="s">
        <v>3626</v>
      </c>
      <c r="B3560">
        <v>21</v>
      </c>
      <c r="C3560" t="s">
        <v>101</v>
      </c>
      <c r="D3560" t="s">
        <v>60</v>
      </c>
      <c r="E3560">
        <v>658</v>
      </c>
      <c r="F3560">
        <v>20</v>
      </c>
      <c r="G3560">
        <v>3</v>
      </c>
      <c r="H3560">
        <v>10473.95</v>
      </c>
      <c r="I3560">
        <v>34771.1</v>
      </c>
      <c r="J3560">
        <v>25</v>
      </c>
      <c r="K3560">
        <v>0</v>
      </c>
      <c r="L3560">
        <v>7.2</v>
      </c>
      <c r="M3560">
        <v>25.9</v>
      </c>
      <c r="N3560" t="s">
        <v>46</v>
      </c>
      <c r="O3560" t="s">
        <v>47</v>
      </c>
      <c r="P3560" t="s">
        <v>66</v>
      </c>
      <c r="R3560">
        <f>SUMIF(A3560:A8559,"C03559",I3560:I8559)</f>
        <v>34771.1</v>
      </c>
      <c r="S3560" s="1">
        <v>41156.37</v>
      </c>
      <c r="T3560">
        <f t="shared" si="405"/>
        <v>1390.844</v>
      </c>
      <c r="U3560">
        <f t="shared" si="406"/>
        <v>647.5</v>
      </c>
      <c r="V3560">
        <f t="shared" si="400"/>
        <v>53.9583333333333</v>
      </c>
      <c r="W3560">
        <f t="shared" si="403"/>
        <v>15082.0166666667</v>
      </c>
      <c r="X3560">
        <f t="shared" si="401"/>
        <v>0.0628225263630244</v>
      </c>
      <c r="AH3560" t="str">
        <f t="shared" si="404"/>
        <v>2nd Quality</v>
      </c>
      <c r="AJ3560">
        <f>((T3560-X3560)*2)/7.2</f>
        <v>386.328104853788</v>
      </c>
      <c r="AK3560">
        <f t="shared" si="402"/>
        <v>915175.352</v>
      </c>
    </row>
    <row r="3561" spans="1:37">
      <c r="A3561" t="s">
        <v>3627</v>
      </c>
      <c r="B3561">
        <v>33</v>
      </c>
      <c r="C3561" t="s">
        <v>44</v>
      </c>
      <c r="D3561" t="s">
        <v>51</v>
      </c>
      <c r="E3561">
        <v>1428</v>
      </c>
      <c r="F3561">
        <v>29</v>
      </c>
      <c r="G3561">
        <v>9</v>
      </c>
      <c r="H3561">
        <v>8530.64</v>
      </c>
      <c r="I3561">
        <v>69522.05</v>
      </c>
      <c r="J3561">
        <v>57</v>
      </c>
      <c r="K3561">
        <v>1</v>
      </c>
      <c r="L3561">
        <v>8.8</v>
      </c>
      <c r="M3561">
        <v>28.1</v>
      </c>
      <c r="N3561" t="s">
        <v>63</v>
      </c>
      <c r="O3561" t="s">
        <v>47</v>
      </c>
      <c r="P3561" t="s">
        <v>68</v>
      </c>
      <c r="R3561">
        <f>SUMIF(A3561:A8560,"C03560",I3561:I8560)</f>
        <v>69522.05</v>
      </c>
      <c r="S3561" s="1">
        <v>2285.15</v>
      </c>
      <c r="T3561">
        <f t="shared" si="405"/>
        <v>1219.6850877193</v>
      </c>
      <c r="U3561">
        <f t="shared" si="406"/>
        <v>1601.7</v>
      </c>
      <c r="V3561">
        <f>U3561*1</f>
        <v>1601.7</v>
      </c>
      <c r="W3561">
        <f t="shared" si="403"/>
        <v>26017.8966666667</v>
      </c>
      <c r="X3561">
        <f t="shared" si="401"/>
        <v>0.167396584546998</v>
      </c>
      <c r="AH3561" t="str">
        <f t="shared" si="404"/>
        <v>1st Quality</v>
      </c>
      <c r="AJ3561">
        <f>((T3561-X3561)*2)/8.8</f>
        <v>277.163111621535</v>
      </c>
      <c r="AK3561">
        <f t="shared" si="402"/>
        <v>1741710.30526316</v>
      </c>
    </row>
    <row r="3562" spans="1:37">
      <c r="A3562" t="s">
        <v>3628</v>
      </c>
      <c r="B3562">
        <v>32</v>
      </c>
      <c r="C3562" t="s">
        <v>50</v>
      </c>
      <c r="D3562" t="s">
        <v>45</v>
      </c>
      <c r="E3562">
        <v>1422</v>
      </c>
      <c r="F3562">
        <v>202</v>
      </c>
      <c r="G3562">
        <v>1</v>
      </c>
      <c r="H3562">
        <v>827.51</v>
      </c>
      <c r="I3562">
        <v>814.34</v>
      </c>
      <c r="J3562">
        <v>12</v>
      </c>
      <c r="K3562">
        <v>0</v>
      </c>
      <c r="L3562">
        <v>32.2</v>
      </c>
      <c r="M3562">
        <v>60.3</v>
      </c>
      <c r="N3562" t="s">
        <v>52</v>
      </c>
      <c r="O3562" t="s">
        <v>47</v>
      </c>
      <c r="P3562" t="s">
        <v>66</v>
      </c>
      <c r="R3562">
        <f>SUMIF(A3562:A8561,"C03561",I3562:I8561)</f>
        <v>814.34</v>
      </c>
      <c r="S3562" s="1">
        <v>84946.13</v>
      </c>
      <c r="T3562">
        <f t="shared" si="405"/>
        <v>67.8616666666667</v>
      </c>
      <c r="U3562">
        <f t="shared" si="406"/>
        <v>723.6</v>
      </c>
      <c r="V3562">
        <f t="shared" si="400"/>
        <v>60.3</v>
      </c>
      <c r="W3562">
        <f t="shared" si="403"/>
        <v>547.616666666667</v>
      </c>
      <c r="X3562">
        <f t="shared" si="401"/>
        <v>1.71840823675847</v>
      </c>
      <c r="AH3562" t="str">
        <f t="shared" si="404"/>
        <v>3rd Quality</v>
      </c>
      <c r="AJ3562">
        <f>((T3562-X3562)*2)/32.2</f>
        <v>4.10827692111231</v>
      </c>
      <c r="AK3562">
        <f t="shared" si="402"/>
        <v>96499.29</v>
      </c>
    </row>
    <row r="3563" spans="1:37">
      <c r="A3563" t="s">
        <v>3629</v>
      </c>
      <c r="B3563">
        <v>18</v>
      </c>
      <c r="C3563" t="s">
        <v>44</v>
      </c>
      <c r="D3563" t="s">
        <v>60</v>
      </c>
      <c r="E3563">
        <v>1195</v>
      </c>
      <c r="F3563">
        <v>42</v>
      </c>
      <c r="G3563">
        <v>3</v>
      </c>
      <c r="H3563">
        <v>13444.68</v>
      </c>
      <c r="I3563">
        <v>41156.37</v>
      </c>
      <c r="J3563">
        <v>23</v>
      </c>
      <c r="K3563">
        <v>0</v>
      </c>
      <c r="L3563">
        <v>10.3</v>
      </c>
      <c r="M3563">
        <v>42.1</v>
      </c>
      <c r="N3563" t="s">
        <v>52</v>
      </c>
      <c r="O3563" t="s">
        <v>53</v>
      </c>
      <c r="P3563" t="s">
        <v>58</v>
      </c>
      <c r="R3563">
        <f>SUMIF(A3563:A8562,"C03562",I3563:I8562)</f>
        <v>41156.37</v>
      </c>
      <c r="S3563" s="1">
        <v>1822.46</v>
      </c>
      <c r="T3563">
        <f t="shared" si="405"/>
        <v>1789.40739130435</v>
      </c>
      <c r="U3563">
        <f t="shared" si="406"/>
        <v>968.3</v>
      </c>
      <c r="V3563">
        <f t="shared" si="400"/>
        <v>80.6916666666667</v>
      </c>
      <c r="W3563">
        <f t="shared" si="403"/>
        <v>18200.6833333333</v>
      </c>
      <c r="X3563">
        <f t="shared" si="401"/>
        <v>0.0888827402362868</v>
      </c>
      <c r="AH3563" t="str">
        <f t="shared" si="404"/>
        <v>1st Quality</v>
      </c>
      <c r="AJ3563">
        <f>((T3563-X3563)*2)/10.3</f>
        <v>347.440487099828</v>
      </c>
      <c r="AK3563">
        <f t="shared" si="402"/>
        <v>2138341.8326087</v>
      </c>
    </row>
    <row r="3564" spans="1:37">
      <c r="A3564" t="s">
        <v>3630</v>
      </c>
      <c r="B3564">
        <v>52</v>
      </c>
      <c r="C3564" t="s">
        <v>44</v>
      </c>
      <c r="D3564" t="s">
        <v>60</v>
      </c>
      <c r="E3564">
        <v>602</v>
      </c>
      <c r="F3564">
        <v>163</v>
      </c>
      <c r="G3564">
        <v>1</v>
      </c>
      <c r="H3564">
        <v>2044.11</v>
      </c>
      <c r="I3564">
        <v>2285.15</v>
      </c>
      <c r="J3564">
        <v>13</v>
      </c>
      <c r="K3564">
        <v>0</v>
      </c>
      <c r="L3564">
        <v>18.1</v>
      </c>
      <c r="M3564">
        <v>7.8</v>
      </c>
      <c r="N3564" t="s">
        <v>52</v>
      </c>
      <c r="O3564" t="s">
        <v>47</v>
      </c>
      <c r="P3564" t="s">
        <v>54</v>
      </c>
      <c r="R3564">
        <f>SUMIF(A3564:A8563,"C03563",I3564:I8563)</f>
        <v>2285.15</v>
      </c>
      <c r="S3564" s="1">
        <v>3710.94</v>
      </c>
      <c r="T3564">
        <f t="shared" si="405"/>
        <v>175.780769230769</v>
      </c>
      <c r="U3564">
        <f t="shared" si="406"/>
        <v>101.4</v>
      </c>
      <c r="V3564">
        <f t="shared" si="400"/>
        <v>8.45</v>
      </c>
      <c r="W3564">
        <f t="shared" si="403"/>
        <v>1443.42</v>
      </c>
      <c r="X3564">
        <f t="shared" si="401"/>
        <v>0.294504698866499</v>
      </c>
      <c r="AH3564" t="str">
        <f t="shared" si="404"/>
        <v>3rd Quality</v>
      </c>
      <c r="AJ3564">
        <f>((T3564-X3564)*2)/18.1</f>
        <v>19.3907474620887</v>
      </c>
      <c r="AK3564">
        <f t="shared" si="402"/>
        <v>105820.023076923</v>
      </c>
    </row>
    <row r="3565" spans="1:37">
      <c r="A3565" t="s">
        <v>3631</v>
      </c>
      <c r="B3565">
        <v>23</v>
      </c>
      <c r="C3565" t="s">
        <v>44</v>
      </c>
      <c r="D3565" t="s">
        <v>60</v>
      </c>
      <c r="E3565">
        <v>1437</v>
      </c>
      <c r="F3565">
        <v>19</v>
      </c>
      <c r="G3565">
        <v>32</v>
      </c>
      <c r="H3565">
        <v>2440.55</v>
      </c>
      <c r="I3565">
        <v>84946.13</v>
      </c>
      <c r="J3565">
        <v>71</v>
      </c>
      <c r="K3565">
        <v>1</v>
      </c>
      <c r="L3565">
        <v>3.2</v>
      </c>
      <c r="M3565">
        <v>31.8</v>
      </c>
      <c r="N3565" t="s">
        <v>78</v>
      </c>
      <c r="O3565" t="s">
        <v>53</v>
      </c>
      <c r="P3565" t="s">
        <v>58</v>
      </c>
      <c r="R3565">
        <f>SUMIF(A3565:A8564,"C03564",I3565:I8564)</f>
        <v>84946.13</v>
      </c>
      <c r="S3565" s="1">
        <v>1950.43</v>
      </c>
      <c r="T3565">
        <f t="shared" si="405"/>
        <v>1196.42436619718</v>
      </c>
      <c r="U3565">
        <f t="shared" si="406"/>
        <v>2257.8</v>
      </c>
      <c r="V3565">
        <f>U3565*1</f>
        <v>2257.8</v>
      </c>
      <c r="W3565">
        <f t="shared" si="403"/>
        <v>29129.2266666667</v>
      </c>
      <c r="X3565">
        <f t="shared" si="401"/>
        <v>0.588801704533814</v>
      </c>
      <c r="AH3565" t="str">
        <f t="shared" si="404"/>
        <v>1st Quality</v>
      </c>
      <c r="AJ3565">
        <f>((T3565-X3565)*2)/3.2</f>
        <v>747.397227807904</v>
      </c>
      <c r="AK3565">
        <f t="shared" si="402"/>
        <v>1719261.81422535</v>
      </c>
    </row>
    <row r="3566" spans="1:37">
      <c r="A3566" t="s">
        <v>3632</v>
      </c>
      <c r="B3566">
        <v>43</v>
      </c>
      <c r="C3566" t="s">
        <v>44</v>
      </c>
      <c r="D3566" t="s">
        <v>60</v>
      </c>
      <c r="E3566">
        <v>805</v>
      </c>
      <c r="F3566">
        <v>194</v>
      </c>
      <c r="G3566">
        <v>1</v>
      </c>
      <c r="H3566">
        <v>1860.76</v>
      </c>
      <c r="I3566">
        <v>1822.46</v>
      </c>
      <c r="J3566">
        <v>17</v>
      </c>
      <c r="K3566">
        <v>0</v>
      </c>
      <c r="L3566">
        <v>27.6</v>
      </c>
      <c r="M3566">
        <v>32.7</v>
      </c>
      <c r="N3566" t="s">
        <v>52</v>
      </c>
      <c r="O3566" t="s">
        <v>53</v>
      </c>
      <c r="P3566" t="s">
        <v>68</v>
      </c>
      <c r="R3566">
        <f>SUMIF(A3566:A8565,"C03565",I3566:I8565)</f>
        <v>1822.46</v>
      </c>
      <c r="S3566" s="1">
        <v>8043.36</v>
      </c>
      <c r="T3566">
        <f t="shared" si="405"/>
        <v>107.203529411765</v>
      </c>
      <c r="U3566">
        <f t="shared" si="406"/>
        <v>555.9</v>
      </c>
      <c r="V3566">
        <f t="shared" si="400"/>
        <v>46.325</v>
      </c>
      <c r="W3566">
        <f t="shared" si="403"/>
        <v>1228.07333333333</v>
      </c>
      <c r="X3566">
        <f t="shared" si="401"/>
        <v>0.432618929899611</v>
      </c>
      <c r="AH3566" t="str">
        <f t="shared" si="404"/>
        <v>3rd Quality</v>
      </c>
      <c r="AJ3566">
        <f>((T3566-X3566)*2)/27.6</f>
        <v>7.7370224986859</v>
      </c>
      <c r="AK3566">
        <f t="shared" si="402"/>
        <v>86298.8411764706</v>
      </c>
    </row>
    <row r="3567" spans="1:37">
      <c r="A3567" t="s">
        <v>3633</v>
      </c>
      <c r="B3567">
        <v>18</v>
      </c>
      <c r="C3567" t="s">
        <v>44</v>
      </c>
      <c r="D3567" t="s">
        <v>45</v>
      </c>
      <c r="E3567">
        <v>640</v>
      </c>
      <c r="F3567">
        <v>178</v>
      </c>
      <c r="G3567">
        <v>4</v>
      </c>
      <c r="H3567">
        <v>834.07</v>
      </c>
      <c r="I3567">
        <v>3710.94</v>
      </c>
      <c r="J3567">
        <v>28</v>
      </c>
      <c r="K3567">
        <v>1</v>
      </c>
      <c r="L3567">
        <v>33.5</v>
      </c>
      <c r="M3567">
        <v>48.9</v>
      </c>
      <c r="N3567" t="s">
        <v>81</v>
      </c>
      <c r="O3567" t="s">
        <v>75</v>
      </c>
      <c r="P3567" t="s">
        <v>58</v>
      </c>
      <c r="R3567">
        <f>SUMIF(A3567:A8566,"C03566",I3567:I8566)</f>
        <v>3710.94</v>
      </c>
      <c r="S3567" s="1">
        <v>1613.54</v>
      </c>
      <c r="T3567">
        <f t="shared" si="405"/>
        <v>132.533571428571</v>
      </c>
      <c r="U3567">
        <f t="shared" si="406"/>
        <v>1369.2</v>
      </c>
      <c r="V3567">
        <f>U3567*1</f>
        <v>1369.2</v>
      </c>
      <c r="W3567">
        <f t="shared" si="403"/>
        <v>1515.33666666667</v>
      </c>
      <c r="X3567">
        <f t="shared" si="401"/>
        <v>0.767321687628137</v>
      </c>
      <c r="AH3567" t="str">
        <f t="shared" si="404"/>
        <v>3rd Quality</v>
      </c>
      <c r="AJ3567">
        <f>((T3567-X3567)*2)/33.5</f>
        <v>7.86664177557868</v>
      </c>
      <c r="AK3567">
        <f t="shared" si="402"/>
        <v>84821.4857142857</v>
      </c>
    </row>
    <row r="3568" spans="1:37">
      <c r="A3568" t="s">
        <v>3634</v>
      </c>
      <c r="B3568">
        <v>31</v>
      </c>
      <c r="C3568" t="s">
        <v>44</v>
      </c>
      <c r="D3568" t="s">
        <v>60</v>
      </c>
      <c r="E3568">
        <v>808</v>
      </c>
      <c r="F3568">
        <v>256</v>
      </c>
      <c r="G3568">
        <v>1</v>
      </c>
      <c r="H3568">
        <v>2032.75</v>
      </c>
      <c r="I3568">
        <v>1950.43</v>
      </c>
      <c r="J3568">
        <v>14</v>
      </c>
      <c r="K3568">
        <v>0</v>
      </c>
      <c r="L3568">
        <v>10.7</v>
      </c>
      <c r="M3568">
        <v>8.8</v>
      </c>
      <c r="N3568" t="s">
        <v>78</v>
      </c>
      <c r="O3568" t="s">
        <v>75</v>
      </c>
      <c r="P3568" t="s">
        <v>58</v>
      </c>
      <c r="R3568">
        <f>SUMIF(A3568:A8567,"C03567",I3568:I8567)</f>
        <v>1950.43</v>
      </c>
      <c r="S3568" s="1">
        <v>13019.66</v>
      </c>
      <c r="T3568">
        <f t="shared" si="405"/>
        <v>139.316428571429</v>
      </c>
      <c r="U3568">
        <f t="shared" si="406"/>
        <v>123.2</v>
      </c>
      <c r="V3568">
        <f t="shared" si="400"/>
        <v>10.2666666666667</v>
      </c>
      <c r="W3568">
        <f t="shared" si="403"/>
        <v>1328.06</v>
      </c>
      <c r="X3568">
        <f t="shared" si="401"/>
        <v>0.397491083507564</v>
      </c>
      <c r="AH3568" t="str">
        <f t="shared" si="404"/>
        <v>3rd Quality</v>
      </c>
      <c r="AJ3568">
        <f>((T3568-X3568)*2)/10.7</f>
        <v>25.9661565397984</v>
      </c>
      <c r="AK3568">
        <f t="shared" si="402"/>
        <v>112567.674285714</v>
      </c>
    </row>
    <row r="3569" spans="1:37">
      <c r="A3569" t="s">
        <v>3635</v>
      </c>
      <c r="B3569">
        <v>30</v>
      </c>
      <c r="C3569" t="s">
        <v>50</v>
      </c>
      <c r="D3569" t="s">
        <v>60</v>
      </c>
      <c r="E3569">
        <v>552</v>
      </c>
      <c r="F3569">
        <v>23</v>
      </c>
      <c r="G3569">
        <v>7</v>
      </c>
      <c r="H3569">
        <v>1194.94</v>
      </c>
      <c r="I3569">
        <v>8043.36</v>
      </c>
      <c r="J3569">
        <v>31</v>
      </c>
      <c r="K3569">
        <v>0</v>
      </c>
      <c r="L3569">
        <v>15.8</v>
      </c>
      <c r="M3569">
        <v>37.5</v>
      </c>
      <c r="N3569" t="s">
        <v>81</v>
      </c>
      <c r="O3569" t="s">
        <v>53</v>
      </c>
      <c r="P3569" t="s">
        <v>58</v>
      </c>
      <c r="R3569">
        <f>SUMIF(A3569:A8568,"C03568",I3569:I8568)</f>
        <v>8043.36</v>
      </c>
      <c r="S3569" s="1">
        <v>5818.05</v>
      </c>
      <c r="T3569">
        <f t="shared" si="405"/>
        <v>259.463225806452</v>
      </c>
      <c r="U3569">
        <f t="shared" si="406"/>
        <v>1162.5</v>
      </c>
      <c r="V3569">
        <f t="shared" si="400"/>
        <v>96.875</v>
      </c>
      <c r="W3569">
        <f t="shared" si="403"/>
        <v>3079.76666666667</v>
      </c>
      <c r="X3569">
        <f t="shared" si="401"/>
        <v>0.461947880228296</v>
      </c>
      <c r="AH3569" t="str">
        <f t="shared" si="404"/>
        <v>3rd Quality</v>
      </c>
      <c r="AJ3569">
        <f>((T3569-X3569)*2)/15.8</f>
        <v>32.7849718893954</v>
      </c>
      <c r="AK3569">
        <f t="shared" si="402"/>
        <v>143223.700645161</v>
      </c>
    </row>
    <row r="3570" spans="1:37">
      <c r="A3570" t="s">
        <v>3636</v>
      </c>
      <c r="B3570">
        <v>42</v>
      </c>
      <c r="C3570" t="s">
        <v>44</v>
      </c>
      <c r="D3570" t="s">
        <v>45</v>
      </c>
      <c r="E3570">
        <v>761</v>
      </c>
      <c r="F3570">
        <v>36</v>
      </c>
      <c r="G3570">
        <v>3</v>
      </c>
      <c r="H3570">
        <v>537.04</v>
      </c>
      <c r="I3570">
        <v>1613.54</v>
      </c>
      <c r="J3570">
        <v>24</v>
      </c>
      <c r="K3570">
        <v>0</v>
      </c>
      <c r="L3570">
        <v>42.9</v>
      </c>
      <c r="M3570">
        <v>42.5</v>
      </c>
      <c r="N3570" t="s">
        <v>63</v>
      </c>
      <c r="O3570" t="s">
        <v>47</v>
      </c>
      <c r="P3570" t="s">
        <v>68</v>
      </c>
      <c r="R3570">
        <f>SUMIF(A3570:A8569,"C03569",I3570:I8569)</f>
        <v>1613.54</v>
      </c>
      <c r="S3570" s="1">
        <v>133355.78</v>
      </c>
      <c r="T3570">
        <f t="shared" si="405"/>
        <v>67.2308333333333</v>
      </c>
      <c r="U3570">
        <f t="shared" si="406"/>
        <v>1020</v>
      </c>
      <c r="V3570">
        <f t="shared" si="400"/>
        <v>85</v>
      </c>
      <c r="W3570">
        <f t="shared" si="403"/>
        <v>717.193333333333</v>
      </c>
      <c r="X3570">
        <f t="shared" si="401"/>
        <v>1.41702666468047</v>
      </c>
      <c r="AH3570" t="str">
        <f t="shared" si="404"/>
        <v>3rd Quality</v>
      </c>
      <c r="AJ3570">
        <f>((T3570-X3570)*2)/42.9</f>
        <v>3.06824273513533</v>
      </c>
      <c r="AK3570">
        <f t="shared" si="402"/>
        <v>51162.6641666667</v>
      </c>
    </row>
    <row r="3571" spans="1:37">
      <c r="A3571" t="s">
        <v>3637</v>
      </c>
      <c r="B3571">
        <v>35</v>
      </c>
      <c r="C3571" t="s">
        <v>44</v>
      </c>
      <c r="D3571" t="s">
        <v>60</v>
      </c>
      <c r="E3571">
        <v>796</v>
      </c>
      <c r="F3571">
        <v>60</v>
      </c>
      <c r="G3571">
        <v>7</v>
      </c>
      <c r="H3571">
        <v>1743</v>
      </c>
      <c r="I3571">
        <v>13019.66</v>
      </c>
      <c r="J3571">
        <v>45</v>
      </c>
      <c r="K3571">
        <v>1</v>
      </c>
      <c r="L3571">
        <v>20.9</v>
      </c>
      <c r="M3571">
        <v>11</v>
      </c>
      <c r="N3571" t="s">
        <v>63</v>
      </c>
      <c r="O3571" t="s">
        <v>47</v>
      </c>
      <c r="P3571" t="s">
        <v>58</v>
      </c>
      <c r="R3571">
        <f>SUMIF(A3571:A8570,"C03570",I3571:I8570)</f>
        <v>13019.66</v>
      </c>
      <c r="S3571" s="1">
        <v>3604.84</v>
      </c>
      <c r="T3571">
        <f t="shared" si="405"/>
        <v>289.325777777778</v>
      </c>
      <c r="U3571">
        <f t="shared" si="406"/>
        <v>495</v>
      </c>
      <c r="V3571">
        <f>U3571*1</f>
        <v>495</v>
      </c>
      <c r="W3571">
        <f t="shared" si="403"/>
        <v>4921.22</v>
      </c>
      <c r="X3571">
        <f t="shared" si="401"/>
        <v>0.456683878370625</v>
      </c>
      <c r="AH3571" t="str">
        <f t="shared" si="404"/>
        <v>3rd Quality</v>
      </c>
      <c r="AJ3571">
        <f>((T3571-X3571)*2)/20.9</f>
        <v>27.6429754927663</v>
      </c>
      <c r="AK3571">
        <f t="shared" si="402"/>
        <v>230303.319111111</v>
      </c>
    </row>
    <row r="3572" spans="1:37">
      <c r="A3572" t="s">
        <v>3638</v>
      </c>
      <c r="B3572">
        <v>43</v>
      </c>
      <c r="C3572" t="s">
        <v>50</v>
      </c>
      <c r="D3572" t="s">
        <v>51</v>
      </c>
      <c r="E3572">
        <v>1457</v>
      </c>
      <c r="F3572">
        <v>168</v>
      </c>
      <c r="G3572">
        <v>6</v>
      </c>
      <c r="H3572">
        <v>1047.03</v>
      </c>
      <c r="I3572">
        <v>5818.05</v>
      </c>
      <c r="J3572">
        <v>46</v>
      </c>
      <c r="K3572">
        <v>0</v>
      </c>
      <c r="L3572">
        <v>24.3</v>
      </c>
      <c r="M3572">
        <v>17.7</v>
      </c>
      <c r="N3572" t="s">
        <v>78</v>
      </c>
      <c r="O3572" t="s">
        <v>47</v>
      </c>
      <c r="P3572" t="s">
        <v>58</v>
      </c>
      <c r="R3572">
        <f>SUMIF(A3572:A8571,"C03571",I3572:I8571)</f>
        <v>5818.05</v>
      </c>
      <c r="S3572" s="1">
        <v>6197.22</v>
      </c>
      <c r="T3572">
        <f t="shared" si="405"/>
        <v>126.479347826087</v>
      </c>
      <c r="U3572">
        <f t="shared" si="406"/>
        <v>814.2</v>
      </c>
      <c r="V3572">
        <f t="shared" si="400"/>
        <v>67.85</v>
      </c>
      <c r="W3572">
        <f t="shared" si="403"/>
        <v>2288.69333333333</v>
      </c>
      <c r="X3572">
        <f t="shared" si="401"/>
        <v>1.39155516078813</v>
      </c>
      <c r="AH3572" t="str">
        <f t="shared" si="404"/>
        <v>3rd Quality</v>
      </c>
      <c r="AJ3572">
        <f>((T3572-X3572)*2)/24.3</f>
        <v>10.2952915773909</v>
      </c>
      <c r="AK3572">
        <f t="shared" si="402"/>
        <v>184280.409782609</v>
      </c>
    </row>
    <row r="3573" spans="1:37">
      <c r="A3573" t="s">
        <v>3639</v>
      </c>
      <c r="B3573">
        <v>35</v>
      </c>
      <c r="C3573" t="s">
        <v>50</v>
      </c>
      <c r="D3573" t="s">
        <v>51</v>
      </c>
      <c r="E3573">
        <v>906</v>
      </c>
      <c r="F3573">
        <v>24</v>
      </c>
      <c r="G3573">
        <v>23</v>
      </c>
      <c r="H3573">
        <v>5479.23</v>
      </c>
      <c r="I3573">
        <v>133355.78</v>
      </c>
      <c r="J3573">
        <v>78</v>
      </c>
      <c r="K3573">
        <v>2</v>
      </c>
      <c r="L3573">
        <v>5.3</v>
      </c>
      <c r="M3573">
        <v>25.3</v>
      </c>
      <c r="N3573" t="s">
        <v>81</v>
      </c>
      <c r="O3573" t="s">
        <v>47</v>
      </c>
      <c r="P3573" t="s">
        <v>66</v>
      </c>
      <c r="R3573">
        <f>SUMIF(A3573:A8572,"C03572",I3573:I8572)</f>
        <v>133355.78</v>
      </c>
      <c r="S3573" s="1">
        <v>5510.68</v>
      </c>
      <c r="T3573">
        <f t="shared" si="405"/>
        <v>1709.68948717949</v>
      </c>
      <c r="U3573">
        <f t="shared" si="406"/>
        <v>1973.4</v>
      </c>
      <c r="V3573">
        <f>U3573*2</f>
        <v>3946.8</v>
      </c>
      <c r="W3573">
        <f t="shared" si="403"/>
        <v>46278.67</v>
      </c>
      <c r="X3573">
        <f t="shared" si="401"/>
        <v>0.165351700877678</v>
      </c>
      <c r="AH3573" t="str">
        <f t="shared" si="404"/>
        <v>2nd Quality</v>
      </c>
      <c r="AJ3573">
        <f>((T3573-X3573)*2)/5.3</f>
        <v>645.10344735042</v>
      </c>
      <c r="AK3573">
        <f t="shared" si="402"/>
        <v>1548978.67538462</v>
      </c>
    </row>
    <row r="3574" spans="1:37">
      <c r="A3574" t="s">
        <v>3640</v>
      </c>
      <c r="B3574">
        <v>27</v>
      </c>
      <c r="C3574" t="s">
        <v>50</v>
      </c>
      <c r="D3574" t="s">
        <v>45</v>
      </c>
      <c r="E3574">
        <v>1178</v>
      </c>
      <c r="F3574">
        <v>54</v>
      </c>
      <c r="G3574">
        <v>5</v>
      </c>
      <c r="H3574">
        <v>818.68</v>
      </c>
      <c r="I3574">
        <v>3604.84</v>
      </c>
      <c r="J3574">
        <v>39</v>
      </c>
      <c r="K3574">
        <v>0</v>
      </c>
      <c r="L3574">
        <v>25.2</v>
      </c>
      <c r="M3574">
        <v>25.2</v>
      </c>
      <c r="N3574" t="s">
        <v>81</v>
      </c>
      <c r="O3574" t="s">
        <v>53</v>
      </c>
      <c r="P3574" t="s">
        <v>58</v>
      </c>
      <c r="R3574">
        <f>SUMIF(A3574:A8573,"C03573",I3574:I8573)</f>
        <v>3604.84</v>
      </c>
      <c r="S3574" s="1">
        <v>10844.18</v>
      </c>
      <c r="T3574">
        <f t="shared" si="405"/>
        <v>92.4317948717949</v>
      </c>
      <c r="U3574">
        <f t="shared" si="406"/>
        <v>982.8</v>
      </c>
      <c r="V3574">
        <f t="shared" ref="V3574:V3637" si="407">U3574/12</f>
        <v>81.9</v>
      </c>
      <c r="W3574">
        <f t="shared" si="403"/>
        <v>1474.84</v>
      </c>
      <c r="X3574">
        <f t="shared" si="401"/>
        <v>1.43890164655299</v>
      </c>
      <c r="AH3574" t="str">
        <f t="shared" si="404"/>
        <v>3rd Quality</v>
      </c>
      <c r="AJ3574">
        <f>((T3574-X3574)*2)/25.2</f>
        <v>7.22165819247952</v>
      </c>
      <c r="AK3574">
        <f t="shared" si="402"/>
        <v>108884.654358974</v>
      </c>
    </row>
    <row r="3575" spans="1:37">
      <c r="A3575" t="s">
        <v>3641</v>
      </c>
      <c r="B3575">
        <v>24</v>
      </c>
      <c r="C3575" t="s">
        <v>50</v>
      </c>
      <c r="D3575" t="s">
        <v>60</v>
      </c>
      <c r="E3575">
        <v>1269</v>
      </c>
      <c r="F3575">
        <v>30</v>
      </c>
      <c r="G3575">
        <v>5</v>
      </c>
      <c r="H3575">
        <v>1314.37</v>
      </c>
      <c r="I3575">
        <v>6197.22</v>
      </c>
      <c r="J3575">
        <v>13</v>
      </c>
      <c r="K3575">
        <v>0</v>
      </c>
      <c r="L3575">
        <v>18.7</v>
      </c>
      <c r="M3575">
        <v>27.8</v>
      </c>
      <c r="N3575" t="s">
        <v>57</v>
      </c>
      <c r="O3575" t="s">
        <v>53</v>
      </c>
      <c r="P3575" t="s">
        <v>58</v>
      </c>
      <c r="R3575">
        <f>SUMIF(A3575:A8574,"C03574",I3575:I8574)</f>
        <v>6197.22</v>
      </c>
      <c r="S3575" s="1">
        <v>938.02</v>
      </c>
      <c r="T3575">
        <f t="shared" si="405"/>
        <v>476.709230769231</v>
      </c>
      <c r="U3575">
        <f t="shared" si="406"/>
        <v>361.4</v>
      </c>
      <c r="V3575">
        <f t="shared" si="407"/>
        <v>30.1166666666667</v>
      </c>
      <c r="W3575">
        <f t="shared" si="403"/>
        <v>2504.19666666667</v>
      </c>
      <c r="X3575">
        <f t="shared" si="401"/>
        <v>0.965481561508555</v>
      </c>
      <c r="AH3575" t="str">
        <f t="shared" si="404"/>
        <v>3rd Quality</v>
      </c>
      <c r="AJ3575">
        <f>((T3575-X3575)*2)/18.7</f>
        <v>50.881684407243</v>
      </c>
      <c r="AK3575">
        <f t="shared" si="402"/>
        <v>604944.013846154</v>
      </c>
    </row>
    <row r="3576" spans="1:37">
      <c r="A3576" t="s">
        <v>3642</v>
      </c>
      <c r="B3576">
        <v>42</v>
      </c>
      <c r="C3576" t="s">
        <v>50</v>
      </c>
      <c r="D3576" t="s">
        <v>60</v>
      </c>
      <c r="E3576">
        <v>1400</v>
      </c>
      <c r="F3576">
        <v>42</v>
      </c>
      <c r="G3576">
        <v>4</v>
      </c>
      <c r="H3576">
        <v>1236.83</v>
      </c>
      <c r="I3576">
        <v>5510.68</v>
      </c>
      <c r="J3576">
        <v>11</v>
      </c>
      <c r="K3576">
        <v>0</v>
      </c>
      <c r="L3576">
        <v>22.9</v>
      </c>
      <c r="M3576">
        <v>5.7</v>
      </c>
      <c r="N3576" t="s">
        <v>61</v>
      </c>
      <c r="O3576" t="s">
        <v>75</v>
      </c>
      <c r="P3576" t="s">
        <v>58</v>
      </c>
      <c r="R3576">
        <f>SUMIF(A3576:A8575,"C03575",I3576:I8575)</f>
        <v>5510.68</v>
      </c>
      <c r="S3576" s="1">
        <v>6652.27</v>
      </c>
      <c r="T3576">
        <f t="shared" si="405"/>
        <v>500.970909090909</v>
      </c>
      <c r="U3576">
        <f t="shared" si="406"/>
        <v>62.7</v>
      </c>
      <c r="V3576">
        <f t="shared" si="407"/>
        <v>5.225</v>
      </c>
      <c r="W3576">
        <f t="shared" si="403"/>
        <v>2249.50333333333</v>
      </c>
      <c r="X3576">
        <f t="shared" ref="X3576:X3639" si="408">E3576/H3576</f>
        <v>1.13192597204143</v>
      </c>
      <c r="AH3576" t="str">
        <f t="shared" si="404"/>
        <v>3rd Quality</v>
      </c>
      <c r="AJ3576">
        <f>((T3576-X3576)*2)/22.9</f>
        <v>43.6540596610365</v>
      </c>
      <c r="AK3576">
        <f t="shared" si="402"/>
        <v>701359.272727273</v>
      </c>
    </row>
    <row r="3577" spans="1:37">
      <c r="A3577" t="s">
        <v>3643</v>
      </c>
      <c r="B3577">
        <v>22</v>
      </c>
      <c r="C3577" t="s">
        <v>50</v>
      </c>
      <c r="D3577" t="s">
        <v>45</v>
      </c>
      <c r="E3577">
        <v>960</v>
      </c>
      <c r="F3577">
        <v>37</v>
      </c>
      <c r="G3577">
        <v>9</v>
      </c>
      <c r="H3577">
        <v>1161.3</v>
      </c>
      <c r="I3577">
        <v>10844.18</v>
      </c>
      <c r="J3577">
        <v>29</v>
      </c>
      <c r="K3577">
        <v>1</v>
      </c>
      <c r="L3577">
        <v>38.2</v>
      </c>
      <c r="M3577">
        <v>12.7</v>
      </c>
      <c r="N3577" t="s">
        <v>46</v>
      </c>
      <c r="O3577" t="s">
        <v>53</v>
      </c>
      <c r="P3577" t="s">
        <v>68</v>
      </c>
      <c r="R3577">
        <f>SUMIF(A3577:A8576,"C03576",I3577:I8576)</f>
        <v>10844.18</v>
      </c>
      <c r="S3577" s="1">
        <v>2782.18</v>
      </c>
      <c r="T3577">
        <f t="shared" si="405"/>
        <v>373.93724137931</v>
      </c>
      <c r="U3577">
        <f t="shared" si="406"/>
        <v>368.3</v>
      </c>
      <c r="V3577">
        <f>U3577*1</f>
        <v>368.3</v>
      </c>
      <c r="W3577">
        <f t="shared" si="403"/>
        <v>4002.16</v>
      </c>
      <c r="X3577">
        <f t="shared" si="408"/>
        <v>0.826659777835185</v>
      </c>
      <c r="AH3577" t="str">
        <f t="shared" si="404"/>
        <v>3rd Quality</v>
      </c>
      <c r="AJ3577">
        <f>((T3577-X3577)*2)/38.2</f>
        <v>19.534585424161</v>
      </c>
      <c r="AK3577">
        <f t="shared" si="402"/>
        <v>358979.751724138</v>
      </c>
    </row>
    <row r="3578" spans="1:37">
      <c r="A3578" t="s">
        <v>3644</v>
      </c>
      <c r="B3578">
        <v>32</v>
      </c>
      <c r="C3578" t="s">
        <v>101</v>
      </c>
      <c r="D3578" t="s">
        <v>60</v>
      </c>
      <c r="E3578">
        <v>1007</v>
      </c>
      <c r="F3578">
        <v>78</v>
      </c>
      <c r="G3578">
        <v>2</v>
      </c>
      <c r="H3578">
        <v>473.26</v>
      </c>
      <c r="I3578">
        <v>938.02</v>
      </c>
      <c r="J3578">
        <v>17</v>
      </c>
      <c r="K3578">
        <v>1</v>
      </c>
      <c r="L3578">
        <v>18</v>
      </c>
      <c r="M3578">
        <v>44.6</v>
      </c>
      <c r="N3578" t="s">
        <v>61</v>
      </c>
      <c r="O3578" t="s">
        <v>75</v>
      </c>
      <c r="P3578" t="s">
        <v>66</v>
      </c>
      <c r="R3578">
        <f>SUMIF(A3578:A8577,"C03577",I3578:I8577)</f>
        <v>938.02</v>
      </c>
      <c r="S3578" s="1">
        <v>67107.67</v>
      </c>
      <c r="T3578">
        <f t="shared" si="405"/>
        <v>55.1776470588235</v>
      </c>
      <c r="U3578">
        <f t="shared" si="406"/>
        <v>758.2</v>
      </c>
      <c r="V3578">
        <f>U3578*1</f>
        <v>758.2</v>
      </c>
      <c r="W3578">
        <f t="shared" si="403"/>
        <v>470.76</v>
      </c>
      <c r="X3578">
        <f t="shared" si="408"/>
        <v>2.127794447027</v>
      </c>
      <c r="AH3578" t="str">
        <f t="shared" si="404"/>
        <v>3rd Quality</v>
      </c>
      <c r="AJ3578">
        <f>((T3578-X3578)*2)/18</f>
        <v>5.89442806797739</v>
      </c>
      <c r="AK3578">
        <f t="shared" si="402"/>
        <v>55563.8905882353</v>
      </c>
    </row>
    <row r="3579" spans="1:37">
      <c r="A3579" t="s">
        <v>3645</v>
      </c>
      <c r="B3579">
        <v>20</v>
      </c>
      <c r="C3579" t="s">
        <v>44</v>
      </c>
      <c r="D3579" t="s">
        <v>45</v>
      </c>
      <c r="E3579">
        <v>1409</v>
      </c>
      <c r="F3579">
        <v>12</v>
      </c>
      <c r="G3579">
        <v>7</v>
      </c>
      <c r="H3579">
        <v>900.25</v>
      </c>
      <c r="I3579">
        <v>6652.27</v>
      </c>
      <c r="J3579">
        <v>63</v>
      </c>
      <c r="K3579">
        <v>0</v>
      </c>
      <c r="L3579">
        <v>19.2</v>
      </c>
      <c r="M3579">
        <v>14</v>
      </c>
      <c r="N3579" t="s">
        <v>81</v>
      </c>
      <c r="O3579" t="s">
        <v>47</v>
      </c>
      <c r="P3579" t="s">
        <v>58</v>
      </c>
      <c r="R3579">
        <f>SUMIF(A3579:A8578,"C03578",I3579:I8578)</f>
        <v>6652.27</v>
      </c>
      <c r="S3579" s="1">
        <v>3102.79</v>
      </c>
      <c r="T3579">
        <f t="shared" si="405"/>
        <v>105.591587301587</v>
      </c>
      <c r="U3579">
        <f t="shared" si="406"/>
        <v>882</v>
      </c>
      <c r="V3579">
        <f t="shared" si="407"/>
        <v>73.5</v>
      </c>
      <c r="W3579">
        <f t="shared" si="403"/>
        <v>2517.84</v>
      </c>
      <c r="X3579">
        <f t="shared" si="408"/>
        <v>1.56512079977784</v>
      </c>
      <c r="AH3579" t="str">
        <f t="shared" si="404"/>
        <v>3rd Quality</v>
      </c>
      <c r="AJ3579">
        <f>((T3579-X3579)*2)/19.2</f>
        <v>10.8360902606051</v>
      </c>
      <c r="AK3579">
        <f t="shared" si="402"/>
        <v>148778.546507937</v>
      </c>
    </row>
    <row r="3580" spans="1:37">
      <c r="A3580" t="s">
        <v>3646</v>
      </c>
      <c r="B3580">
        <v>34</v>
      </c>
      <c r="C3580" t="s">
        <v>44</v>
      </c>
      <c r="D3580" t="s">
        <v>60</v>
      </c>
      <c r="E3580">
        <v>1112</v>
      </c>
      <c r="F3580">
        <v>36</v>
      </c>
      <c r="G3580">
        <v>3</v>
      </c>
      <c r="H3580">
        <v>942.03</v>
      </c>
      <c r="I3580">
        <v>2782.18</v>
      </c>
      <c r="J3580">
        <v>11</v>
      </c>
      <c r="K3580">
        <v>0</v>
      </c>
      <c r="L3580">
        <v>29.4</v>
      </c>
      <c r="M3580">
        <v>41.7</v>
      </c>
      <c r="N3580" t="s">
        <v>78</v>
      </c>
      <c r="O3580" t="s">
        <v>47</v>
      </c>
      <c r="P3580" t="s">
        <v>68</v>
      </c>
      <c r="R3580">
        <f>SUMIF(A3580:A8579,"C03579",I3580:I8579)</f>
        <v>2782.18</v>
      </c>
      <c r="S3580" s="1">
        <v>8118.89</v>
      </c>
      <c r="T3580">
        <f t="shared" si="405"/>
        <v>252.925454545455</v>
      </c>
      <c r="U3580">
        <f t="shared" si="406"/>
        <v>458.7</v>
      </c>
      <c r="V3580">
        <f t="shared" si="407"/>
        <v>38.225</v>
      </c>
      <c r="W3580">
        <f t="shared" si="403"/>
        <v>1241.73666666667</v>
      </c>
      <c r="X3580">
        <f t="shared" si="408"/>
        <v>1.180429497999</v>
      </c>
      <c r="AH3580" t="str">
        <f t="shared" si="404"/>
        <v>3rd Quality</v>
      </c>
      <c r="AJ3580">
        <f>((T3580-X3580)*2)/29.4</f>
        <v>17.1255119079902</v>
      </c>
      <c r="AK3580">
        <f t="shared" si="402"/>
        <v>281253.105454545</v>
      </c>
    </row>
    <row r="3581" spans="1:37">
      <c r="A3581" t="s">
        <v>3647</v>
      </c>
      <c r="B3581">
        <v>39</v>
      </c>
      <c r="C3581" t="s">
        <v>50</v>
      </c>
      <c r="D3581" t="s">
        <v>60</v>
      </c>
      <c r="E3581">
        <v>684</v>
      </c>
      <c r="F3581">
        <v>17</v>
      </c>
      <c r="G3581">
        <v>28</v>
      </c>
      <c r="H3581">
        <v>2646.52</v>
      </c>
      <c r="I3581">
        <v>67107.67</v>
      </c>
      <c r="J3581">
        <v>177</v>
      </c>
      <c r="K3581">
        <v>2</v>
      </c>
      <c r="L3581">
        <v>0</v>
      </c>
      <c r="M3581">
        <v>28.6</v>
      </c>
      <c r="N3581" t="s">
        <v>81</v>
      </c>
      <c r="O3581" t="s">
        <v>47</v>
      </c>
      <c r="P3581" t="s">
        <v>58</v>
      </c>
      <c r="R3581">
        <f>SUMIF(A3581:A8580,"C03580",I3581:I8580)</f>
        <v>67107.67</v>
      </c>
      <c r="S3581" s="1">
        <v>22019.05</v>
      </c>
      <c r="T3581">
        <f t="shared" si="405"/>
        <v>379.139378531073</v>
      </c>
      <c r="U3581">
        <f t="shared" si="406"/>
        <v>5062.2</v>
      </c>
      <c r="V3581">
        <f>U3581*2</f>
        <v>10124.4</v>
      </c>
      <c r="W3581">
        <f t="shared" si="403"/>
        <v>23251.73</v>
      </c>
      <c r="X3581">
        <f t="shared" si="408"/>
        <v>0.258452609464504</v>
      </c>
      <c r="AH3581" t="str">
        <f t="shared" si="404"/>
        <v>2nd Quality</v>
      </c>
      <c r="AJ3581">
        <f>((T3581-X3581)*2)</f>
        <v>757.761851843217</v>
      </c>
      <c r="AK3581">
        <f t="shared" si="402"/>
        <v>259331.334915254</v>
      </c>
    </row>
    <row r="3582" spans="1:37">
      <c r="A3582" t="s">
        <v>3648</v>
      </c>
      <c r="B3582">
        <v>31</v>
      </c>
      <c r="C3582" t="s">
        <v>44</v>
      </c>
      <c r="D3582" t="s">
        <v>60</v>
      </c>
      <c r="E3582">
        <v>1018</v>
      </c>
      <c r="F3582">
        <v>48</v>
      </c>
      <c r="G3582">
        <v>5</v>
      </c>
      <c r="H3582">
        <v>620.92</v>
      </c>
      <c r="I3582">
        <v>3102.79</v>
      </c>
      <c r="J3582">
        <v>34</v>
      </c>
      <c r="K3582">
        <v>0</v>
      </c>
      <c r="L3582">
        <v>32.6</v>
      </c>
      <c r="M3582">
        <v>24.5</v>
      </c>
      <c r="N3582" t="s">
        <v>46</v>
      </c>
      <c r="O3582" t="s">
        <v>47</v>
      </c>
      <c r="P3582" t="s">
        <v>58</v>
      </c>
      <c r="R3582">
        <f>SUMIF(A3582:A8581,"C03581",I3582:I8581)</f>
        <v>3102.79</v>
      </c>
      <c r="S3582" s="1">
        <v>2970.77</v>
      </c>
      <c r="T3582">
        <f t="shared" si="405"/>
        <v>91.2585294117647</v>
      </c>
      <c r="U3582">
        <f t="shared" si="406"/>
        <v>833</v>
      </c>
      <c r="V3582">
        <f t="shared" si="407"/>
        <v>69.4166666666667</v>
      </c>
      <c r="W3582">
        <f t="shared" si="403"/>
        <v>1241.57</v>
      </c>
      <c r="X3582">
        <f t="shared" si="408"/>
        <v>1.6395026734523</v>
      </c>
      <c r="AH3582" t="str">
        <f t="shared" si="404"/>
        <v>3rd Quality</v>
      </c>
      <c r="AJ3582">
        <f>((T3582-X3582)*2)/32.6</f>
        <v>5.49809979989647</v>
      </c>
      <c r="AK3582">
        <f t="shared" si="402"/>
        <v>92901.1829411765</v>
      </c>
    </row>
    <row r="3583" spans="1:37">
      <c r="A3583" t="s">
        <v>3649</v>
      </c>
      <c r="B3583">
        <v>18</v>
      </c>
      <c r="C3583" t="s">
        <v>44</v>
      </c>
      <c r="D3583" t="s">
        <v>45</v>
      </c>
      <c r="E3583">
        <v>1001</v>
      </c>
      <c r="F3583">
        <v>75</v>
      </c>
      <c r="G3583">
        <v>5</v>
      </c>
      <c r="H3583">
        <v>1463.79</v>
      </c>
      <c r="I3583">
        <v>8118.89</v>
      </c>
      <c r="J3583">
        <v>30</v>
      </c>
      <c r="K3583">
        <v>1</v>
      </c>
      <c r="L3583">
        <v>35.3</v>
      </c>
      <c r="M3583">
        <v>16.7</v>
      </c>
      <c r="N3583" t="s">
        <v>52</v>
      </c>
      <c r="O3583" t="s">
        <v>47</v>
      </c>
      <c r="P3583" t="s">
        <v>58</v>
      </c>
      <c r="R3583">
        <f>SUMIF(A3583:A8582,"C03582",I3583:I8582)</f>
        <v>8118.89</v>
      </c>
      <c r="S3583" s="1">
        <v>1016.24</v>
      </c>
      <c r="T3583">
        <f t="shared" si="405"/>
        <v>270.629666666667</v>
      </c>
      <c r="U3583">
        <f t="shared" si="406"/>
        <v>501</v>
      </c>
      <c r="V3583">
        <f>U3583*1</f>
        <v>501</v>
      </c>
      <c r="W3583">
        <f t="shared" si="403"/>
        <v>3194.56</v>
      </c>
      <c r="X3583">
        <f t="shared" si="408"/>
        <v>0.683841261383122</v>
      </c>
      <c r="AH3583" t="str">
        <f t="shared" si="404"/>
        <v>3rd Quality</v>
      </c>
      <c r="AJ3583">
        <f>((T3583-X3583)*2)/35.3</f>
        <v>15.2943810427923</v>
      </c>
      <c r="AK3583">
        <f t="shared" si="402"/>
        <v>270900.296333333</v>
      </c>
    </row>
    <row r="3584" spans="1:37">
      <c r="A3584" t="s">
        <v>3650</v>
      </c>
      <c r="B3584">
        <v>42</v>
      </c>
      <c r="C3584" t="s">
        <v>50</v>
      </c>
      <c r="D3584" t="s">
        <v>60</v>
      </c>
      <c r="E3584">
        <v>1009</v>
      </c>
      <c r="F3584">
        <v>7</v>
      </c>
      <c r="G3584">
        <v>7</v>
      </c>
      <c r="H3584">
        <v>3327.16</v>
      </c>
      <c r="I3584">
        <v>22019.05</v>
      </c>
      <c r="J3584">
        <v>26</v>
      </c>
      <c r="K3584">
        <v>1</v>
      </c>
      <c r="L3584">
        <v>12.3</v>
      </c>
      <c r="M3584">
        <v>20.4</v>
      </c>
      <c r="N3584" t="s">
        <v>81</v>
      </c>
      <c r="O3584" t="s">
        <v>47</v>
      </c>
      <c r="P3584" t="s">
        <v>58</v>
      </c>
      <c r="R3584">
        <f>SUMIF(A3584:A8583,"C03583",I3584:I8583)</f>
        <v>22019.05</v>
      </c>
      <c r="S3584" s="1">
        <v>2932.13</v>
      </c>
      <c r="T3584">
        <f t="shared" si="405"/>
        <v>846.886538461538</v>
      </c>
      <c r="U3584">
        <f t="shared" si="406"/>
        <v>530.4</v>
      </c>
      <c r="V3584">
        <f>U3584*1</f>
        <v>530.4</v>
      </c>
      <c r="W3584">
        <f t="shared" si="403"/>
        <v>8449.07</v>
      </c>
      <c r="X3584">
        <f t="shared" si="408"/>
        <v>0.303261640558314</v>
      </c>
      <c r="AH3584" t="str">
        <f t="shared" si="404"/>
        <v>2nd Quality</v>
      </c>
      <c r="AJ3584">
        <f>((T3584-X3584)*2)/12.3</f>
        <v>137.655817369265</v>
      </c>
      <c r="AK3584">
        <f t="shared" si="402"/>
        <v>854508.517307692</v>
      </c>
    </row>
    <row r="3585" spans="1:37">
      <c r="A3585" t="s">
        <v>3651</v>
      </c>
      <c r="B3585">
        <v>29</v>
      </c>
      <c r="C3585" t="s">
        <v>50</v>
      </c>
      <c r="D3585" t="s">
        <v>60</v>
      </c>
      <c r="E3585">
        <v>1080</v>
      </c>
      <c r="F3585">
        <v>22</v>
      </c>
      <c r="G3585">
        <v>4</v>
      </c>
      <c r="H3585">
        <v>831.97</v>
      </c>
      <c r="I3585">
        <v>2970.77</v>
      </c>
      <c r="J3585">
        <v>16</v>
      </c>
      <c r="K3585">
        <v>1</v>
      </c>
      <c r="L3585">
        <v>28.4</v>
      </c>
      <c r="M3585">
        <v>32.1</v>
      </c>
      <c r="N3585" t="s">
        <v>46</v>
      </c>
      <c r="O3585" t="s">
        <v>47</v>
      </c>
      <c r="P3585" t="s">
        <v>54</v>
      </c>
      <c r="R3585">
        <f>SUMIF(A3585:A8584,"C03584",I3585:I8584)</f>
        <v>2970.77</v>
      </c>
      <c r="S3585" s="1">
        <v>3521.72</v>
      </c>
      <c r="T3585">
        <f t="shared" si="405"/>
        <v>185.673125</v>
      </c>
      <c r="U3585">
        <f t="shared" si="406"/>
        <v>513.6</v>
      </c>
      <c r="V3585">
        <f>U3585*1</f>
        <v>513.6</v>
      </c>
      <c r="W3585">
        <f t="shared" si="403"/>
        <v>1267.91333333333</v>
      </c>
      <c r="X3585">
        <f t="shared" si="408"/>
        <v>1.29812373042297</v>
      </c>
      <c r="AH3585" t="str">
        <f t="shared" si="404"/>
        <v>3rd Quality</v>
      </c>
      <c r="AJ3585">
        <f>((T3585-X3585)*2)/28.4</f>
        <v>12.9841550189843</v>
      </c>
      <c r="AK3585">
        <f t="shared" si="402"/>
        <v>200526.975</v>
      </c>
    </row>
    <row r="3586" spans="1:37">
      <c r="A3586" t="s">
        <v>3652</v>
      </c>
      <c r="B3586">
        <v>55</v>
      </c>
      <c r="C3586" t="s">
        <v>44</v>
      </c>
      <c r="D3586" t="s">
        <v>60</v>
      </c>
      <c r="E3586">
        <v>840</v>
      </c>
      <c r="F3586">
        <v>109</v>
      </c>
      <c r="G3586">
        <v>1</v>
      </c>
      <c r="H3586">
        <v>960.6</v>
      </c>
      <c r="I3586">
        <v>1016.24</v>
      </c>
      <c r="J3586">
        <v>12</v>
      </c>
      <c r="K3586">
        <v>0</v>
      </c>
      <c r="L3586">
        <v>18.3</v>
      </c>
      <c r="M3586">
        <v>33.7</v>
      </c>
      <c r="N3586" t="s">
        <v>61</v>
      </c>
      <c r="O3586" t="s">
        <v>47</v>
      </c>
      <c r="P3586" t="s">
        <v>54</v>
      </c>
      <c r="R3586">
        <f>SUMIF(A3586:A8585,"C03585",I3586:I8585)</f>
        <v>1016.24</v>
      </c>
      <c r="S3586" s="1">
        <v>4028.87</v>
      </c>
      <c r="T3586">
        <f t="shared" si="405"/>
        <v>84.6866666666667</v>
      </c>
      <c r="U3586">
        <f t="shared" si="406"/>
        <v>404.4</v>
      </c>
      <c r="V3586">
        <f t="shared" si="407"/>
        <v>33.7</v>
      </c>
      <c r="W3586">
        <f t="shared" si="403"/>
        <v>659.28</v>
      </c>
      <c r="X3586">
        <f t="shared" si="408"/>
        <v>0.874453466583385</v>
      </c>
      <c r="AH3586" t="str">
        <f t="shared" si="404"/>
        <v>3rd Quality</v>
      </c>
      <c r="AJ3586">
        <f>((T3586-X3586)*2)/18.3</f>
        <v>9.15980472132058</v>
      </c>
      <c r="AK3586">
        <f t="shared" si="402"/>
        <v>71136.8</v>
      </c>
    </row>
    <row r="3587" spans="1:37">
      <c r="A3587" t="s">
        <v>3653</v>
      </c>
      <c r="B3587">
        <v>38</v>
      </c>
      <c r="C3587" t="s">
        <v>44</v>
      </c>
      <c r="D3587" t="s">
        <v>51</v>
      </c>
      <c r="E3587">
        <v>540</v>
      </c>
      <c r="F3587">
        <v>157</v>
      </c>
      <c r="G3587">
        <v>3</v>
      </c>
      <c r="H3587">
        <v>988.19</v>
      </c>
      <c r="I3587">
        <v>2932.13</v>
      </c>
      <c r="J3587">
        <v>24</v>
      </c>
      <c r="K3587">
        <v>0</v>
      </c>
      <c r="L3587">
        <v>33</v>
      </c>
      <c r="M3587">
        <v>22.5</v>
      </c>
      <c r="N3587" t="s">
        <v>63</v>
      </c>
      <c r="O3587" t="s">
        <v>47</v>
      </c>
      <c r="P3587" t="s">
        <v>68</v>
      </c>
      <c r="R3587">
        <f>SUMIF(A3587:A8586,"C03586",I3587:I8586)</f>
        <v>2932.13</v>
      </c>
      <c r="S3587" s="1">
        <v>5486.65</v>
      </c>
      <c r="T3587">
        <f t="shared" si="405"/>
        <v>122.172083333333</v>
      </c>
      <c r="U3587">
        <f t="shared" si="406"/>
        <v>540</v>
      </c>
      <c r="V3587">
        <f t="shared" si="407"/>
        <v>45</v>
      </c>
      <c r="W3587">
        <f t="shared" si="403"/>
        <v>1307.10666666667</v>
      </c>
      <c r="X3587">
        <f t="shared" si="408"/>
        <v>0.546453617219361</v>
      </c>
      <c r="AH3587" t="str">
        <f t="shared" si="404"/>
        <v>3rd Quality</v>
      </c>
      <c r="AJ3587">
        <f>((T3587-X3587)*2)/33</f>
        <v>7.37125028582507</v>
      </c>
      <c r="AK3587">
        <f t="shared" ref="AK3587:AK3650" si="409">I3587/J3587*E3587</f>
        <v>65972.925</v>
      </c>
    </row>
    <row r="3588" spans="1:37">
      <c r="A3588" t="s">
        <v>3654</v>
      </c>
      <c r="B3588">
        <v>44</v>
      </c>
      <c r="C3588" t="s">
        <v>50</v>
      </c>
      <c r="D3588" t="s">
        <v>45</v>
      </c>
      <c r="E3588">
        <v>767</v>
      </c>
      <c r="F3588">
        <v>62</v>
      </c>
      <c r="G3588">
        <v>6</v>
      </c>
      <c r="H3588">
        <v>611.2</v>
      </c>
      <c r="I3588">
        <v>3521.72</v>
      </c>
      <c r="J3588">
        <v>45</v>
      </c>
      <c r="K3588">
        <v>1</v>
      </c>
      <c r="L3588">
        <v>40.7</v>
      </c>
      <c r="M3588">
        <v>15.2</v>
      </c>
      <c r="N3588" t="s">
        <v>52</v>
      </c>
      <c r="O3588" t="s">
        <v>53</v>
      </c>
      <c r="P3588" t="s">
        <v>68</v>
      </c>
      <c r="R3588">
        <f>SUMIF(A3588:A8587,"C03587",I3588:I8587)</f>
        <v>3521.72</v>
      </c>
      <c r="S3588" s="1">
        <v>4500.72</v>
      </c>
      <c r="T3588">
        <f t="shared" si="405"/>
        <v>78.2604444444444</v>
      </c>
      <c r="U3588">
        <f t="shared" si="406"/>
        <v>684</v>
      </c>
      <c r="V3588">
        <f>U3588*1</f>
        <v>684</v>
      </c>
      <c r="W3588">
        <f t="shared" si="403"/>
        <v>1377.97333333333</v>
      </c>
      <c r="X3588">
        <f t="shared" si="408"/>
        <v>1.25490837696335</v>
      </c>
      <c r="AH3588" t="str">
        <f t="shared" si="404"/>
        <v>3rd Quality</v>
      </c>
      <c r="AJ3588">
        <f>((T3588-X3588)*2)/40.7</f>
        <v>3.78405582641184</v>
      </c>
      <c r="AK3588">
        <f t="shared" si="409"/>
        <v>60025.7608888889</v>
      </c>
    </row>
    <row r="3589" spans="1:37">
      <c r="A3589" t="s">
        <v>3655</v>
      </c>
      <c r="B3589">
        <v>18</v>
      </c>
      <c r="C3589" t="s">
        <v>44</v>
      </c>
      <c r="D3589" t="s">
        <v>60</v>
      </c>
      <c r="E3589">
        <v>1226</v>
      </c>
      <c r="F3589">
        <v>41</v>
      </c>
      <c r="G3589">
        <v>5</v>
      </c>
      <c r="H3589">
        <v>808.19</v>
      </c>
      <c r="I3589">
        <v>4028.87</v>
      </c>
      <c r="J3589">
        <v>38</v>
      </c>
      <c r="K3589">
        <v>0</v>
      </c>
      <c r="L3589">
        <v>16.8</v>
      </c>
      <c r="M3589">
        <v>21.6</v>
      </c>
      <c r="N3589" t="s">
        <v>57</v>
      </c>
      <c r="O3589" t="s">
        <v>47</v>
      </c>
      <c r="P3589" t="s">
        <v>68</v>
      </c>
      <c r="R3589">
        <f>SUMIF(A3589:A8588,"C03588",I3589:I8588)</f>
        <v>4028.87</v>
      </c>
      <c r="S3589" s="1">
        <v>704.97</v>
      </c>
      <c r="T3589">
        <f t="shared" si="405"/>
        <v>106.022894736842</v>
      </c>
      <c r="U3589">
        <f t="shared" si="406"/>
        <v>820.8</v>
      </c>
      <c r="V3589">
        <f t="shared" si="407"/>
        <v>68.4</v>
      </c>
      <c r="W3589">
        <f t="shared" si="403"/>
        <v>1612.68666666667</v>
      </c>
      <c r="X3589">
        <f t="shared" si="408"/>
        <v>1.51697001942612</v>
      </c>
      <c r="AH3589" t="str">
        <f t="shared" si="404"/>
        <v>3rd Quality</v>
      </c>
      <c r="AJ3589">
        <f>((T3589-X3589)*2)/16.8</f>
        <v>12.4411815139781</v>
      </c>
      <c r="AK3589">
        <f t="shared" si="409"/>
        <v>129984.068947368</v>
      </c>
    </row>
    <row r="3590" spans="1:37">
      <c r="A3590" t="s">
        <v>3656</v>
      </c>
      <c r="B3590">
        <v>27</v>
      </c>
      <c r="C3590" t="s">
        <v>50</v>
      </c>
      <c r="D3590" t="s">
        <v>51</v>
      </c>
      <c r="E3590">
        <v>1460</v>
      </c>
      <c r="F3590">
        <v>54</v>
      </c>
      <c r="G3590">
        <v>5</v>
      </c>
      <c r="H3590">
        <v>994.68</v>
      </c>
      <c r="I3590">
        <v>5486.65</v>
      </c>
      <c r="J3590">
        <v>29</v>
      </c>
      <c r="K3590">
        <v>2</v>
      </c>
      <c r="L3590">
        <v>32.8</v>
      </c>
      <c r="M3590">
        <v>16.5</v>
      </c>
      <c r="N3590" t="s">
        <v>52</v>
      </c>
      <c r="O3590" t="s">
        <v>47</v>
      </c>
      <c r="P3590" t="s">
        <v>48</v>
      </c>
      <c r="R3590">
        <f>SUMIF(A3590:A8589,"C03589",I3590:I8589)</f>
        <v>5486.65</v>
      </c>
      <c r="S3590" s="1">
        <v>10842.61</v>
      </c>
      <c r="T3590">
        <f t="shared" si="405"/>
        <v>189.194827586207</v>
      </c>
      <c r="U3590">
        <f t="shared" si="406"/>
        <v>478.5</v>
      </c>
      <c r="V3590">
        <f>U3590*2</f>
        <v>957</v>
      </c>
      <c r="W3590">
        <f t="shared" si="403"/>
        <v>2160.77666666667</v>
      </c>
      <c r="X3590">
        <f t="shared" si="408"/>
        <v>1.46780874251015</v>
      </c>
      <c r="AH3590" t="str">
        <f t="shared" si="404"/>
        <v>3rd Quality</v>
      </c>
      <c r="AJ3590">
        <f>((T3590-X3590)*2)/32.8</f>
        <v>11.4467694416888</v>
      </c>
      <c r="AK3590">
        <f t="shared" si="409"/>
        <v>276224.448275862</v>
      </c>
    </row>
    <row r="3591" spans="1:37">
      <c r="A3591" t="s">
        <v>3657</v>
      </c>
      <c r="B3591">
        <v>40</v>
      </c>
      <c r="C3591" t="s">
        <v>44</v>
      </c>
      <c r="D3591" t="s">
        <v>60</v>
      </c>
      <c r="E3591">
        <v>1067</v>
      </c>
      <c r="F3591">
        <v>90</v>
      </c>
      <c r="G3591">
        <v>6</v>
      </c>
      <c r="H3591">
        <v>797.95</v>
      </c>
      <c r="I3591">
        <v>4500.72</v>
      </c>
      <c r="J3591">
        <v>23</v>
      </c>
      <c r="K3591">
        <v>0</v>
      </c>
      <c r="L3591">
        <v>21.1</v>
      </c>
      <c r="M3591">
        <v>29.6</v>
      </c>
      <c r="N3591" t="s">
        <v>57</v>
      </c>
      <c r="O3591" t="s">
        <v>75</v>
      </c>
      <c r="P3591" t="s">
        <v>58</v>
      </c>
      <c r="R3591">
        <f>SUMIF(A3591:A8590,"C03590",I3591:I8590)</f>
        <v>4500.72</v>
      </c>
      <c r="S3591" s="1">
        <v>2582.17</v>
      </c>
      <c r="T3591">
        <f t="shared" si="405"/>
        <v>195.68347826087</v>
      </c>
      <c r="U3591">
        <f t="shared" si="406"/>
        <v>680.8</v>
      </c>
      <c r="V3591">
        <f t="shared" si="407"/>
        <v>56.7333333333333</v>
      </c>
      <c r="W3591">
        <f t="shared" si="403"/>
        <v>1766.55666666667</v>
      </c>
      <c r="X3591">
        <f t="shared" si="408"/>
        <v>1.33717651481922</v>
      </c>
      <c r="AH3591" t="str">
        <f t="shared" si="404"/>
        <v>3rd Quality</v>
      </c>
      <c r="AJ3591">
        <f>((T3591-X3591)*2)/21.1</f>
        <v>18.4214504024693</v>
      </c>
      <c r="AK3591">
        <f t="shared" si="409"/>
        <v>208794.271304348</v>
      </c>
    </row>
    <row r="3592" spans="1:37">
      <c r="A3592" t="s">
        <v>3658</v>
      </c>
      <c r="B3592">
        <v>33</v>
      </c>
      <c r="C3592" t="s">
        <v>50</v>
      </c>
      <c r="D3592" t="s">
        <v>51</v>
      </c>
      <c r="E3592">
        <v>1218</v>
      </c>
      <c r="F3592">
        <v>74</v>
      </c>
      <c r="G3592">
        <v>1</v>
      </c>
      <c r="H3592">
        <v>759.56</v>
      </c>
      <c r="I3592">
        <v>704.97</v>
      </c>
      <c r="J3592">
        <v>13</v>
      </c>
      <c r="K3592">
        <v>0</v>
      </c>
      <c r="L3592">
        <v>26.9</v>
      </c>
      <c r="M3592">
        <v>17.1</v>
      </c>
      <c r="N3592" t="s">
        <v>57</v>
      </c>
      <c r="O3592" t="s">
        <v>47</v>
      </c>
      <c r="P3592" t="s">
        <v>58</v>
      </c>
      <c r="R3592">
        <f>SUMIF(A3592:A8591,"C03591",I3592:I8591)</f>
        <v>704.97</v>
      </c>
      <c r="S3592" s="1">
        <v>98813.32</v>
      </c>
      <c r="T3592">
        <f t="shared" si="405"/>
        <v>54.2284615384615</v>
      </c>
      <c r="U3592">
        <f t="shared" si="406"/>
        <v>222.3</v>
      </c>
      <c r="V3592">
        <f t="shared" si="407"/>
        <v>18.525</v>
      </c>
      <c r="W3592">
        <f t="shared" si="403"/>
        <v>488.51</v>
      </c>
      <c r="X3592">
        <f t="shared" si="408"/>
        <v>1.60355995576386</v>
      </c>
      <c r="AH3592" t="str">
        <f t="shared" si="404"/>
        <v>3rd Quality</v>
      </c>
      <c r="AJ3592">
        <f>((T3592-X3592)*2)/26.9</f>
        <v>3.91263208793291</v>
      </c>
      <c r="AK3592">
        <f t="shared" si="409"/>
        <v>66050.2661538462</v>
      </c>
    </row>
    <row r="3593" spans="1:37">
      <c r="A3593" t="s">
        <v>3659</v>
      </c>
      <c r="B3593">
        <v>18</v>
      </c>
      <c r="C3593" t="s">
        <v>101</v>
      </c>
      <c r="D3593" t="s">
        <v>45</v>
      </c>
      <c r="E3593">
        <v>579</v>
      </c>
      <c r="F3593">
        <v>95</v>
      </c>
      <c r="G3593">
        <v>14</v>
      </c>
      <c r="H3593">
        <v>768.22</v>
      </c>
      <c r="I3593">
        <v>10842.61</v>
      </c>
      <c r="J3593">
        <v>65</v>
      </c>
      <c r="K3593">
        <v>0</v>
      </c>
      <c r="L3593">
        <v>22.1</v>
      </c>
      <c r="M3593">
        <v>24.6</v>
      </c>
      <c r="N3593" t="s">
        <v>78</v>
      </c>
      <c r="O3593" t="s">
        <v>53</v>
      </c>
      <c r="P3593" t="s">
        <v>58</v>
      </c>
      <c r="R3593">
        <f>SUMIF(A3593:A8592,"C03592",I3593:I8592)</f>
        <v>10842.61</v>
      </c>
      <c r="S3593" s="1">
        <v>72359.44</v>
      </c>
      <c r="T3593">
        <f t="shared" si="405"/>
        <v>166.809384615385</v>
      </c>
      <c r="U3593">
        <f t="shared" si="406"/>
        <v>1599</v>
      </c>
      <c r="V3593">
        <f t="shared" si="407"/>
        <v>133.25</v>
      </c>
      <c r="W3593">
        <f t="shared" ref="W3593:W3656" si="410">(H3593+I3593+1)/3</f>
        <v>3870.61</v>
      </c>
      <c r="X3593">
        <f t="shared" si="408"/>
        <v>0.753690349118742</v>
      </c>
      <c r="AH3593" t="str">
        <f t="shared" si="404"/>
        <v>3rd Quality</v>
      </c>
      <c r="AJ3593">
        <f>((T3593-X3593)*2)/22.1</f>
        <v>15.0276646394811</v>
      </c>
      <c r="AK3593">
        <f t="shared" si="409"/>
        <v>96582.6336923077</v>
      </c>
    </row>
    <row r="3594" spans="1:37">
      <c r="A3594" t="s">
        <v>3660</v>
      </c>
      <c r="B3594">
        <v>21</v>
      </c>
      <c r="C3594" t="s">
        <v>44</v>
      </c>
      <c r="D3594" t="s">
        <v>60</v>
      </c>
      <c r="E3594">
        <v>1225</v>
      </c>
      <c r="F3594">
        <v>124</v>
      </c>
      <c r="G3594">
        <v>3</v>
      </c>
      <c r="H3594">
        <v>868.37</v>
      </c>
      <c r="I3594">
        <v>2582.17</v>
      </c>
      <c r="J3594">
        <v>26</v>
      </c>
      <c r="K3594">
        <v>0</v>
      </c>
      <c r="L3594">
        <v>31.9</v>
      </c>
      <c r="M3594">
        <v>19.6</v>
      </c>
      <c r="N3594" t="s">
        <v>78</v>
      </c>
      <c r="O3594" t="s">
        <v>47</v>
      </c>
      <c r="P3594" t="s">
        <v>58</v>
      </c>
      <c r="R3594">
        <f>SUMIF(A3594:A8593,"C03593",I3594:I8593)</f>
        <v>2582.17</v>
      </c>
      <c r="S3594" s="1">
        <v>3435.34</v>
      </c>
      <c r="T3594">
        <f t="shared" si="405"/>
        <v>99.3142307692308</v>
      </c>
      <c r="U3594">
        <f t="shared" si="406"/>
        <v>509.6</v>
      </c>
      <c r="V3594">
        <f t="shared" si="407"/>
        <v>42.4666666666667</v>
      </c>
      <c r="W3594">
        <f t="shared" si="410"/>
        <v>1150.51333333333</v>
      </c>
      <c r="X3594">
        <f t="shared" si="408"/>
        <v>1.41068899201953</v>
      </c>
      <c r="AH3594" t="str">
        <f t="shared" si="404"/>
        <v>3rd Quality</v>
      </c>
      <c r="AJ3594">
        <f>((T3594-X3594)*2)/31.9</f>
        <v>6.13815308948033</v>
      </c>
      <c r="AK3594">
        <f t="shared" si="409"/>
        <v>121659.932692308</v>
      </c>
    </row>
    <row r="3595" spans="1:37">
      <c r="A3595" t="s">
        <v>3661</v>
      </c>
      <c r="B3595">
        <v>34</v>
      </c>
      <c r="C3595" t="s">
        <v>44</v>
      </c>
      <c r="D3595" t="s">
        <v>60</v>
      </c>
      <c r="E3595">
        <v>821</v>
      </c>
      <c r="F3595">
        <v>20</v>
      </c>
      <c r="G3595">
        <v>22</v>
      </c>
      <c r="H3595">
        <v>4903.66</v>
      </c>
      <c r="I3595">
        <v>98813.32</v>
      </c>
      <c r="J3595">
        <v>165</v>
      </c>
      <c r="K3595">
        <v>4</v>
      </c>
      <c r="L3595">
        <v>9.1</v>
      </c>
      <c r="M3595">
        <v>34</v>
      </c>
      <c r="N3595" t="s">
        <v>81</v>
      </c>
      <c r="O3595" t="s">
        <v>53</v>
      </c>
      <c r="P3595" t="s">
        <v>48</v>
      </c>
      <c r="R3595">
        <f>SUMIF(A3595:A8594,"C03594",I3595:I8594)</f>
        <v>98813.32</v>
      </c>
      <c r="S3595" s="1">
        <v>1278.38</v>
      </c>
      <c r="T3595">
        <f t="shared" si="405"/>
        <v>598.868606060606</v>
      </c>
      <c r="U3595">
        <f t="shared" si="406"/>
        <v>5610</v>
      </c>
      <c r="V3595">
        <f>U3595*4</f>
        <v>22440</v>
      </c>
      <c r="W3595">
        <f t="shared" si="410"/>
        <v>34572.66</v>
      </c>
      <c r="X3595">
        <f t="shared" si="408"/>
        <v>0.167425963464025</v>
      </c>
      <c r="AH3595" t="str">
        <f t="shared" si="404"/>
        <v>2nd Quality</v>
      </c>
      <c r="AJ3595">
        <f>((T3595-X3595)*2)/9.1</f>
        <v>131.582676944427</v>
      </c>
      <c r="AK3595">
        <f t="shared" si="409"/>
        <v>491671.125575758</v>
      </c>
    </row>
    <row r="3596" spans="1:37">
      <c r="A3596" t="s">
        <v>3662</v>
      </c>
      <c r="B3596">
        <v>32</v>
      </c>
      <c r="C3596" t="s">
        <v>50</v>
      </c>
      <c r="D3596" t="s">
        <v>51</v>
      </c>
      <c r="E3596">
        <v>1136</v>
      </c>
      <c r="F3596">
        <v>20</v>
      </c>
      <c r="G3596">
        <v>28</v>
      </c>
      <c r="H3596">
        <v>2535.19</v>
      </c>
      <c r="I3596">
        <v>72359.44</v>
      </c>
      <c r="J3596">
        <v>229</v>
      </c>
      <c r="K3596">
        <v>2</v>
      </c>
      <c r="L3596">
        <v>10.9</v>
      </c>
      <c r="M3596">
        <v>36.8</v>
      </c>
      <c r="N3596" t="s">
        <v>61</v>
      </c>
      <c r="O3596" t="s">
        <v>47</v>
      </c>
      <c r="P3596" t="s">
        <v>54</v>
      </c>
      <c r="R3596">
        <f>SUMIF(A3596:A8595,"C03595",I3596:I8595)</f>
        <v>72359.44</v>
      </c>
      <c r="S3596" s="1">
        <v>1253.9</v>
      </c>
      <c r="T3596">
        <f t="shared" si="405"/>
        <v>315.980087336245</v>
      </c>
      <c r="U3596">
        <f t="shared" si="406"/>
        <v>8427.2</v>
      </c>
      <c r="V3596">
        <f>U3596*2</f>
        <v>16854.4</v>
      </c>
      <c r="W3596">
        <f t="shared" si="410"/>
        <v>24965.21</v>
      </c>
      <c r="X3596">
        <f t="shared" si="408"/>
        <v>0.448092647888324</v>
      </c>
      <c r="AH3596" t="str">
        <f t="shared" si="404"/>
        <v>1st Quality</v>
      </c>
      <c r="AJ3596">
        <f>((T3596-X3596)*2)/10.9</f>
        <v>57.8957788419003</v>
      </c>
      <c r="AK3596">
        <f t="shared" si="409"/>
        <v>358953.379213974</v>
      </c>
    </row>
    <row r="3597" spans="1:37">
      <c r="A3597" t="s">
        <v>3663</v>
      </c>
      <c r="B3597">
        <v>18</v>
      </c>
      <c r="C3597" t="s">
        <v>44</v>
      </c>
      <c r="D3597" t="s">
        <v>60</v>
      </c>
      <c r="E3597">
        <v>1069</v>
      </c>
      <c r="F3597">
        <v>34</v>
      </c>
      <c r="G3597">
        <v>2</v>
      </c>
      <c r="H3597">
        <v>1687.5</v>
      </c>
      <c r="I3597">
        <v>3435.34</v>
      </c>
      <c r="J3597">
        <v>26</v>
      </c>
      <c r="K3597">
        <v>0</v>
      </c>
      <c r="L3597">
        <v>16.4</v>
      </c>
      <c r="M3597">
        <v>61.9</v>
      </c>
      <c r="N3597" t="s">
        <v>46</v>
      </c>
      <c r="O3597" t="s">
        <v>53</v>
      </c>
      <c r="P3597" t="s">
        <v>68</v>
      </c>
      <c r="R3597">
        <f>SUMIF(A3597:A8596,"C03596",I3597:I8596)</f>
        <v>3435.34</v>
      </c>
      <c r="S3597" s="1">
        <v>1177.04</v>
      </c>
      <c r="T3597">
        <f t="shared" si="405"/>
        <v>132.128461538462</v>
      </c>
      <c r="U3597">
        <f t="shared" si="406"/>
        <v>1609.4</v>
      </c>
      <c r="V3597">
        <f t="shared" si="407"/>
        <v>134.116666666667</v>
      </c>
      <c r="W3597">
        <f t="shared" si="410"/>
        <v>1707.94666666667</v>
      </c>
      <c r="X3597">
        <f t="shared" si="408"/>
        <v>0.633481481481482</v>
      </c>
      <c r="AH3597" t="str">
        <f t="shared" si="404"/>
        <v>3rd Quality</v>
      </c>
      <c r="AJ3597">
        <f>((T3597-X3597)*2)/16.4</f>
        <v>16.0359731776806</v>
      </c>
      <c r="AK3597">
        <f t="shared" si="409"/>
        <v>141245.325384615</v>
      </c>
    </row>
    <row r="3598" spans="1:37">
      <c r="A3598" t="s">
        <v>3664</v>
      </c>
      <c r="B3598">
        <v>51</v>
      </c>
      <c r="C3598" t="s">
        <v>50</v>
      </c>
      <c r="D3598" t="s">
        <v>60</v>
      </c>
      <c r="E3598">
        <v>1199</v>
      </c>
      <c r="F3598">
        <v>80</v>
      </c>
      <c r="G3598">
        <v>1</v>
      </c>
      <c r="H3598">
        <v>1246.83</v>
      </c>
      <c r="I3598">
        <v>1278.38</v>
      </c>
      <c r="J3598">
        <v>14</v>
      </c>
      <c r="K3598">
        <v>0</v>
      </c>
      <c r="L3598">
        <v>10.4</v>
      </c>
      <c r="M3598">
        <v>33.8</v>
      </c>
      <c r="N3598" t="s">
        <v>52</v>
      </c>
      <c r="O3598" t="s">
        <v>47</v>
      </c>
      <c r="P3598" t="s">
        <v>58</v>
      </c>
      <c r="R3598">
        <f>SUMIF(A3598:A8597,"C03597",I3598:I8597)</f>
        <v>1278.38</v>
      </c>
      <c r="S3598" s="1">
        <v>13959.04</v>
      </c>
      <c r="T3598">
        <f t="shared" si="405"/>
        <v>91.3128571428572</v>
      </c>
      <c r="U3598">
        <f t="shared" si="406"/>
        <v>473.2</v>
      </c>
      <c r="V3598">
        <f t="shared" si="407"/>
        <v>39.4333333333333</v>
      </c>
      <c r="W3598">
        <f t="shared" si="410"/>
        <v>842.07</v>
      </c>
      <c r="X3598">
        <f t="shared" si="408"/>
        <v>0.961638715783226</v>
      </c>
      <c r="AH3598" t="str">
        <f t="shared" ref="AH3598:AH3661" si="411">IF(AND(W3598&gt;=12550,B3598&lt;=33,E3598&gt;=915),"1st Quality",IF(AND(W3598&gt;=6275,B3598&lt;=43,E3598&gt;=457),"2nd Quality","3rd Quality"))</f>
        <v>3rd Quality</v>
      </c>
      <c r="AJ3598">
        <f>((T3598-X3598)*2)/10.4</f>
        <v>17.3752343128988</v>
      </c>
      <c r="AK3598">
        <f t="shared" si="409"/>
        <v>109484.115714286</v>
      </c>
    </row>
    <row r="3599" spans="1:37">
      <c r="A3599" t="s">
        <v>3665</v>
      </c>
      <c r="B3599">
        <v>33</v>
      </c>
      <c r="C3599" t="s">
        <v>44</v>
      </c>
      <c r="D3599" t="s">
        <v>60</v>
      </c>
      <c r="E3599">
        <v>1170</v>
      </c>
      <c r="F3599">
        <v>156</v>
      </c>
      <c r="G3599">
        <v>1</v>
      </c>
      <c r="H3599">
        <v>1280.47</v>
      </c>
      <c r="I3599">
        <v>1253.9</v>
      </c>
      <c r="J3599">
        <v>13</v>
      </c>
      <c r="K3599">
        <v>0</v>
      </c>
      <c r="L3599">
        <v>22.8</v>
      </c>
      <c r="M3599">
        <v>29.4</v>
      </c>
      <c r="N3599" t="s">
        <v>52</v>
      </c>
      <c r="O3599" t="s">
        <v>47</v>
      </c>
      <c r="P3599" t="s">
        <v>54</v>
      </c>
      <c r="R3599">
        <f>SUMIF(A3599:A8598,"C03598",I3599:I8598)</f>
        <v>1253.9</v>
      </c>
      <c r="S3599" s="1">
        <v>1704.56</v>
      </c>
      <c r="T3599">
        <f t="shared" si="405"/>
        <v>96.4538461538462</v>
      </c>
      <c r="U3599">
        <f t="shared" si="406"/>
        <v>382.2</v>
      </c>
      <c r="V3599">
        <f t="shared" si="407"/>
        <v>31.85</v>
      </c>
      <c r="W3599">
        <f t="shared" si="410"/>
        <v>845.123333333333</v>
      </c>
      <c r="X3599">
        <f t="shared" si="408"/>
        <v>0.91372699087054</v>
      </c>
      <c r="AH3599" t="str">
        <f t="shared" si="411"/>
        <v>3rd Quality</v>
      </c>
      <c r="AJ3599">
        <f>((T3599-X3599)*2)/22.8</f>
        <v>8.38071220727857</v>
      </c>
      <c r="AK3599">
        <f t="shared" si="409"/>
        <v>112851</v>
      </c>
    </row>
    <row r="3600" spans="1:37">
      <c r="A3600" t="s">
        <v>3666</v>
      </c>
      <c r="B3600">
        <v>43</v>
      </c>
      <c r="C3600" t="s">
        <v>44</v>
      </c>
      <c r="D3600" t="s">
        <v>45</v>
      </c>
      <c r="E3600">
        <v>1074</v>
      </c>
      <c r="F3600">
        <v>109</v>
      </c>
      <c r="G3600">
        <v>1</v>
      </c>
      <c r="H3600">
        <v>1239.5</v>
      </c>
      <c r="I3600">
        <v>1177.04</v>
      </c>
      <c r="J3600">
        <v>19</v>
      </c>
      <c r="K3600">
        <v>0</v>
      </c>
      <c r="L3600">
        <v>24.2</v>
      </c>
      <c r="M3600">
        <v>50.9</v>
      </c>
      <c r="N3600" t="s">
        <v>46</v>
      </c>
      <c r="O3600" t="s">
        <v>47</v>
      </c>
      <c r="P3600" t="s">
        <v>58</v>
      </c>
      <c r="R3600">
        <f>SUMIF(A3600:A8599,"C03599",I3600:I8599)</f>
        <v>1177.04</v>
      </c>
      <c r="S3600" s="1">
        <v>72639.04</v>
      </c>
      <c r="T3600">
        <f t="shared" si="405"/>
        <v>61.9494736842105</v>
      </c>
      <c r="U3600">
        <f t="shared" si="406"/>
        <v>967.1</v>
      </c>
      <c r="V3600">
        <f t="shared" si="407"/>
        <v>80.5916666666667</v>
      </c>
      <c r="W3600">
        <f t="shared" si="410"/>
        <v>805.846666666667</v>
      </c>
      <c r="X3600">
        <f t="shared" si="408"/>
        <v>0.866478418717225</v>
      </c>
      <c r="AH3600" t="str">
        <f t="shared" si="411"/>
        <v>3rd Quality</v>
      </c>
      <c r="AJ3600">
        <f>((T3600-X3600)*2)/24.2</f>
        <v>5.04818142690027</v>
      </c>
      <c r="AK3600">
        <f t="shared" si="409"/>
        <v>66533.7347368421</v>
      </c>
    </row>
    <row r="3601" spans="1:37">
      <c r="A3601" t="s">
        <v>3667</v>
      </c>
      <c r="B3601">
        <v>47</v>
      </c>
      <c r="C3601" t="s">
        <v>44</v>
      </c>
      <c r="D3601" t="s">
        <v>51</v>
      </c>
      <c r="E3601">
        <v>825</v>
      </c>
      <c r="F3601">
        <v>49</v>
      </c>
      <c r="G3601">
        <v>8</v>
      </c>
      <c r="H3601">
        <v>1819.86</v>
      </c>
      <c r="I3601">
        <v>13959.04</v>
      </c>
      <c r="J3601">
        <v>49</v>
      </c>
      <c r="K3601">
        <v>1</v>
      </c>
      <c r="L3601">
        <v>28.9</v>
      </c>
      <c r="M3601">
        <v>39.2</v>
      </c>
      <c r="N3601" t="s">
        <v>78</v>
      </c>
      <c r="O3601" t="s">
        <v>53</v>
      </c>
      <c r="P3601" t="s">
        <v>58</v>
      </c>
      <c r="R3601">
        <f>SUMIF(A3601:A8600,"C03600",I3601:I8600)</f>
        <v>13959.04</v>
      </c>
      <c r="S3601" s="1">
        <v>54145.87</v>
      </c>
      <c r="T3601">
        <f t="shared" si="405"/>
        <v>284.878367346939</v>
      </c>
      <c r="U3601">
        <f t="shared" si="406"/>
        <v>1920.8</v>
      </c>
      <c r="V3601">
        <f>U3601*1</f>
        <v>1920.8</v>
      </c>
      <c r="W3601">
        <f t="shared" si="410"/>
        <v>5259.96666666667</v>
      </c>
      <c r="X3601">
        <f t="shared" si="408"/>
        <v>0.453331574956315</v>
      </c>
      <c r="AH3601" t="str">
        <f t="shared" si="411"/>
        <v>3rd Quality</v>
      </c>
      <c r="AJ3601">
        <f>((T3601-X3601)*2)/28.9</f>
        <v>19.6833934790299</v>
      </c>
      <c r="AK3601">
        <f t="shared" si="409"/>
        <v>235024.653061224</v>
      </c>
    </row>
    <row r="3602" spans="1:37">
      <c r="A3602" t="s">
        <v>3668</v>
      </c>
      <c r="B3602">
        <v>26</v>
      </c>
      <c r="C3602" t="s">
        <v>50</v>
      </c>
      <c r="D3602" t="s">
        <v>45</v>
      </c>
      <c r="E3602">
        <v>1257</v>
      </c>
      <c r="F3602">
        <v>52</v>
      </c>
      <c r="G3602">
        <v>2</v>
      </c>
      <c r="H3602">
        <v>788.97</v>
      </c>
      <c r="I3602">
        <v>1704.56</v>
      </c>
      <c r="J3602">
        <v>18</v>
      </c>
      <c r="K3602">
        <v>0</v>
      </c>
      <c r="L3602">
        <v>26.7</v>
      </c>
      <c r="M3602">
        <v>12.5</v>
      </c>
      <c r="N3602" t="s">
        <v>46</v>
      </c>
      <c r="O3602" t="s">
        <v>47</v>
      </c>
      <c r="P3602" t="s">
        <v>68</v>
      </c>
      <c r="R3602">
        <f>SUMIF(A3602:A8601,"C03601",I3602:I8601)</f>
        <v>1704.56</v>
      </c>
      <c r="S3602" s="1">
        <v>9797.13</v>
      </c>
      <c r="T3602">
        <f t="shared" si="405"/>
        <v>94.6977777777778</v>
      </c>
      <c r="U3602">
        <f t="shared" si="406"/>
        <v>225</v>
      </c>
      <c r="V3602">
        <f t="shared" si="407"/>
        <v>18.75</v>
      </c>
      <c r="W3602">
        <f t="shared" si="410"/>
        <v>831.51</v>
      </c>
      <c r="X3602">
        <f t="shared" si="408"/>
        <v>1.59321647210921</v>
      </c>
      <c r="AH3602" t="str">
        <f t="shared" si="411"/>
        <v>3rd Quality</v>
      </c>
      <c r="AJ3602">
        <f>((T3602-X3602)*2)/26.7</f>
        <v>6.97412444237218</v>
      </c>
      <c r="AK3602">
        <f t="shared" si="409"/>
        <v>119035.106666667</v>
      </c>
    </row>
    <row r="3603" spans="1:37">
      <c r="A3603" t="s">
        <v>3669</v>
      </c>
      <c r="B3603">
        <v>35</v>
      </c>
      <c r="C3603" t="s">
        <v>44</v>
      </c>
      <c r="D3603" t="s">
        <v>51</v>
      </c>
      <c r="E3603">
        <v>1158</v>
      </c>
      <c r="F3603">
        <v>7</v>
      </c>
      <c r="G3603">
        <v>25</v>
      </c>
      <c r="H3603">
        <v>2820.87</v>
      </c>
      <c r="I3603">
        <v>72639.04</v>
      </c>
      <c r="J3603">
        <v>185</v>
      </c>
      <c r="K3603">
        <v>2</v>
      </c>
      <c r="L3603">
        <v>3.6</v>
      </c>
      <c r="M3603">
        <v>23.2</v>
      </c>
      <c r="N3603" t="s">
        <v>61</v>
      </c>
      <c r="O3603" t="s">
        <v>47</v>
      </c>
      <c r="P3603" t="s">
        <v>68</v>
      </c>
      <c r="R3603">
        <f>SUMIF(A3603:A8602,"C03602",I3603:I8602)</f>
        <v>72639.04</v>
      </c>
      <c r="S3603" s="1">
        <v>1937.31</v>
      </c>
      <c r="T3603">
        <f t="shared" si="405"/>
        <v>392.643459459459</v>
      </c>
      <c r="U3603">
        <f t="shared" si="406"/>
        <v>4292</v>
      </c>
      <c r="V3603">
        <f>U3603*2</f>
        <v>8584</v>
      </c>
      <c r="W3603">
        <f t="shared" si="410"/>
        <v>25153.6366666667</v>
      </c>
      <c r="X3603">
        <f t="shared" si="408"/>
        <v>0.410511650660966</v>
      </c>
      <c r="AH3603" t="str">
        <f t="shared" si="411"/>
        <v>2nd Quality</v>
      </c>
      <c r="AJ3603">
        <f>((T3603-X3603)*2)/3.6</f>
        <v>217.90719322711</v>
      </c>
      <c r="AK3603">
        <f t="shared" si="409"/>
        <v>454681.126054054</v>
      </c>
    </row>
    <row r="3604" spans="1:37">
      <c r="A3604" t="s">
        <v>3670</v>
      </c>
      <c r="B3604">
        <v>28</v>
      </c>
      <c r="C3604" t="s">
        <v>56</v>
      </c>
      <c r="D3604" t="s">
        <v>51</v>
      </c>
      <c r="E3604">
        <v>520</v>
      </c>
      <c r="F3604">
        <v>18</v>
      </c>
      <c r="G3604">
        <v>5</v>
      </c>
      <c r="H3604">
        <v>11100.86</v>
      </c>
      <c r="I3604">
        <v>54145.87</v>
      </c>
      <c r="J3604">
        <v>46</v>
      </c>
      <c r="K3604">
        <v>0</v>
      </c>
      <c r="L3604">
        <v>0</v>
      </c>
      <c r="M3604">
        <v>46.7</v>
      </c>
      <c r="N3604" t="s">
        <v>57</v>
      </c>
      <c r="O3604" t="s">
        <v>53</v>
      </c>
      <c r="P3604" t="s">
        <v>58</v>
      </c>
      <c r="R3604">
        <f>SUMIF(A3604:A8603,"C03603",I3604:I8603)</f>
        <v>54145.87</v>
      </c>
      <c r="S3604" s="1">
        <v>74444.08</v>
      </c>
      <c r="T3604">
        <f t="shared" si="405"/>
        <v>1177.08413043478</v>
      </c>
      <c r="U3604">
        <f t="shared" si="406"/>
        <v>2148.2</v>
      </c>
      <c r="V3604">
        <f t="shared" si="407"/>
        <v>179.016666666667</v>
      </c>
      <c r="W3604">
        <f t="shared" si="410"/>
        <v>21749.2433333333</v>
      </c>
      <c r="X3604">
        <f t="shared" si="408"/>
        <v>0.0468432175525139</v>
      </c>
      <c r="AH3604" t="str">
        <f t="shared" si="411"/>
        <v>2nd Quality</v>
      </c>
      <c r="AJ3604">
        <f>((T3604-X3604)*2)</f>
        <v>2354.07457443445</v>
      </c>
      <c r="AK3604">
        <f t="shared" si="409"/>
        <v>612083.747826087</v>
      </c>
    </row>
    <row r="3605" spans="1:37">
      <c r="A3605" t="s">
        <v>3671</v>
      </c>
      <c r="B3605">
        <v>42</v>
      </c>
      <c r="C3605" t="s">
        <v>50</v>
      </c>
      <c r="D3605" t="s">
        <v>60</v>
      </c>
      <c r="E3605">
        <v>654</v>
      </c>
      <c r="F3605">
        <v>66</v>
      </c>
      <c r="G3605">
        <v>5</v>
      </c>
      <c r="H3605">
        <v>1907.57</v>
      </c>
      <c r="I3605">
        <v>9797.13</v>
      </c>
      <c r="J3605">
        <v>34</v>
      </c>
      <c r="K3605">
        <v>0</v>
      </c>
      <c r="L3605">
        <v>28.4</v>
      </c>
      <c r="M3605">
        <v>32.4</v>
      </c>
      <c r="N3605" t="s">
        <v>52</v>
      </c>
      <c r="O3605" t="s">
        <v>47</v>
      </c>
      <c r="P3605" t="s">
        <v>58</v>
      </c>
      <c r="R3605">
        <f>SUMIF(A3605:A8604,"C03604",I3605:I8604)</f>
        <v>9797.13</v>
      </c>
      <c r="S3605" s="1">
        <v>54374.49</v>
      </c>
      <c r="T3605">
        <f t="shared" si="405"/>
        <v>288.150882352941</v>
      </c>
      <c r="U3605">
        <f t="shared" si="406"/>
        <v>1101.6</v>
      </c>
      <c r="V3605">
        <f t="shared" si="407"/>
        <v>91.8</v>
      </c>
      <c r="W3605">
        <f t="shared" si="410"/>
        <v>3901.9</v>
      </c>
      <c r="X3605">
        <f t="shared" si="408"/>
        <v>0.342844561405348</v>
      </c>
      <c r="AH3605" t="str">
        <f t="shared" si="411"/>
        <v>3rd Quality</v>
      </c>
      <c r="AJ3605">
        <f>((T3605-X3605)*2)/28.4</f>
        <v>20.2681716754603</v>
      </c>
      <c r="AK3605">
        <f t="shared" si="409"/>
        <v>188450.677058824</v>
      </c>
    </row>
    <row r="3606" spans="1:37">
      <c r="A3606" t="s">
        <v>3672</v>
      </c>
      <c r="B3606">
        <v>43</v>
      </c>
      <c r="C3606" t="s">
        <v>101</v>
      </c>
      <c r="D3606" t="s">
        <v>45</v>
      </c>
      <c r="E3606">
        <v>663</v>
      </c>
      <c r="F3606">
        <v>134</v>
      </c>
      <c r="G3606">
        <v>1</v>
      </c>
      <c r="H3606">
        <v>2009.85</v>
      </c>
      <c r="I3606">
        <v>1937.31</v>
      </c>
      <c r="J3606">
        <v>13</v>
      </c>
      <c r="K3606">
        <v>0</v>
      </c>
      <c r="L3606">
        <v>8.6</v>
      </c>
      <c r="M3606">
        <v>26.7</v>
      </c>
      <c r="N3606" t="s">
        <v>46</v>
      </c>
      <c r="O3606" t="s">
        <v>47</v>
      </c>
      <c r="P3606" t="s">
        <v>58</v>
      </c>
      <c r="R3606">
        <f>SUMIF(A3606:A8605,"C03605",I3606:I8605)</f>
        <v>1937.31</v>
      </c>
      <c r="S3606" s="1">
        <v>12145.54</v>
      </c>
      <c r="T3606">
        <f t="shared" ref="T3606:T3611" si="412">I3606/J3606</f>
        <v>149.023846153846</v>
      </c>
      <c r="U3606">
        <f t="shared" si="406"/>
        <v>347.1</v>
      </c>
      <c r="V3606">
        <f t="shared" si="407"/>
        <v>28.925</v>
      </c>
      <c r="W3606">
        <f t="shared" si="410"/>
        <v>1316.05333333333</v>
      </c>
      <c r="X3606">
        <f t="shared" si="408"/>
        <v>0.329875363833122</v>
      </c>
      <c r="AH3606" t="str">
        <f t="shared" si="411"/>
        <v>3rd Quality</v>
      </c>
      <c r="AJ3606">
        <f>((T3606-X3606)*2)/8.6</f>
        <v>34.5799932069797</v>
      </c>
      <c r="AK3606">
        <f t="shared" si="409"/>
        <v>98802.81</v>
      </c>
    </row>
    <row r="3607" spans="1:37">
      <c r="A3607" t="s">
        <v>3673</v>
      </c>
      <c r="B3607">
        <v>26</v>
      </c>
      <c r="C3607" t="s">
        <v>56</v>
      </c>
      <c r="D3607" t="s">
        <v>45</v>
      </c>
      <c r="E3607">
        <v>702</v>
      </c>
      <c r="F3607">
        <v>21</v>
      </c>
      <c r="G3607">
        <v>22</v>
      </c>
      <c r="H3607">
        <v>3112.89</v>
      </c>
      <c r="I3607">
        <v>74444.08</v>
      </c>
      <c r="J3607">
        <v>95</v>
      </c>
      <c r="K3607">
        <v>2</v>
      </c>
      <c r="L3607">
        <v>4.2</v>
      </c>
      <c r="M3607">
        <v>51.6</v>
      </c>
      <c r="N3607" t="s">
        <v>78</v>
      </c>
      <c r="O3607" t="s">
        <v>47</v>
      </c>
      <c r="P3607" t="s">
        <v>66</v>
      </c>
      <c r="R3607">
        <f>SUMIF(A3607:A8606,"C03606",I3607:I8606)</f>
        <v>74444.08</v>
      </c>
      <c r="S3607" s="1">
        <v>51410.89</v>
      </c>
      <c r="T3607">
        <f t="shared" si="412"/>
        <v>783.621894736842</v>
      </c>
      <c r="U3607">
        <f t="shared" si="406"/>
        <v>4902</v>
      </c>
      <c r="V3607">
        <f>U3607*2</f>
        <v>9804</v>
      </c>
      <c r="W3607">
        <f t="shared" si="410"/>
        <v>25852.6566666667</v>
      </c>
      <c r="X3607">
        <f t="shared" si="408"/>
        <v>0.225513911509883</v>
      </c>
      <c r="AH3607" t="str">
        <f t="shared" si="411"/>
        <v>2nd Quality</v>
      </c>
      <c r="AJ3607">
        <f>((T3607-X3607)*2)/4.2</f>
        <v>373.045895631111</v>
      </c>
      <c r="AK3607">
        <f t="shared" si="409"/>
        <v>550102.570105263</v>
      </c>
    </row>
    <row r="3608" spans="1:37">
      <c r="A3608" t="s">
        <v>3674</v>
      </c>
      <c r="B3608">
        <v>25</v>
      </c>
      <c r="C3608" t="s">
        <v>44</v>
      </c>
      <c r="D3608" t="s">
        <v>60</v>
      </c>
      <c r="E3608">
        <v>1136</v>
      </c>
      <c r="F3608">
        <v>11</v>
      </c>
      <c r="G3608">
        <v>20</v>
      </c>
      <c r="H3608">
        <v>2577.89</v>
      </c>
      <c r="I3608">
        <v>54374.49</v>
      </c>
      <c r="J3608">
        <v>69</v>
      </c>
      <c r="K3608">
        <v>0</v>
      </c>
      <c r="L3608">
        <v>24</v>
      </c>
      <c r="M3608">
        <v>11.8</v>
      </c>
      <c r="N3608" t="s">
        <v>52</v>
      </c>
      <c r="O3608" t="s">
        <v>47</v>
      </c>
      <c r="P3608" t="s">
        <v>48</v>
      </c>
      <c r="R3608">
        <f>SUMIF(A3608:A8607,"C03607",I3608:I8607)</f>
        <v>54374.49</v>
      </c>
      <c r="S3608" s="1">
        <v>11273.55</v>
      </c>
      <c r="T3608">
        <f t="shared" si="412"/>
        <v>788.036086956522</v>
      </c>
      <c r="U3608">
        <f t="shared" si="406"/>
        <v>814.2</v>
      </c>
      <c r="V3608">
        <f t="shared" si="407"/>
        <v>67.85</v>
      </c>
      <c r="W3608">
        <f t="shared" si="410"/>
        <v>18984.46</v>
      </c>
      <c r="X3608">
        <f t="shared" si="408"/>
        <v>0.4406704708114</v>
      </c>
      <c r="AH3608" t="str">
        <f t="shared" si="411"/>
        <v>1st Quality</v>
      </c>
      <c r="AJ3608">
        <f>((T3608-X3608)*2)/24</f>
        <v>65.6329513738092</v>
      </c>
      <c r="AK3608">
        <f t="shared" si="409"/>
        <v>895208.994782609</v>
      </c>
    </row>
    <row r="3609" spans="1:37">
      <c r="A3609" t="s">
        <v>3675</v>
      </c>
      <c r="B3609">
        <v>23</v>
      </c>
      <c r="C3609" t="s">
        <v>50</v>
      </c>
      <c r="D3609" t="s">
        <v>60</v>
      </c>
      <c r="E3609">
        <v>382</v>
      </c>
      <c r="F3609">
        <v>41</v>
      </c>
      <c r="G3609">
        <v>7</v>
      </c>
      <c r="H3609">
        <v>1918.85</v>
      </c>
      <c r="I3609">
        <v>12145.54</v>
      </c>
      <c r="J3609">
        <v>66</v>
      </c>
      <c r="K3609">
        <v>2</v>
      </c>
      <c r="L3609">
        <v>25.6</v>
      </c>
      <c r="M3609">
        <v>15.1</v>
      </c>
      <c r="N3609" t="s">
        <v>52</v>
      </c>
      <c r="O3609" t="s">
        <v>47</v>
      </c>
      <c r="P3609" t="s">
        <v>48</v>
      </c>
      <c r="R3609">
        <f>SUMIF(A3609:A8608,"C03608",I3609:I8608)</f>
        <v>12145.54</v>
      </c>
      <c r="S3609" s="1">
        <v>112655.04</v>
      </c>
      <c r="T3609">
        <f t="shared" si="412"/>
        <v>184.023333333333</v>
      </c>
      <c r="U3609">
        <f t="shared" si="406"/>
        <v>996.6</v>
      </c>
      <c r="V3609">
        <f>U3609*2</f>
        <v>1993.2</v>
      </c>
      <c r="W3609">
        <f t="shared" si="410"/>
        <v>4688.46333333333</v>
      </c>
      <c r="X3609">
        <f t="shared" si="408"/>
        <v>0.199077572504365</v>
      </c>
      <c r="AH3609" t="str">
        <f t="shared" si="411"/>
        <v>3rd Quality</v>
      </c>
      <c r="AJ3609">
        <f>((T3609-X3609)*2)/25.6</f>
        <v>14.3612699813147</v>
      </c>
      <c r="AK3609">
        <f t="shared" si="409"/>
        <v>70296.9133333333</v>
      </c>
    </row>
    <row r="3610" spans="1:37">
      <c r="A3610" t="s">
        <v>3676</v>
      </c>
      <c r="B3610">
        <v>40</v>
      </c>
      <c r="C3610" t="s">
        <v>50</v>
      </c>
      <c r="D3610" t="s">
        <v>51</v>
      </c>
      <c r="E3610">
        <v>654</v>
      </c>
      <c r="F3610">
        <v>4</v>
      </c>
      <c r="G3610">
        <v>25</v>
      </c>
      <c r="H3610">
        <v>2301.6</v>
      </c>
      <c r="I3610">
        <v>51410.89</v>
      </c>
      <c r="J3610">
        <v>201</v>
      </c>
      <c r="K3610">
        <v>1</v>
      </c>
      <c r="L3610">
        <v>10.1</v>
      </c>
      <c r="M3610">
        <v>62.3</v>
      </c>
      <c r="N3610" t="s">
        <v>57</v>
      </c>
      <c r="O3610" t="s">
        <v>47</v>
      </c>
      <c r="P3610" t="s">
        <v>66</v>
      </c>
      <c r="R3610">
        <f>SUMIF(A3610:A8609,"C03609",I3610:I8609)</f>
        <v>51410.89</v>
      </c>
      <c r="S3610" s="1">
        <v>7734.56</v>
      </c>
      <c r="T3610">
        <f t="shared" si="412"/>
        <v>255.775572139303</v>
      </c>
      <c r="U3610">
        <f t="shared" si="406"/>
        <v>12522.3</v>
      </c>
      <c r="V3610">
        <f>U3610*1</f>
        <v>12522.3</v>
      </c>
      <c r="W3610">
        <f t="shared" si="410"/>
        <v>17904.4966666667</v>
      </c>
      <c r="X3610">
        <f t="shared" si="408"/>
        <v>0.28415015641293</v>
      </c>
      <c r="AH3610" t="str">
        <f t="shared" si="411"/>
        <v>2nd Quality</v>
      </c>
      <c r="AJ3610">
        <f>((T3610-X3610)*2)/10.1</f>
        <v>50.5923607886911</v>
      </c>
      <c r="AK3610">
        <f t="shared" si="409"/>
        <v>167277.224179104</v>
      </c>
    </row>
    <row r="3611" spans="1:37">
      <c r="A3611" t="s">
        <v>3677</v>
      </c>
      <c r="B3611">
        <v>29</v>
      </c>
      <c r="C3611" t="s">
        <v>50</v>
      </c>
      <c r="D3611" t="s">
        <v>45</v>
      </c>
      <c r="E3611">
        <v>901</v>
      </c>
      <c r="F3611">
        <v>57</v>
      </c>
      <c r="G3611">
        <v>13</v>
      </c>
      <c r="H3611">
        <v>976.55</v>
      </c>
      <c r="I3611">
        <v>11273.55</v>
      </c>
      <c r="J3611">
        <v>71</v>
      </c>
      <c r="K3611">
        <v>3</v>
      </c>
      <c r="L3611">
        <v>9</v>
      </c>
      <c r="M3611">
        <v>26.2</v>
      </c>
      <c r="N3611" t="s">
        <v>81</v>
      </c>
      <c r="O3611" t="s">
        <v>53</v>
      </c>
      <c r="P3611" t="s">
        <v>66</v>
      </c>
      <c r="R3611">
        <f>SUMIF(A3611:A8610,"C03610",I3611:I8610)</f>
        <v>11273.55</v>
      </c>
      <c r="S3611" s="1">
        <v>20390.69</v>
      </c>
      <c r="T3611">
        <f t="shared" si="412"/>
        <v>158.782394366197</v>
      </c>
      <c r="U3611">
        <f t="shared" si="406"/>
        <v>1860.2</v>
      </c>
      <c r="V3611">
        <f>U3611*3</f>
        <v>5580.6</v>
      </c>
      <c r="W3611">
        <f t="shared" si="410"/>
        <v>4083.7</v>
      </c>
      <c r="X3611">
        <f t="shared" si="408"/>
        <v>0.922635809738365</v>
      </c>
      <c r="AH3611" t="str">
        <f t="shared" si="411"/>
        <v>3rd Quality</v>
      </c>
      <c r="AJ3611">
        <f>((T3611-X3611)*2)/9</f>
        <v>35.0799463458797</v>
      </c>
      <c r="AK3611">
        <f t="shared" si="409"/>
        <v>143062.937323944</v>
      </c>
    </row>
    <row r="3612" spans="1:37">
      <c r="A3612" t="s">
        <v>3678</v>
      </c>
      <c r="B3612">
        <v>20</v>
      </c>
      <c r="C3612" t="s">
        <v>44</v>
      </c>
      <c r="D3612" t="s">
        <v>45</v>
      </c>
      <c r="E3612">
        <v>564</v>
      </c>
      <c r="F3612">
        <v>11</v>
      </c>
      <c r="G3612">
        <v>8</v>
      </c>
      <c r="H3612">
        <v>15882.87</v>
      </c>
      <c r="I3612">
        <v>112655.04</v>
      </c>
      <c r="J3612">
        <v>33</v>
      </c>
      <c r="K3612">
        <v>0</v>
      </c>
      <c r="L3612">
        <v>1.3</v>
      </c>
      <c r="M3612">
        <v>13.2</v>
      </c>
      <c r="N3612" t="s">
        <v>78</v>
      </c>
      <c r="O3612" t="s">
        <v>47</v>
      </c>
      <c r="P3612" t="s">
        <v>66</v>
      </c>
      <c r="R3612">
        <f>SUMIF(A3612:A8611,"C03611",I3612:I8611)</f>
        <v>112655.04</v>
      </c>
      <c r="S3612" s="1">
        <v>2223.57</v>
      </c>
      <c r="T3612">
        <f t="shared" ref="T3612:T3654" si="413">I3612/J3612</f>
        <v>3413.78909090909</v>
      </c>
      <c r="U3612">
        <f t="shared" si="406"/>
        <v>435.6</v>
      </c>
      <c r="V3612">
        <f t="shared" si="407"/>
        <v>36.3</v>
      </c>
      <c r="W3612">
        <f t="shared" si="410"/>
        <v>42846.3033333333</v>
      </c>
      <c r="X3612">
        <f t="shared" si="408"/>
        <v>0.0355099550647962</v>
      </c>
      <c r="AH3612" t="str">
        <f t="shared" si="411"/>
        <v>2nd Quality</v>
      </c>
      <c r="AJ3612">
        <f>((T3612-X3612)*2)/1.3</f>
        <v>5251.92858608312</v>
      </c>
      <c r="AK3612">
        <f t="shared" si="409"/>
        <v>1925377.04727273</v>
      </c>
    </row>
    <row r="3613" spans="1:37">
      <c r="A3613" t="s">
        <v>3679</v>
      </c>
      <c r="B3613">
        <v>38</v>
      </c>
      <c r="C3613" t="s">
        <v>44</v>
      </c>
      <c r="D3613" t="s">
        <v>60</v>
      </c>
      <c r="E3613">
        <v>575</v>
      </c>
      <c r="F3613">
        <v>57</v>
      </c>
      <c r="G3613">
        <v>5</v>
      </c>
      <c r="H3613">
        <v>1548.06</v>
      </c>
      <c r="I3613">
        <v>7734.56</v>
      </c>
      <c r="J3613">
        <v>37</v>
      </c>
      <c r="K3613">
        <v>1</v>
      </c>
      <c r="L3613">
        <v>27.9</v>
      </c>
      <c r="M3613">
        <v>30.8</v>
      </c>
      <c r="N3613" t="s">
        <v>46</v>
      </c>
      <c r="O3613" t="s">
        <v>47</v>
      </c>
      <c r="P3613" t="s">
        <v>58</v>
      </c>
      <c r="R3613">
        <f>SUMIF(A3613:A8612,"C03612",I3613:I8612)</f>
        <v>7734.56</v>
      </c>
      <c r="S3613" s="1">
        <v>36503.04</v>
      </c>
      <c r="T3613">
        <f t="shared" si="413"/>
        <v>209.042162162162</v>
      </c>
      <c r="U3613">
        <f t="shared" si="406"/>
        <v>1139.6</v>
      </c>
      <c r="V3613">
        <f>U3613*1</f>
        <v>1139.6</v>
      </c>
      <c r="W3613">
        <f t="shared" si="410"/>
        <v>3094.54</v>
      </c>
      <c r="X3613">
        <f t="shared" si="408"/>
        <v>0.371432631810137</v>
      </c>
      <c r="AH3613" t="str">
        <f t="shared" si="411"/>
        <v>3rd Quality</v>
      </c>
      <c r="AJ3613">
        <f>((T3613-X3613)*2)/27.9</f>
        <v>14.9584752351507</v>
      </c>
      <c r="AK3613">
        <f t="shared" si="409"/>
        <v>120199.243243243</v>
      </c>
    </row>
    <row r="3614" spans="1:37">
      <c r="A3614" t="s">
        <v>3680</v>
      </c>
      <c r="B3614">
        <v>21</v>
      </c>
      <c r="C3614" t="s">
        <v>50</v>
      </c>
      <c r="D3614" t="s">
        <v>60</v>
      </c>
      <c r="E3614">
        <v>840</v>
      </c>
      <c r="F3614">
        <v>43</v>
      </c>
      <c r="G3614">
        <v>2</v>
      </c>
      <c r="H3614">
        <v>11041.07</v>
      </c>
      <c r="I3614">
        <v>20390.69</v>
      </c>
      <c r="J3614">
        <v>24</v>
      </c>
      <c r="K3614">
        <v>1</v>
      </c>
      <c r="L3614">
        <v>0</v>
      </c>
      <c r="M3614">
        <v>0.3</v>
      </c>
      <c r="N3614" t="s">
        <v>81</v>
      </c>
      <c r="O3614" t="s">
        <v>47</v>
      </c>
      <c r="P3614" t="s">
        <v>66</v>
      </c>
      <c r="R3614">
        <f>SUMIF(A3614:A8613,"C03613",I3614:I8613)</f>
        <v>20390.69</v>
      </c>
      <c r="S3614" s="1">
        <v>1332.56</v>
      </c>
      <c r="T3614">
        <f t="shared" si="413"/>
        <v>849.612083333333</v>
      </c>
      <c r="U3614">
        <f t="shared" si="406"/>
        <v>7.2</v>
      </c>
      <c r="V3614">
        <f>U3614*1</f>
        <v>7.2</v>
      </c>
      <c r="W3614">
        <f t="shared" si="410"/>
        <v>10477.5866666667</v>
      </c>
      <c r="X3614">
        <f t="shared" si="408"/>
        <v>0.0760795828665157</v>
      </c>
      <c r="AH3614" t="str">
        <f t="shared" si="411"/>
        <v>2nd Quality</v>
      </c>
      <c r="AJ3614">
        <f>((T3614-X3614)*2)</f>
        <v>1699.07200750093</v>
      </c>
      <c r="AK3614">
        <f t="shared" si="409"/>
        <v>713674.15</v>
      </c>
    </row>
    <row r="3615" spans="1:37">
      <c r="A3615" t="s">
        <v>3681</v>
      </c>
      <c r="B3615">
        <v>23</v>
      </c>
      <c r="C3615" t="s">
        <v>44</v>
      </c>
      <c r="D3615" t="s">
        <v>51</v>
      </c>
      <c r="E3615">
        <v>1026</v>
      </c>
      <c r="F3615">
        <v>309</v>
      </c>
      <c r="G3615">
        <v>1</v>
      </c>
      <c r="H3615">
        <v>2134.17</v>
      </c>
      <c r="I3615">
        <v>2223.57</v>
      </c>
      <c r="J3615">
        <v>13</v>
      </c>
      <c r="K3615">
        <v>0</v>
      </c>
      <c r="L3615">
        <v>19.8</v>
      </c>
      <c r="M3615">
        <v>11.4</v>
      </c>
      <c r="N3615" t="s">
        <v>78</v>
      </c>
      <c r="O3615" t="s">
        <v>47</v>
      </c>
      <c r="P3615" t="s">
        <v>58</v>
      </c>
      <c r="R3615">
        <f>SUMIF(A3615:A8614,"C03614",I3615:I8614)</f>
        <v>2223.57</v>
      </c>
      <c r="S3615" s="1">
        <v>10472.44</v>
      </c>
      <c r="T3615">
        <f t="shared" si="413"/>
        <v>171.043846153846</v>
      </c>
      <c r="U3615">
        <f t="shared" si="406"/>
        <v>148.2</v>
      </c>
      <c r="V3615">
        <f t="shared" si="407"/>
        <v>12.35</v>
      </c>
      <c r="W3615">
        <f t="shared" si="410"/>
        <v>1452.91333333333</v>
      </c>
      <c r="X3615">
        <f t="shared" si="408"/>
        <v>0.480748956268713</v>
      </c>
      <c r="AH3615" t="str">
        <f t="shared" si="411"/>
        <v>3rd Quality</v>
      </c>
      <c r="AJ3615">
        <f>((T3615-X3615)*2)/19.8</f>
        <v>17.228595676523</v>
      </c>
      <c r="AK3615">
        <f t="shared" si="409"/>
        <v>175490.986153846</v>
      </c>
    </row>
    <row r="3616" spans="1:37">
      <c r="A3616" t="s">
        <v>3682</v>
      </c>
      <c r="B3616">
        <v>31</v>
      </c>
      <c r="C3616" t="s">
        <v>44</v>
      </c>
      <c r="D3616" t="s">
        <v>51</v>
      </c>
      <c r="E3616">
        <v>735</v>
      </c>
      <c r="F3616">
        <v>43</v>
      </c>
      <c r="G3616">
        <v>4</v>
      </c>
      <c r="H3616">
        <v>9163.67</v>
      </c>
      <c r="I3616">
        <v>36503.04</v>
      </c>
      <c r="J3616">
        <v>16</v>
      </c>
      <c r="K3616">
        <v>2</v>
      </c>
      <c r="L3616">
        <v>0</v>
      </c>
      <c r="M3616">
        <v>32.8</v>
      </c>
      <c r="N3616" t="s">
        <v>63</v>
      </c>
      <c r="O3616" t="s">
        <v>47</v>
      </c>
      <c r="P3616" t="s">
        <v>66</v>
      </c>
      <c r="R3616">
        <f>SUMIF(A3616:A8615,"C03615",I3616:I8615)</f>
        <v>36503.04</v>
      </c>
      <c r="S3616" s="1">
        <v>87561.42</v>
      </c>
      <c r="T3616">
        <f t="shared" si="413"/>
        <v>2281.44</v>
      </c>
      <c r="U3616">
        <f t="shared" si="406"/>
        <v>524.8</v>
      </c>
      <c r="V3616">
        <f>U3616*2</f>
        <v>1049.6</v>
      </c>
      <c r="W3616">
        <f t="shared" si="410"/>
        <v>15222.57</v>
      </c>
      <c r="X3616">
        <f t="shared" si="408"/>
        <v>0.0802080389189048</v>
      </c>
      <c r="AH3616" t="str">
        <f t="shared" si="411"/>
        <v>2nd Quality</v>
      </c>
      <c r="AJ3616">
        <f>((T3616-X3616)*2)</f>
        <v>4562.71958392216</v>
      </c>
      <c r="AK3616">
        <f t="shared" si="409"/>
        <v>1676858.4</v>
      </c>
    </row>
    <row r="3617" spans="1:37">
      <c r="A3617" t="s">
        <v>3683</v>
      </c>
      <c r="B3617">
        <v>36</v>
      </c>
      <c r="C3617" t="s">
        <v>50</v>
      </c>
      <c r="D3617" t="s">
        <v>45</v>
      </c>
      <c r="E3617">
        <v>1423</v>
      </c>
      <c r="F3617">
        <v>174</v>
      </c>
      <c r="G3617">
        <v>3</v>
      </c>
      <c r="H3617">
        <v>492.21</v>
      </c>
      <c r="I3617">
        <v>1332.56</v>
      </c>
      <c r="J3617">
        <v>13</v>
      </c>
      <c r="K3617">
        <v>0</v>
      </c>
      <c r="L3617">
        <v>24.6</v>
      </c>
      <c r="M3617">
        <v>24.3</v>
      </c>
      <c r="N3617" t="s">
        <v>57</v>
      </c>
      <c r="O3617" t="s">
        <v>47</v>
      </c>
      <c r="P3617" t="s">
        <v>66</v>
      </c>
      <c r="R3617">
        <f>SUMIF(A3617:A8616,"C03616",I3617:I8616)</f>
        <v>1332.56</v>
      </c>
      <c r="S3617" s="1">
        <v>9817.93</v>
      </c>
      <c r="T3617">
        <f t="shared" si="413"/>
        <v>102.504615384615</v>
      </c>
      <c r="U3617">
        <f t="shared" si="406"/>
        <v>315.9</v>
      </c>
      <c r="V3617">
        <f t="shared" si="407"/>
        <v>26.325</v>
      </c>
      <c r="W3617">
        <f t="shared" si="410"/>
        <v>608.59</v>
      </c>
      <c r="X3617">
        <f t="shared" si="408"/>
        <v>2.89104244123443</v>
      </c>
      <c r="AH3617" t="str">
        <f t="shared" si="411"/>
        <v>3rd Quality</v>
      </c>
      <c r="AJ3617">
        <f>((T3617-X3617)*2)/24.6</f>
        <v>8.09866446694151</v>
      </c>
      <c r="AK3617">
        <f t="shared" si="409"/>
        <v>145864.067692308</v>
      </c>
    </row>
    <row r="3618" spans="1:37">
      <c r="A3618" t="s">
        <v>3684</v>
      </c>
      <c r="B3618">
        <v>36</v>
      </c>
      <c r="C3618" t="s">
        <v>50</v>
      </c>
      <c r="D3618" t="s">
        <v>45</v>
      </c>
      <c r="E3618">
        <v>827</v>
      </c>
      <c r="F3618">
        <v>48</v>
      </c>
      <c r="G3618">
        <v>8</v>
      </c>
      <c r="H3618">
        <v>1485.2</v>
      </c>
      <c r="I3618">
        <v>10472.44</v>
      </c>
      <c r="J3618">
        <v>57</v>
      </c>
      <c r="K3618">
        <v>0</v>
      </c>
      <c r="L3618">
        <v>11</v>
      </c>
      <c r="M3618">
        <v>36.4</v>
      </c>
      <c r="N3618" t="s">
        <v>81</v>
      </c>
      <c r="O3618" t="s">
        <v>47</v>
      </c>
      <c r="P3618" t="s">
        <v>58</v>
      </c>
      <c r="R3618">
        <f>SUMIF(A3618:A8617,"C03617",I3618:I8617)</f>
        <v>10472.44</v>
      </c>
      <c r="S3618" s="1">
        <v>1147.24</v>
      </c>
      <c r="T3618">
        <f t="shared" si="413"/>
        <v>183.72701754386</v>
      </c>
      <c r="U3618">
        <f t="shared" ref="U3618:U3681" si="414">J3618*M3618</f>
        <v>2074.8</v>
      </c>
      <c r="V3618">
        <f t="shared" si="407"/>
        <v>172.9</v>
      </c>
      <c r="W3618">
        <f t="shared" si="410"/>
        <v>3986.21333333333</v>
      </c>
      <c r="X3618">
        <f t="shared" si="408"/>
        <v>0.556827363318072</v>
      </c>
      <c r="AH3618" t="str">
        <f t="shared" si="411"/>
        <v>3rd Quality</v>
      </c>
      <c r="AJ3618">
        <f>((T3618-X3618)*2)/11</f>
        <v>33.3036709419167</v>
      </c>
      <c r="AK3618">
        <f t="shared" si="409"/>
        <v>151942.243508772</v>
      </c>
    </row>
    <row r="3619" spans="1:37">
      <c r="A3619" t="s">
        <v>3685</v>
      </c>
      <c r="B3619">
        <v>38</v>
      </c>
      <c r="C3619" t="s">
        <v>44</v>
      </c>
      <c r="D3619" t="s">
        <v>60</v>
      </c>
      <c r="E3619">
        <v>1460</v>
      </c>
      <c r="F3619">
        <v>1</v>
      </c>
      <c r="G3619">
        <v>31</v>
      </c>
      <c r="H3619">
        <v>3177.9</v>
      </c>
      <c r="I3619">
        <v>87561.42</v>
      </c>
      <c r="J3619">
        <v>164</v>
      </c>
      <c r="K3619">
        <v>4</v>
      </c>
      <c r="L3619">
        <v>9.7</v>
      </c>
      <c r="M3619">
        <v>14.5</v>
      </c>
      <c r="N3619" t="s">
        <v>81</v>
      </c>
      <c r="O3619" t="s">
        <v>53</v>
      </c>
      <c r="P3619" t="s">
        <v>58</v>
      </c>
      <c r="R3619">
        <f>SUMIF(A3619:A8618,"C03618",I3619:I8618)</f>
        <v>87561.42</v>
      </c>
      <c r="S3619" s="1">
        <v>36016.91</v>
      </c>
      <c r="T3619">
        <f t="shared" si="413"/>
        <v>533.911097560976</v>
      </c>
      <c r="U3619">
        <f t="shared" si="414"/>
        <v>2378</v>
      </c>
      <c r="V3619">
        <f>U3619*4</f>
        <v>9512</v>
      </c>
      <c r="W3619">
        <f t="shared" si="410"/>
        <v>30246.7733333333</v>
      </c>
      <c r="X3619">
        <f t="shared" si="408"/>
        <v>0.459422889329431</v>
      </c>
      <c r="AH3619" t="str">
        <f t="shared" si="411"/>
        <v>2nd Quality</v>
      </c>
      <c r="AJ3619">
        <f>((T3619-X3619)*2)/9.7</f>
        <v>109.990036014773</v>
      </c>
      <c r="AK3619">
        <f t="shared" si="409"/>
        <v>779510.202439024</v>
      </c>
    </row>
    <row r="3620" spans="1:37">
      <c r="A3620" t="s">
        <v>3686</v>
      </c>
      <c r="B3620">
        <v>22</v>
      </c>
      <c r="C3620" t="s">
        <v>44</v>
      </c>
      <c r="D3620" t="s">
        <v>51</v>
      </c>
      <c r="E3620">
        <v>984</v>
      </c>
      <c r="F3620">
        <v>44</v>
      </c>
      <c r="G3620">
        <v>10</v>
      </c>
      <c r="H3620">
        <v>974</v>
      </c>
      <c r="I3620">
        <v>9817.93</v>
      </c>
      <c r="J3620">
        <v>46</v>
      </c>
      <c r="K3620">
        <v>0</v>
      </c>
      <c r="L3620">
        <v>10.1</v>
      </c>
      <c r="M3620">
        <v>38.4</v>
      </c>
      <c r="N3620" t="s">
        <v>78</v>
      </c>
      <c r="O3620" t="s">
        <v>47</v>
      </c>
      <c r="P3620" t="s">
        <v>58</v>
      </c>
      <c r="R3620">
        <f>SUMIF(A3620:A8619,"C03619",I3620:I8619)</f>
        <v>9817.93</v>
      </c>
      <c r="S3620" s="1">
        <v>6519.67</v>
      </c>
      <c r="T3620">
        <f t="shared" si="413"/>
        <v>213.433260869565</v>
      </c>
      <c r="U3620">
        <f t="shared" si="414"/>
        <v>1766.4</v>
      </c>
      <c r="V3620">
        <f t="shared" si="407"/>
        <v>147.2</v>
      </c>
      <c r="W3620">
        <f t="shared" si="410"/>
        <v>3597.64333333333</v>
      </c>
      <c r="X3620">
        <f t="shared" si="408"/>
        <v>1.01026694045175</v>
      </c>
      <c r="AH3620" t="str">
        <f t="shared" si="411"/>
        <v>3rd Quality</v>
      </c>
      <c r="AJ3620">
        <f>((T3620-X3620)*2)/10</f>
        <v>42.4845987858227</v>
      </c>
      <c r="AK3620">
        <f t="shared" si="409"/>
        <v>210018.328695652</v>
      </c>
    </row>
    <row r="3621" spans="1:37">
      <c r="A3621" t="s">
        <v>3687</v>
      </c>
      <c r="B3621">
        <v>43</v>
      </c>
      <c r="C3621" t="s">
        <v>44</v>
      </c>
      <c r="D3621" t="s">
        <v>60</v>
      </c>
      <c r="E3621">
        <v>778</v>
      </c>
      <c r="F3621">
        <v>102</v>
      </c>
      <c r="G3621">
        <v>1</v>
      </c>
      <c r="H3621">
        <v>1123.88</v>
      </c>
      <c r="I3621">
        <v>1147.24</v>
      </c>
      <c r="J3621">
        <v>4</v>
      </c>
      <c r="K3621">
        <v>0</v>
      </c>
      <c r="L3621">
        <v>16.4</v>
      </c>
      <c r="M3621">
        <v>32.4</v>
      </c>
      <c r="N3621" t="s">
        <v>61</v>
      </c>
      <c r="O3621" t="s">
        <v>75</v>
      </c>
      <c r="P3621" t="s">
        <v>66</v>
      </c>
      <c r="R3621">
        <f>SUMIF(A3621:A8620,"C03620",I3621:I8620)</f>
        <v>1147.24</v>
      </c>
      <c r="S3621" s="1">
        <v>15529.46</v>
      </c>
      <c r="T3621">
        <f t="shared" si="413"/>
        <v>286.81</v>
      </c>
      <c r="U3621">
        <f t="shared" si="414"/>
        <v>129.6</v>
      </c>
      <c r="V3621">
        <f t="shared" si="407"/>
        <v>10.8</v>
      </c>
      <c r="W3621">
        <f t="shared" si="410"/>
        <v>757.373333333333</v>
      </c>
      <c r="X3621">
        <f t="shared" si="408"/>
        <v>0.692244723635975</v>
      </c>
      <c r="AH3621" t="str">
        <f t="shared" si="411"/>
        <v>3rd Quality</v>
      </c>
      <c r="AJ3621">
        <f>((T3621-X3621)*2)/16.4</f>
        <v>34.8924091800444</v>
      </c>
      <c r="AK3621">
        <f t="shared" si="409"/>
        <v>223138.18</v>
      </c>
    </row>
    <row r="3622" spans="1:37">
      <c r="A3622" t="s">
        <v>3688</v>
      </c>
      <c r="B3622">
        <v>32</v>
      </c>
      <c r="C3622" t="s">
        <v>44</v>
      </c>
      <c r="D3622" t="s">
        <v>60</v>
      </c>
      <c r="E3622">
        <v>494</v>
      </c>
      <c r="F3622">
        <v>8</v>
      </c>
      <c r="G3622">
        <v>4</v>
      </c>
      <c r="H3622">
        <v>9333.48</v>
      </c>
      <c r="I3622">
        <v>36016.91</v>
      </c>
      <c r="J3622">
        <v>37</v>
      </c>
      <c r="K3622">
        <v>0</v>
      </c>
      <c r="L3622">
        <v>10.5</v>
      </c>
      <c r="M3622">
        <v>35.1</v>
      </c>
      <c r="N3622" t="s">
        <v>57</v>
      </c>
      <c r="O3622" t="s">
        <v>75</v>
      </c>
      <c r="P3622" t="s">
        <v>58</v>
      </c>
      <c r="R3622">
        <f>SUMIF(A3622:A8621,"C03621",I3622:I8621)</f>
        <v>36016.91</v>
      </c>
      <c r="S3622" s="1">
        <v>3757.26</v>
      </c>
      <c r="T3622">
        <f t="shared" si="413"/>
        <v>973.43</v>
      </c>
      <c r="U3622">
        <f t="shared" si="414"/>
        <v>1298.7</v>
      </c>
      <c r="V3622">
        <f t="shared" si="407"/>
        <v>108.225</v>
      </c>
      <c r="W3622">
        <f t="shared" si="410"/>
        <v>15117.13</v>
      </c>
      <c r="X3622">
        <f t="shared" si="408"/>
        <v>0.0529277397069475</v>
      </c>
      <c r="AH3622" t="str">
        <f t="shared" si="411"/>
        <v>2nd Quality</v>
      </c>
      <c r="AJ3622">
        <f>((T3622-X3622)*2)/10.5</f>
        <v>185.405156621008</v>
      </c>
      <c r="AK3622">
        <f t="shared" si="409"/>
        <v>480874.42</v>
      </c>
    </row>
    <row r="3623" spans="1:37">
      <c r="A3623" t="s">
        <v>3689</v>
      </c>
      <c r="B3623">
        <v>41</v>
      </c>
      <c r="C3623" t="s">
        <v>101</v>
      </c>
      <c r="D3623" t="s">
        <v>45</v>
      </c>
      <c r="E3623">
        <v>1170</v>
      </c>
      <c r="F3623">
        <v>15</v>
      </c>
      <c r="G3623">
        <v>9</v>
      </c>
      <c r="H3623">
        <v>805.85</v>
      </c>
      <c r="I3623">
        <v>6519.67</v>
      </c>
      <c r="J3623">
        <v>29</v>
      </c>
      <c r="K3623">
        <v>3</v>
      </c>
      <c r="L3623">
        <v>23.4</v>
      </c>
      <c r="M3623">
        <v>53.1</v>
      </c>
      <c r="N3623" t="s">
        <v>52</v>
      </c>
      <c r="O3623" t="s">
        <v>53</v>
      </c>
      <c r="P3623" t="s">
        <v>58</v>
      </c>
      <c r="R3623">
        <f>SUMIF(A3623:A8622,"C03622",I3623:I8622)</f>
        <v>6519.67</v>
      </c>
      <c r="S3623" s="1">
        <v>1597.17</v>
      </c>
      <c r="T3623">
        <f t="shared" si="413"/>
        <v>224.816206896552</v>
      </c>
      <c r="U3623">
        <f t="shared" si="414"/>
        <v>1539.9</v>
      </c>
      <c r="V3623">
        <f>U3623*3</f>
        <v>4619.7</v>
      </c>
      <c r="W3623">
        <f t="shared" si="410"/>
        <v>2442.17333333333</v>
      </c>
      <c r="X3623">
        <f t="shared" si="408"/>
        <v>1.45188310479618</v>
      </c>
      <c r="AH3623" t="str">
        <f t="shared" si="411"/>
        <v>3rd Quality</v>
      </c>
      <c r="AJ3623">
        <f>((T3623-X3623)*2)/23.4</f>
        <v>19.0909678454492</v>
      </c>
      <c r="AK3623">
        <f t="shared" si="409"/>
        <v>263034.962068966</v>
      </c>
    </row>
    <row r="3624" spans="1:37">
      <c r="A3624" t="s">
        <v>3690</v>
      </c>
      <c r="B3624">
        <v>28</v>
      </c>
      <c r="C3624" t="s">
        <v>44</v>
      </c>
      <c r="D3624" t="s">
        <v>60</v>
      </c>
      <c r="E3624">
        <v>957</v>
      </c>
      <c r="F3624">
        <v>21</v>
      </c>
      <c r="G3624">
        <v>11</v>
      </c>
      <c r="H3624">
        <v>1278.4</v>
      </c>
      <c r="I3624">
        <v>15529.46</v>
      </c>
      <c r="J3624">
        <v>87</v>
      </c>
      <c r="K3624">
        <v>2</v>
      </c>
      <c r="L3624">
        <v>25.3</v>
      </c>
      <c r="M3624">
        <v>47.6</v>
      </c>
      <c r="N3624" t="s">
        <v>46</v>
      </c>
      <c r="O3624" t="s">
        <v>47</v>
      </c>
      <c r="P3624" t="s">
        <v>66</v>
      </c>
      <c r="R3624">
        <f>SUMIF(A3624:A8623,"C03623",I3624:I8623)</f>
        <v>15529.46</v>
      </c>
      <c r="S3624" s="1">
        <v>32267.18</v>
      </c>
      <c r="T3624">
        <f t="shared" si="413"/>
        <v>178.499540229885</v>
      </c>
      <c r="U3624">
        <f t="shared" si="414"/>
        <v>4141.2</v>
      </c>
      <c r="V3624">
        <f>U3624*2</f>
        <v>8282.4</v>
      </c>
      <c r="W3624">
        <f t="shared" si="410"/>
        <v>5602.95333333333</v>
      </c>
      <c r="X3624">
        <f t="shared" si="408"/>
        <v>0.748591989987484</v>
      </c>
      <c r="AH3624" t="str">
        <f t="shared" si="411"/>
        <v>3rd Quality</v>
      </c>
      <c r="AJ3624">
        <f>((T3624-X3624)*2)/25.3</f>
        <v>14.0514583588852</v>
      </c>
      <c r="AK3624">
        <f t="shared" si="409"/>
        <v>170824.06</v>
      </c>
    </row>
    <row r="3625" spans="1:37">
      <c r="A3625" t="s">
        <v>3691</v>
      </c>
      <c r="B3625">
        <v>18</v>
      </c>
      <c r="C3625" t="s">
        <v>44</v>
      </c>
      <c r="D3625" t="s">
        <v>45</v>
      </c>
      <c r="E3625">
        <v>1418</v>
      </c>
      <c r="F3625">
        <v>141</v>
      </c>
      <c r="G3625">
        <v>5</v>
      </c>
      <c r="H3625">
        <v>768.85</v>
      </c>
      <c r="I3625">
        <v>3757.26</v>
      </c>
      <c r="J3625">
        <v>18</v>
      </c>
      <c r="K3625">
        <v>0</v>
      </c>
      <c r="L3625">
        <v>30.6</v>
      </c>
      <c r="M3625">
        <v>24.3</v>
      </c>
      <c r="N3625" t="s">
        <v>81</v>
      </c>
      <c r="O3625" t="s">
        <v>75</v>
      </c>
      <c r="P3625" t="s">
        <v>66</v>
      </c>
      <c r="R3625">
        <f>SUMIF(A3625:A8624,"C03624",I3625:I8624)</f>
        <v>3757.26</v>
      </c>
      <c r="S3625" s="1">
        <v>1925.57</v>
      </c>
      <c r="T3625">
        <f t="shared" si="413"/>
        <v>208.736666666667</v>
      </c>
      <c r="U3625">
        <f t="shared" si="414"/>
        <v>437.4</v>
      </c>
      <c r="V3625">
        <f t="shared" si="407"/>
        <v>36.45</v>
      </c>
      <c r="W3625">
        <f t="shared" si="410"/>
        <v>1509.03666666667</v>
      </c>
      <c r="X3625">
        <f t="shared" si="408"/>
        <v>1.84431293490278</v>
      </c>
      <c r="AH3625" t="str">
        <f t="shared" si="411"/>
        <v>3rd Quality</v>
      </c>
      <c r="AJ3625">
        <f>((T3625-X3625)*2)/30.6</f>
        <v>13.5223760608996</v>
      </c>
      <c r="AK3625">
        <f t="shared" si="409"/>
        <v>295988.593333333</v>
      </c>
    </row>
    <row r="3626" spans="1:37">
      <c r="A3626" t="s">
        <v>3692</v>
      </c>
      <c r="B3626">
        <v>50</v>
      </c>
      <c r="C3626" t="s">
        <v>44</v>
      </c>
      <c r="D3626" t="s">
        <v>60</v>
      </c>
      <c r="E3626">
        <v>1425</v>
      </c>
      <c r="F3626">
        <v>75</v>
      </c>
      <c r="G3626">
        <v>2</v>
      </c>
      <c r="H3626">
        <v>812.37</v>
      </c>
      <c r="I3626">
        <v>1597.17</v>
      </c>
      <c r="J3626">
        <v>20</v>
      </c>
      <c r="K3626">
        <v>0</v>
      </c>
      <c r="L3626">
        <v>28.4</v>
      </c>
      <c r="M3626">
        <v>52.1</v>
      </c>
      <c r="N3626" t="s">
        <v>52</v>
      </c>
      <c r="O3626" t="s">
        <v>47</v>
      </c>
      <c r="P3626" t="s">
        <v>58</v>
      </c>
      <c r="R3626">
        <f>SUMIF(A3626:A8625,"C03625",I3626:I8625)</f>
        <v>1597.17</v>
      </c>
      <c r="S3626" s="1">
        <v>4088.34</v>
      </c>
      <c r="T3626">
        <f t="shared" si="413"/>
        <v>79.8585</v>
      </c>
      <c r="U3626">
        <f t="shared" si="414"/>
        <v>1042</v>
      </c>
      <c r="V3626">
        <f t="shared" si="407"/>
        <v>86.8333333333333</v>
      </c>
      <c r="W3626">
        <f t="shared" si="410"/>
        <v>803.513333333333</v>
      </c>
      <c r="X3626">
        <f t="shared" si="408"/>
        <v>1.75412681413642</v>
      </c>
      <c r="AH3626" t="str">
        <f t="shared" si="411"/>
        <v>3rd Quality</v>
      </c>
      <c r="AJ3626">
        <f>((T3626-X3626)*2)/28.4</f>
        <v>5.50030797083546</v>
      </c>
      <c r="AK3626">
        <f t="shared" si="409"/>
        <v>113798.3625</v>
      </c>
    </row>
    <row r="3627" spans="1:37">
      <c r="A3627" t="s">
        <v>3693</v>
      </c>
      <c r="B3627">
        <v>19</v>
      </c>
      <c r="C3627" t="s">
        <v>44</v>
      </c>
      <c r="D3627" t="s">
        <v>60</v>
      </c>
      <c r="E3627">
        <v>941</v>
      </c>
      <c r="F3627">
        <v>54</v>
      </c>
      <c r="G3627">
        <v>3</v>
      </c>
      <c r="H3627">
        <v>11070.69</v>
      </c>
      <c r="I3627">
        <v>32267.18</v>
      </c>
      <c r="J3627">
        <v>36</v>
      </c>
      <c r="K3627">
        <v>0</v>
      </c>
      <c r="L3627">
        <v>5.5</v>
      </c>
      <c r="M3627">
        <v>12.1</v>
      </c>
      <c r="N3627" t="s">
        <v>57</v>
      </c>
      <c r="O3627" t="s">
        <v>53</v>
      </c>
      <c r="P3627" t="s">
        <v>58</v>
      </c>
      <c r="R3627">
        <f>SUMIF(A3627:A8626,"C03626",I3627:I8626)</f>
        <v>32267.18</v>
      </c>
      <c r="S3627" s="1">
        <v>13744.03</v>
      </c>
      <c r="T3627">
        <f t="shared" si="413"/>
        <v>896.310555555556</v>
      </c>
      <c r="U3627">
        <f t="shared" si="414"/>
        <v>435.6</v>
      </c>
      <c r="V3627">
        <f t="shared" si="407"/>
        <v>36.3</v>
      </c>
      <c r="W3627">
        <f t="shared" si="410"/>
        <v>14446.29</v>
      </c>
      <c r="X3627">
        <f t="shared" si="408"/>
        <v>0.0849992186575543</v>
      </c>
      <c r="AH3627" t="str">
        <f t="shared" si="411"/>
        <v>1st Quality</v>
      </c>
      <c r="AJ3627">
        <f>((T3627-X3627)*2)/5.5</f>
        <v>325.900202304327</v>
      </c>
      <c r="AK3627">
        <f t="shared" si="409"/>
        <v>843428.232777778</v>
      </c>
    </row>
    <row r="3628" spans="1:37">
      <c r="A3628" t="s">
        <v>3694</v>
      </c>
      <c r="B3628">
        <v>25</v>
      </c>
      <c r="C3628" t="s">
        <v>50</v>
      </c>
      <c r="D3628" t="s">
        <v>60</v>
      </c>
      <c r="E3628">
        <v>638</v>
      </c>
      <c r="F3628">
        <v>115</v>
      </c>
      <c r="G3628">
        <v>1</v>
      </c>
      <c r="H3628">
        <v>2153.23</v>
      </c>
      <c r="I3628">
        <v>1925.57</v>
      </c>
      <c r="J3628">
        <v>11</v>
      </c>
      <c r="K3628">
        <v>0</v>
      </c>
      <c r="L3628">
        <v>19.1</v>
      </c>
      <c r="M3628">
        <v>28.9</v>
      </c>
      <c r="N3628" t="s">
        <v>63</v>
      </c>
      <c r="O3628" t="s">
        <v>47</v>
      </c>
      <c r="P3628" t="s">
        <v>68</v>
      </c>
      <c r="R3628">
        <f>SUMIF(A3628:A8627,"C03627",I3628:I8627)</f>
        <v>1925.57</v>
      </c>
      <c r="S3628" s="1">
        <v>86623.33</v>
      </c>
      <c r="T3628">
        <f t="shared" si="413"/>
        <v>175.051818181818</v>
      </c>
      <c r="U3628">
        <f t="shared" si="414"/>
        <v>317.9</v>
      </c>
      <c r="V3628">
        <f t="shared" si="407"/>
        <v>26.4916666666667</v>
      </c>
      <c r="W3628">
        <f t="shared" si="410"/>
        <v>1359.93333333333</v>
      </c>
      <c r="X3628">
        <f t="shared" si="408"/>
        <v>0.296299048406348</v>
      </c>
      <c r="AH3628" t="str">
        <f t="shared" si="411"/>
        <v>3rd Quality</v>
      </c>
      <c r="AJ3628">
        <f>((T3628-X3628)*2)/19.1</f>
        <v>18.2990072391007</v>
      </c>
      <c r="AK3628">
        <f t="shared" si="409"/>
        <v>111683.06</v>
      </c>
    </row>
    <row r="3629" spans="1:37">
      <c r="A3629" t="s">
        <v>3695</v>
      </c>
      <c r="B3629">
        <v>43</v>
      </c>
      <c r="C3629" t="s">
        <v>44</v>
      </c>
      <c r="D3629" t="s">
        <v>45</v>
      </c>
      <c r="E3629">
        <v>734</v>
      </c>
      <c r="F3629">
        <v>77</v>
      </c>
      <c r="G3629">
        <v>6</v>
      </c>
      <c r="H3629">
        <v>648.63</v>
      </c>
      <c r="I3629">
        <v>4088.34</v>
      </c>
      <c r="J3629">
        <v>48</v>
      </c>
      <c r="K3629">
        <v>0</v>
      </c>
      <c r="L3629">
        <v>21.4</v>
      </c>
      <c r="M3629">
        <v>31</v>
      </c>
      <c r="N3629" t="s">
        <v>61</v>
      </c>
      <c r="O3629" t="s">
        <v>53</v>
      </c>
      <c r="P3629" t="s">
        <v>68</v>
      </c>
      <c r="R3629">
        <f>SUMIF(A3629:A8628,"C03628",I3629:I8628)</f>
        <v>4088.34</v>
      </c>
      <c r="S3629" s="1">
        <v>147103.86</v>
      </c>
      <c r="T3629">
        <f t="shared" si="413"/>
        <v>85.17375</v>
      </c>
      <c r="U3629">
        <f t="shared" si="414"/>
        <v>1488</v>
      </c>
      <c r="V3629">
        <f t="shared" si="407"/>
        <v>124</v>
      </c>
      <c r="W3629">
        <f t="shared" si="410"/>
        <v>1579.32333333333</v>
      </c>
      <c r="X3629">
        <f t="shared" si="408"/>
        <v>1.13161586728952</v>
      </c>
      <c r="AH3629" t="str">
        <f t="shared" si="411"/>
        <v>3rd Quality</v>
      </c>
      <c r="AJ3629">
        <f>((T3629-X3629)*2)/21.4</f>
        <v>7.85440505913182</v>
      </c>
      <c r="AK3629">
        <f t="shared" si="409"/>
        <v>62517.5325</v>
      </c>
    </row>
    <row r="3630" spans="1:37">
      <c r="A3630" t="s">
        <v>3696</v>
      </c>
      <c r="B3630">
        <v>43</v>
      </c>
      <c r="C3630" t="s">
        <v>44</v>
      </c>
      <c r="D3630" t="s">
        <v>45</v>
      </c>
      <c r="E3630">
        <v>447</v>
      </c>
      <c r="F3630">
        <v>17</v>
      </c>
      <c r="G3630">
        <v>1</v>
      </c>
      <c r="H3630">
        <v>13221.08</v>
      </c>
      <c r="I3630">
        <v>13744.03</v>
      </c>
      <c r="J3630">
        <v>16</v>
      </c>
      <c r="K3630">
        <v>0</v>
      </c>
      <c r="L3630">
        <v>3.2</v>
      </c>
      <c r="M3630">
        <v>10.7</v>
      </c>
      <c r="N3630" t="s">
        <v>57</v>
      </c>
      <c r="O3630" t="s">
        <v>47</v>
      </c>
      <c r="P3630" t="s">
        <v>54</v>
      </c>
      <c r="R3630">
        <f>SUMIF(A3630:A8629,"C03629",I3630:I8629)</f>
        <v>13744.03</v>
      </c>
      <c r="S3630" s="1">
        <v>1376.26</v>
      </c>
      <c r="T3630">
        <f t="shared" si="413"/>
        <v>859.001875</v>
      </c>
      <c r="U3630">
        <f t="shared" si="414"/>
        <v>171.2</v>
      </c>
      <c r="V3630">
        <f t="shared" si="407"/>
        <v>14.2666666666667</v>
      </c>
      <c r="W3630">
        <f t="shared" si="410"/>
        <v>8988.70333333333</v>
      </c>
      <c r="X3630">
        <f t="shared" si="408"/>
        <v>0.0338096433876809</v>
      </c>
      <c r="AH3630" t="str">
        <f t="shared" si="411"/>
        <v>3rd Quality</v>
      </c>
      <c r="AJ3630">
        <f>((T3630-X3630)*2)/3.2</f>
        <v>536.855040847883</v>
      </c>
      <c r="AK3630">
        <f t="shared" si="409"/>
        <v>383973.838125</v>
      </c>
    </row>
    <row r="3631" spans="1:37">
      <c r="A3631" t="s">
        <v>3697</v>
      </c>
      <c r="B3631">
        <v>39</v>
      </c>
      <c r="C3631" t="s">
        <v>44</v>
      </c>
      <c r="D3631" t="s">
        <v>60</v>
      </c>
      <c r="E3631">
        <v>539</v>
      </c>
      <c r="F3631">
        <v>1</v>
      </c>
      <c r="G3631">
        <v>32</v>
      </c>
      <c r="H3631">
        <v>2944.06</v>
      </c>
      <c r="I3631">
        <v>86623.33</v>
      </c>
      <c r="J3631">
        <v>74</v>
      </c>
      <c r="K3631">
        <v>5</v>
      </c>
      <c r="L3631">
        <v>23.2</v>
      </c>
      <c r="M3631">
        <v>23.8</v>
      </c>
      <c r="N3631" t="s">
        <v>81</v>
      </c>
      <c r="O3631" t="s">
        <v>53</v>
      </c>
      <c r="P3631" t="s">
        <v>58</v>
      </c>
      <c r="R3631">
        <f>SUMIF(A3631:A8630,"C03630",I3631:I8630)</f>
        <v>86623.33</v>
      </c>
      <c r="S3631" s="1">
        <v>19990.54</v>
      </c>
      <c r="T3631">
        <f t="shared" si="413"/>
        <v>1170.58554054054</v>
      </c>
      <c r="U3631">
        <f t="shared" si="414"/>
        <v>1761.2</v>
      </c>
      <c r="V3631">
        <f>U3631*5</f>
        <v>8806</v>
      </c>
      <c r="W3631">
        <f t="shared" si="410"/>
        <v>29856.13</v>
      </c>
      <c r="X3631">
        <f t="shared" si="408"/>
        <v>0.183080507870084</v>
      </c>
      <c r="AH3631" t="str">
        <f t="shared" si="411"/>
        <v>2nd Quality</v>
      </c>
      <c r="AJ3631">
        <f>((T3631-X3631)*2)/23.2</f>
        <v>100.89676379592</v>
      </c>
      <c r="AK3631">
        <f t="shared" si="409"/>
        <v>630945.606351351</v>
      </c>
    </row>
    <row r="3632" spans="1:37">
      <c r="A3632" t="s">
        <v>3698</v>
      </c>
      <c r="B3632">
        <v>18</v>
      </c>
      <c r="C3632" t="s">
        <v>50</v>
      </c>
      <c r="D3632" t="s">
        <v>60</v>
      </c>
      <c r="E3632">
        <v>820</v>
      </c>
      <c r="F3632">
        <v>10</v>
      </c>
      <c r="G3632">
        <v>25</v>
      </c>
      <c r="H3632">
        <v>6230.18</v>
      </c>
      <c r="I3632">
        <v>147103.86</v>
      </c>
      <c r="J3632">
        <v>106</v>
      </c>
      <c r="K3632">
        <v>0</v>
      </c>
      <c r="L3632">
        <v>12.4</v>
      </c>
      <c r="M3632">
        <v>33.2</v>
      </c>
      <c r="N3632" t="s">
        <v>57</v>
      </c>
      <c r="O3632" t="s">
        <v>47</v>
      </c>
      <c r="P3632" t="s">
        <v>48</v>
      </c>
      <c r="R3632">
        <f>SUMIF(A3632:A8631,"C03631",I3632:I8631)</f>
        <v>147103.86</v>
      </c>
      <c r="S3632" s="1">
        <v>16596.86</v>
      </c>
      <c r="T3632">
        <f t="shared" si="413"/>
        <v>1387.77226415094</v>
      </c>
      <c r="U3632">
        <f t="shared" si="414"/>
        <v>3519.2</v>
      </c>
      <c r="V3632">
        <f t="shared" si="407"/>
        <v>293.266666666667</v>
      </c>
      <c r="W3632">
        <f t="shared" si="410"/>
        <v>51111.68</v>
      </c>
      <c r="X3632">
        <f t="shared" si="408"/>
        <v>0.131617385051475</v>
      </c>
      <c r="AH3632" t="str">
        <f t="shared" si="411"/>
        <v>2nd Quality</v>
      </c>
      <c r="AJ3632">
        <f>((T3632-X3632)*2)/12.4</f>
        <v>223.813007542885</v>
      </c>
      <c r="AK3632">
        <f t="shared" si="409"/>
        <v>1137973.25660377</v>
      </c>
    </row>
    <row r="3633" spans="1:37">
      <c r="A3633" t="s">
        <v>3699</v>
      </c>
      <c r="B3633">
        <v>26</v>
      </c>
      <c r="C3633" t="s">
        <v>50</v>
      </c>
      <c r="D3633" t="s">
        <v>45</v>
      </c>
      <c r="E3633">
        <v>562</v>
      </c>
      <c r="F3633">
        <v>365</v>
      </c>
      <c r="G3633">
        <v>1</v>
      </c>
      <c r="H3633">
        <v>1360.93</v>
      </c>
      <c r="I3633">
        <v>1376.26</v>
      </c>
      <c r="J3633">
        <v>14</v>
      </c>
      <c r="K3633">
        <v>0</v>
      </c>
      <c r="L3633">
        <v>25.7</v>
      </c>
      <c r="M3633">
        <v>14.3</v>
      </c>
      <c r="N3633" t="s">
        <v>63</v>
      </c>
      <c r="O3633" t="s">
        <v>47</v>
      </c>
      <c r="P3633" t="s">
        <v>68</v>
      </c>
      <c r="R3633">
        <f>SUMIF(A3633:A8632,"C03632",I3633:I8632)</f>
        <v>1376.26</v>
      </c>
      <c r="S3633" s="1">
        <v>22316.56</v>
      </c>
      <c r="T3633">
        <f t="shared" si="413"/>
        <v>98.3042857142857</v>
      </c>
      <c r="U3633">
        <f t="shared" si="414"/>
        <v>200.2</v>
      </c>
      <c r="V3633">
        <f t="shared" si="407"/>
        <v>16.6833333333333</v>
      </c>
      <c r="W3633">
        <f t="shared" si="410"/>
        <v>912.73</v>
      </c>
      <c r="X3633">
        <f t="shared" si="408"/>
        <v>0.412952907203163</v>
      </c>
      <c r="AH3633" t="str">
        <f t="shared" si="411"/>
        <v>3rd Quality</v>
      </c>
      <c r="AJ3633">
        <f>((T3633-X3633)*2)/25.7</f>
        <v>7.61800255308035</v>
      </c>
      <c r="AK3633">
        <f t="shared" si="409"/>
        <v>55247.0085714286</v>
      </c>
    </row>
    <row r="3634" spans="1:37">
      <c r="A3634" t="s">
        <v>3700</v>
      </c>
      <c r="B3634">
        <v>30</v>
      </c>
      <c r="C3634" t="s">
        <v>50</v>
      </c>
      <c r="D3634" t="s">
        <v>60</v>
      </c>
      <c r="E3634">
        <v>1304</v>
      </c>
      <c r="F3634">
        <v>8</v>
      </c>
      <c r="G3634">
        <v>4</v>
      </c>
      <c r="H3634">
        <v>5149.95</v>
      </c>
      <c r="I3634">
        <v>19990.54</v>
      </c>
      <c r="J3634">
        <v>11</v>
      </c>
      <c r="K3634">
        <v>1</v>
      </c>
      <c r="L3634">
        <v>8.4</v>
      </c>
      <c r="M3634">
        <v>13.2</v>
      </c>
      <c r="N3634" t="s">
        <v>81</v>
      </c>
      <c r="O3634" t="s">
        <v>53</v>
      </c>
      <c r="P3634" t="s">
        <v>68</v>
      </c>
      <c r="R3634">
        <f>SUMIF(A3634:A8633,"C03633",I3634:I8633)</f>
        <v>19990.54</v>
      </c>
      <c r="S3634" s="1">
        <v>137885.86</v>
      </c>
      <c r="T3634">
        <f t="shared" si="413"/>
        <v>1817.32181818182</v>
      </c>
      <c r="U3634">
        <f t="shared" si="414"/>
        <v>145.2</v>
      </c>
      <c r="V3634">
        <f>U3634*1</f>
        <v>145.2</v>
      </c>
      <c r="W3634">
        <f t="shared" si="410"/>
        <v>8380.49666666667</v>
      </c>
      <c r="X3634">
        <f t="shared" si="408"/>
        <v>0.253206341809144</v>
      </c>
      <c r="AH3634" t="str">
        <f t="shared" si="411"/>
        <v>2nd Quality</v>
      </c>
      <c r="AJ3634">
        <f>((T3634-X3634)*2)/8.4</f>
        <v>432.635383771431</v>
      </c>
      <c r="AK3634">
        <f t="shared" si="409"/>
        <v>2369787.65090909</v>
      </c>
    </row>
    <row r="3635" spans="1:37">
      <c r="A3635" t="s">
        <v>3701</v>
      </c>
      <c r="B3635">
        <v>25</v>
      </c>
      <c r="C3635" t="s">
        <v>44</v>
      </c>
      <c r="D3635" t="s">
        <v>60</v>
      </c>
      <c r="E3635">
        <v>1301</v>
      </c>
      <c r="F3635">
        <v>57</v>
      </c>
      <c r="G3635">
        <v>8</v>
      </c>
      <c r="H3635">
        <v>1853.15</v>
      </c>
      <c r="I3635">
        <v>16596.86</v>
      </c>
      <c r="J3635">
        <v>56</v>
      </c>
      <c r="K3635">
        <v>0</v>
      </c>
      <c r="L3635">
        <v>16.9</v>
      </c>
      <c r="M3635">
        <v>3.1</v>
      </c>
      <c r="N3635" t="s">
        <v>57</v>
      </c>
      <c r="O3635" t="s">
        <v>47</v>
      </c>
      <c r="P3635" t="s">
        <v>58</v>
      </c>
      <c r="R3635">
        <f>SUMIF(A3635:A8634,"C03634",I3635:I8634)</f>
        <v>16596.86</v>
      </c>
      <c r="S3635" s="1">
        <v>2665.07</v>
      </c>
      <c r="T3635">
        <f t="shared" si="413"/>
        <v>296.3725</v>
      </c>
      <c r="U3635">
        <f t="shared" si="414"/>
        <v>173.6</v>
      </c>
      <c r="V3635">
        <f t="shared" si="407"/>
        <v>14.4666666666667</v>
      </c>
      <c r="W3635">
        <f t="shared" si="410"/>
        <v>6150.33666666667</v>
      </c>
      <c r="X3635">
        <f t="shared" si="408"/>
        <v>0.702047864447023</v>
      </c>
      <c r="AH3635" t="str">
        <f t="shared" si="411"/>
        <v>3rd Quality</v>
      </c>
      <c r="AJ3635">
        <f>((T3635-X3635)*2)/16.9</f>
        <v>34.9905860515447</v>
      </c>
      <c r="AK3635">
        <f t="shared" si="409"/>
        <v>385580.6225</v>
      </c>
    </row>
    <row r="3636" spans="1:37">
      <c r="A3636" t="s">
        <v>3702</v>
      </c>
      <c r="B3636">
        <v>23</v>
      </c>
      <c r="C3636" t="s">
        <v>44</v>
      </c>
      <c r="D3636" t="s">
        <v>60</v>
      </c>
      <c r="E3636">
        <v>561</v>
      </c>
      <c r="F3636">
        <v>55</v>
      </c>
      <c r="G3636">
        <v>2</v>
      </c>
      <c r="H3636">
        <v>11167.72</v>
      </c>
      <c r="I3636">
        <v>22316.56</v>
      </c>
      <c r="J3636">
        <v>17</v>
      </c>
      <c r="K3636">
        <v>0</v>
      </c>
      <c r="L3636">
        <v>3.9</v>
      </c>
      <c r="M3636">
        <v>7.6</v>
      </c>
      <c r="N3636" t="s">
        <v>52</v>
      </c>
      <c r="O3636" t="s">
        <v>47</v>
      </c>
      <c r="P3636" t="s">
        <v>58</v>
      </c>
      <c r="R3636">
        <f>SUMIF(A3636:A8635,"C03635",I3636:I8635)</f>
        <v>22316.56</v>
      </c>
      <c r="S3636" s="1">
        <v>173607.93</v>
      </c>
      <c r="T3636">
        <f t="shared" si="413"/>
        <v>1312.73882352941</v>
      </c>
      <c r="U3636">
        <f t="shared" si="414"/>
        <v>129.2</v>
      </c>
      <c r="V3636">
        <f t="shared" si="407"/>
        <v>10.7666666666667</v>
      </c>
      <c r="W3636">
        <f t="shared" si="410"/>
        <v>11161.76</v>
      </c>
      <c r="X3636">
        <f t="shared" si="408"/>
        <v>0.0502340674730384</v>
      </c>
      <c r="AH3636" t="str">
        <f t="shared" si="411"/>
        <v>2nd Quality</v>
      </c>
      <c r="AJ3636">
        <f>((T3636-X3636)*2)/3.9</f>
        <v>673.173635621506</v>
      </c>
      <c r="AK3636">
        <f t="shared" si="409"/>
        <v>736446.48</v>
      </c>
    </row>
    <row r="3637" spans="1:37">
      <c r="A3637" t="s">
        <v>3703</v>
      </c>
      <c r="B3637">
        <v>45</v>
      </c>
      <c r="C3637" t="s">
        <v>44</v>
      </c>
      <c r="D3637" t="s">
        <v>51</v>
      </c>
      <c r="E3637">
        <v>652</v>
      </c>
      <c r="F3637">
        <v>10</v>
      </c>
      <c r="G3637">
        <v>25</v>
      </c>
      <c r="H3637">
        <v>5051.99</v>
      </c>
      <c r="I3637">
        <v>137885.86</v>
      </c>
      <c r="J3637">
        <v>133</v>
      </c>
      <c r="K3637">
        <v>3</v>
      </c>
      <c r="L3637">
        <v>0</v>
      </c>
      <c r="M3637">
        <v>44.2</v>
      </c>
      <c r="N3637" t="s">
        <v>46</v>
      </c>
      <c r="O3637" t="s">
        <v>75</v>
      </c>
      <c r="P3637" t="s">
        <v>66</v>
      </c>
      <c r="R3637">
        <f>SUMIF(A3637:A8636,"C03636",I3637:I8636)</f>
        <v>137885.86</v>
      </c>
      <c r="S3637" s="1">
        <v>3786.47</v>
      </c>
      <c r="T3637">
        <f t="shared" si="413"/>
        <v>1036.73578947368</v>
      </c>
      <c r="U3637">
        <f t="shared" si="414"/>
        <v>5878.6</v>
      </c>
      <c r="V3637">
        <f>U3637*3</f>
        <v>17635.8</v>
      </c>
      <c r="W3637">
        <f t="shared" si="410"/>
        <v>47646.2833333333</v>
      </c>
      <c r="X3637">
        <f t="shared" si="408"/>
        <v>0.12905805435086</v>
      </c>
      <c r="AH3637" t="str">
        <f t="shared" si="411"/>
        <v>3rd Quality</v>
      </c>
      <c r="AJ3637">
        <f>((T3637-X3637)*2)</f>
        <v>2073.21346283866</v>
      </c>
      <c r="AK3637">
        <f t="shared" si="409"/>
        <v>675951.734736842</v>
      </c>
    </row>
    <row r="3638" spans="1:37">
      <c r="A3638" t="s">
        <v>3704</v>
      </c>
      <c r="B3638">
        <v>44</v>
      </c>
      <c r="C3638" t="s">
        <v>50</v>
      </c>
      <c r="D3638" t="s">
        <v>45</v>
      </c>
      <c r="E3638">
        <v>1272</v>
      </c>
      <c r="F3638">
        <v>30</v>
      </c>
      <c r="G3638">
        <v>3</v>
      </c>
      <c r="H3638">
        <v>956.14</v>
      </c>
      <c r="I3638">
        <v>2665.07</v>
      </c>
      <c r="J3638">
        <v>11</v>
      </c>
      <c r="K3638">
        <v>0</v>
      </c>
      <c r="L3638">
        <v>38.6</v>
      </c>
      <c r="M3638">
        <v>9.3</v>
      </c>
      <c r="N3638" t="s">
        <v>57</v>
      </c>
      <c r="O3638" t="s">
        <v>47</v>
      </c>
      <c r="P3638" t="s">
        <v>68</v>
      </c>
      <c r="R3638">
        <f>SUMIF(A3638:A8637,"C03637",I3638:I8637)</f>
        <v>2665.07</v>
      </c>
      <c r="S3638" s="1">
        <v>31225.27</v>
      </c>
      <c r="T3638">
        <f t="shared" si="413"/>
        <v>242.279090909091</v>
      </c>
      <c r="U3638">
        <f t="shared" si="414"/>
        <v>102.3</v>
      </c>
      <c r="V3638">
        <f t="shared" ref="V3638:V3701" si="415">U3638/12</f>
        <v>8.525</v>
      </c>
      <c r="W3638">
        <f t="shared" si="410"/>
        <v>1207.40333333333</v>
      </c>
      <c r="X3638">
        <f t="shared" si="408"/>
        <v>1.33034911205472</v>
      </c>
      <c r="AH3638" t="str">
        <f t="shared" si="411"/>
        <v>3rd Quality</v>
      </c>
      <c r="AJ3638">
        <f>((T3638-X3638)*2)/38.6</f>
        <v>12.4843907666858</v>
      </c>
      <c r="AK3638">
        <f t="shared" si="409"/>
        <v>308179.003636364</v>
      </c>
    </row>
    <row r="3639" spans="1:37">
      <c r="A3639" t="s">
        <v>3705</v>
      </c>
      <c r="B3639">
        <v>24</v>
      </c>
      <c r="C3639" t="s">
        <v>50</v>
      </c>
      <c r="D3639" t="s">
        <v>60</v>
      </c>
      <c r="E3639">
        <v>665</v>
      </c>
      <c r="F3639">
        <v>36</v>
      </c>
      <c r="G3639">
        <v>22</v>
      </c>
      <c r="H3639">
        <v>7786.21</v>
      </c>
      <c r="I3639">
        <v>173607.93</v>
      </c>
      <c r="J3639">
        <v>73</v>
      </c>
      <c r="K3639">
        <v>2</v>
      </c>
      <c r="L3639">
        <v>15.3</v>
      </c>
      <c r="M3639">
        <v>29.7</v>
      </c>
      <c r="N3639" t="s">
        <v>52</v>
      </c>
      <c r="O3639" t="s">
        <v>47</v>
      </c>
      <c r="P3639" t="s">
        <v>58</v>
      </c>
      <c r="R3639">
        <f>SUMIF(A3639:A8638,"C03638",I3639:I8638)</f>
        <v>173607.93</v>
      </c>
      <c r="S3639" s="1">
        <v>12311.54</v>
      </c>
      <c r="T3639">
        <f t="shared" si="413"/>
        <v>2378.19082191781</v>
      </c>
      <c r="U3639">
        <f t="shared" si="414"/>
        <v>2168.1</v>
      </c>
      <c r="V3639">
        <f>U3639*2</f>
        <v>4336.2</v>
      </c>
      <c r="W3639">
        <f t="shared" si="410"/>
        <v>60465.0466666667</v>
      </c>
      <c r="X3639">
        <f t="shared" si="408"/>
        <v>0.085407406170653</v>
      </c>
      <c r="AH3639" t="str">
        <f t="shared" si="411"/>
        <v>2nd Quality</v>
      </c>
      <c r="AJ3639">
        <f>((T3639-X3639)*2)/15.3</f>
        <v>310.863452877338</v>
      </c>
      <c r="AK3639">
        <f t="shared" si="409"/>
        <v>1581496.89657534</v>
      </c>
    </row>
    <row r="3640" spans="1:37">
      <c r="A3640" t="s">
        <v>3706</v>
      </c>
      <c r="B3640">
        <v>35</v>
      </c>
      <c r="C3640" t="s">
        <v>44</v>
      </c>
      <c r="D3640" t="s">
        <v>51</v>
      </c>
      <c r="E3640">
        <v>654</v>
      </c>
      <c r="F3640">
        <v>135</v>
      </c>
      <c r="G3640">
        <v>5</v>
      </c>
      <c r="H3640">
        <v>791.13</v>
      </c>
      <c r="I3640">
        <v>3786.47</v>
      </c>
      <c r="J3640">
        <v>60</v>
      </c>
      <c r="K3640">
        <v>0</v>
      </c>
      <c r="L3640">
        <v>23.1</v>
      </c>
      <c r="M3640">
        <v>55.9</v>
      </c>
      <c r="N3640" t="s">
        <v>46</v>
      </c>
      <c r="O3640" t="s">
        <v>53</v>
      </c>
      <c r="P3640" t="s">
        <v>68</v>
      </c>
      <c r="R3640">
        <f>SUMIF(A3640:A8639,"C03639",I3640:I8639)</f>
        <v>3786.47</v>
      </c>
      <c r="S3640" s="1">
        <v>80001.09</v>
      </c>
      <c r="T3640">
        <f t="shared" si="413"/>
        <v>63.1078333333333</v>
      </c>
      <c r="U3640">
        <f t="shared" si="414"/>
        <v>3354</v>
      </c>
      <c r="V3640">
        <f t="shared" si="415"/>
        <v>279.5</v>
      </c>
      <c r="W3640">
        <f t="shared" si="410"/>
        <v>1526.2</v>
      </c>
      <c r="X3640">
        <f t="shared" ref="X3640:X3703" si="416">E3640/H3640</f>
        <v>0.826665655454856</v>
      </c>
      <c r="AH3640" t="str">
        <f t="shared" si="411"/>
        <v>3rd Quality</v>
      </c>
      <c r="AJ3640">
        <f>((T3640-X3640)*2)/23.1</f>
        <v>5.39230888985961</v>
      </c>
      <c r="AK3640">
        <f t="shared" si="409"/>
        <v>41272.523</v>
      </c>
    </row>
    <row r="3641" spans="1:37">
      <c r="A3641" t="s">
        <v>3707</v>
      </c>
      <c r="B3641">
        <v>20</v>
      </c>
      <c r="C3641" t="s">
        <v>50</v>
      </c>
      <c r="D3641" t="s">
        <v>60</v>
      </c>
      <c r="E3641">
        <v>1184</v>
      </c>
      <c r="F3641">
        <v>79</v>
      </c>
      <c r="G3641">
        <v>2</v>
      </c>
      <c r="H3641">
        <v>14138.29</v>
      </c>
      <c r="I3641">
        <v>31225.27</v>
      </c>
      <c r="J3641">
        <v>25</v>
      </c>
      <c r="K3641">
        <v>0</v>
      </c>
      <c r="L3641">
        <v>11.3</v>
      </c>
      <c r="M3641">
        <v>22.5</v>
      </c>
      <c r="N3641" t="s">
        <v>57</v>
      </c>
      <c r="O3641" t="s">
        <v>47</v>
      </c>
      <c r="P3641" t="s">
        <v>48</v>
      </c>
      <c r="R3641">
        <f>SUMIF(A3641:A8640,"C03640",I3641:I8640)</f>
        <v>31225.27</v>
      </c>
      <c r="S3641" s="1">
        <v>987.89</v>
      </c>
      <c r="T3641">
        <f t="shared" si="413"/>
        <v>1249.0108</v>
      </c>
      <c r="U3641">
        <f t="shared" si="414"/>
        <v>562.5</v>
      </c>
      <c r="V3641">
        <f t="shared" si="415"/>
        <v>46.875</v>
      </c>
      <c r="W3641">
        <f t="shared" si="410"/>
        <v>15121.52</v>
      </c>
      <c r="X3641">
        <f t="shared" si="416"/>
        <v>0.0837442151773659</v>
      </c>
      <c r="AH3641" t="str">
        <f t="shared" si="411"/>
        <v>1st Quality</v>
      </c>
      <c r="AJ3641">
        <f>((T3641-X3641)*2)/11.3</f>
        <v>221.049036422092</v>
      </c>
      <c r="AK3641">
        <f t="shared" si="409"/>
        <v>1478828.7872</v>
      </c>
    </row>
    <row r="3642" spans="1:37">
      <c r="A3642" t="s">
        <v>3708</v>
      </c>
      <c r="B3642">
        <v>47</v>
      </c>
      <c r="C3642" t="s">
        <v>50</v>
      </c>
      <c r="D3642" t="s">
        <v>60</v>
      </c>
      <c r="E3642">
        <v>808</v>
      </c>
      <c r="F3642">
        <v>7</v>
      </c>
      <c r="G3642">
        <v>11</v>
      </c>
      <c r="H3642">
        <v>1105.65</v>
      </c>
      <c r="I3642">
        <v>12311.54</v>
      </c>
      <c r="J3642">
        <v>91</v>
      </c>
      <c r="K3642">
        <v>1</v>
      </c>
      <c r="L3642">
        <v>26.7</v>
      </c>
      <c r="M3642">
        <v>34.1</v>
      </c>
      <c r="N3642" t="s">
        <v>52</v>
      </c>
      <c r="O3642" t="s">
        <v>47</v>
      </c>
      <c r="P3642" t="s">
        <v>58</v>
      </c>
      <c r="R3642">
        <f>SUMIF(A3642:A8641,"C03641",I3642:I8641)</f>
        <v>12311.54</v>
      </c>
      <c r="S3642" s="1">
        <v>118202.89</v>
      </c>
      <c r="T3642">
        <f t="shared" si="413"/>
        <v>135.291648351648</v>
      </c>
      <c r="U3642">
        <f t="shared" si="414"/>
        <v>3103.1</v>
      </c>
      <c r="V3642">
        <f>U3642*1</f>
        <v>3103.1</v>
      </c>
      <c r="W3642">
        <f t="shared" si="410"/>
        <v>4472.73</v>
      </c>
      <c r="X3642">
        <f t="shared" si="416"/>
        <v>0.730791841902953</v>
      </c>
      <c r="AH3642" t="str">
        <f t="shared" si="411"/>
        <v>3rd Quality</v>
      </c>
      <c r="AJ3642">
        <f>((T3642-X3642)*2)/26.7</f>
        <v>10.079464907097</v>
      </c>
      <c r="AK3642">
        <f t="shared" si="409"/>
        <v>109315.651868132</v>
      </c>
    </row>
    <row r="3643" spans="1:37">
      <c r="A3643" t="s">
        <v>3709</v>
      </c>
      <c r="B3643">
        <v>24</v>
      </c>
      <c r="C3643" t="s">
        <v>44</v>
      </c>
      <c r="D3643" t="s">
        <v>45</v>
      </c>
      <c r="E3643">
        <v>1282</v>
      </c>
      <c r="F3643">
        <v>6</v>
      </c>
      <c r="G3643">
        <v>20</v>
      </c>
      <c r="H3643">
        <v>3857.53</v>
      </c>
      <c r="I3643">
        <v>80001.09</v>
      </c>
      <c r="J3643">
        <v>107</v>
      </c>
      <c r="K3643">
        <v>1</v>
      </c>
      <c r="L3643">
        <v>9.5</v>
      </c>
      <c r="M3643">
        <v>46.2</v>
      </c>
      <c r="N3643" t="s">
        <v>57</v>
      </c>
      <c r="O3643" t="s">
        <v>75</v>
      </c>
      <c r="P3643" t="s">
        <v>68</v>
      </c>
      <c r="R3643">
        <f>SUMIF(A3643:A8642,"C03642",I3643:I8642)</f>
        <v>80001.09</v>
      </c>
      <c r="S3643" s="1">
        <v>100739.96</v>
      </c>
      <c r="T3643">
        <f t="shared" si="413"/>
        <v>747.673738317757</v>
      </c>
      <c r="U3643">
        <f t="shared" si="414"/>
        <v>4943.4</v>
      </c>
      <c r="V3643">
        <f>U3643*1</f>
        <v>4943.4</v>
      </c>
      <c r="W3643">
        <f t="shared" si="410"/>
        <v>27953.2066666667</v>
      </c>
      <c r="X3643">
        <f t="shared" si="416"/>
        <v>0.332337013581229</v>
      </c>
      <c r="AH3643" t="str">
        <f t="shared" si="411"/>
        <v>1st Quality</v>
      </c>
      <c r="AJ3643">
        <f>((T3643-X3643)*2)/9.5</f>
        <v>157.335031853511</v>
      </c>
      <c r="AK3643">
        <f t="shared" si="409"/>
        <v>958517.732523364</v>
      </c>
    </row>
    <row r="3644" spans="1:37">
      <c r="A3644" t="s">
        <v>3710</v>
      </c>
      <c r="B3644">
        <v>24</v>
      </c>
      <c r="C3644" t="s">
        <v>50</v>
      </c>
      <c r="D3644" t="s">
        <v>60</v>
      </c>
      <c r="E3644">
        <v>947</v>
      </c>
      <c r="F3644">
        <v>28</v>
      </c>
      <c r="G3644">
        <v>1</v>
      </c>
      <c r="H3644">
        <v>1099.8</v>
      </c>
      <c r="I3644">
        <v>987.89</v>
      </c>
      <c r="J3644">
        <v>16</v>
      </c>
      <c r="K3644">
        <v>0</v>
      </c>
      <c r="L3644">
        <v>32.3</v>
      </c>
      <c r="M3644">
        <v>63.6</v>
      </c>
      <c r="N3644" t="s">
        <v>61</v>
      </c>
      <c r="O3644" t="s">
        <v>47</v>
      </c>
      <c r="P3644" t="s">
        <v>58</v>
      </c>
      <c r="R3644">
        <f>SUMIF(A3644:A8643,"C03643",I3644:I8643)</f>
        <v>987.89</v>
      </c>
      <c r="S3644" s="1">
        <v>235.96</v>
      </c>
      <c r="T3644">
        <f t="shared" si="413"/>
        <v>61.743125</v>
      </c>
      <c r="U3644">
        <f t="shared" si="414"/>
        <v>1017.6</v>
      </c>
      <c r="V3644">
        <f t="shared" si="415"/>
        <v>84.8</v>
      </c>
      <c r="W3644">
        <f t="shared" si="410"/>
        <v>696.23</v>
      </c>
      <c r="X3644">
        <f t="shared" si="416"/>
        <v>0.861065648299691</v>
      </c>
      <c r="AH3644" t="str">
        <f t="shared" si="411"/>
        <v>3rd Quality</v>
      </c>
      <c r="AJ3644">
        <f>((T3644-X3644)*2)/32.3</f>
        <v>3.76978695676163</v>
      </c>
      <c r="AK3644">
        <f t="shared" si="409"/>
        <v>58470.739375</v>
      </c>
    </row>
    <row r="3645" spans="1:37">
      <c r="A3645" t="s">
        <v>3711</v>
      </c>
      <c r="B3645">
        <v>51</v>
      </c>
      <c r="C3645" t="s">
        <v>50</v>
      </c>
      <c r="D3645" t="s">
        <v>51</v>
      </c>
      <c r="E3645">
        <v>597</v>
      </c>
      <c r="F3645">
        <v>20</v>
      </c>
      <c r="G3645">
        <v>27</v>
      </c>
      <c r="H3645">
        <v>4390.86</v>
      </c>
      <c r="I3645">
        <v>118202.89</v>
      </c>
      <c r="J3645">
        <v>194</v>
      </c>
      <c r="K3645">
        <v>1</v>
      </c>
      <c r="L3645">
        <v>13</v>
      </c>
      <c r="M3645">
        <v>55.5</v>
      </c>
      <c r="N3645" t="s">
        <v>78</v>
      </c>
      <c r="O3645" t="s">
        <v>75</v>
      </c>
      <c r="P3645" t="s">
        <v>58</v>
      </c>
      <c r="R3645">
        <f>SUMIF(A3645:A8644,"C03644",I3645:I8644)</f>
        <v>118202.89</v>
      </c>
      <c r="S3645" s="1">
        <v>12506.76</v>
      </c>
      <c r="T3645">
        <f t="shared" si="413"/>
        <v>609.29324742268</v>
      </c>
      <c r="U3645">
        <f t="shared" si="414"/>
        <v>10767</v>
      </c>
      <c r="V3645">
        <f>U3645*1</f>
        <v>10767</v>
      </c>
      <c r="W3645">
        <f t="shared" si="410"/>
        <v>40864.9166666667</v>
      </c>
      <c r="X3645">
        <f t="shared" si="416"/>
        <v>0.135964253016493</v>
      </c>
      <c r="AH3645" t="str">
        <f t="shared" si="411"/>
        <v>3rd Quality</v>
      </c>
      <c r="AJ3645">
        <f>((T3645-X3645)*2)/1</f>
        <v>1218.31456633933</v>
      </c>
      <c r="AK3645">
        <f t="shared" si="409"/>
        <v>363748.06871134</v>
      </c>
    </row>
    <row r="3646" spans="1:37">
      <c r="A3646" t="s">
        <v>3712</v>
      </c>
      <c r="B3646">
        <v>39</v>
      </c>
      <c r="C3646" t="s">
        <v>44</v>
      </c>
      <c r="D3646" t="s">
        <v>51</v>
      </c>
      <c r="E3646">
        <v>537</v>
      </c>
      <c r="F3646">
        <v>2</v>
      </c>
      <c r="G3646">
        <v>23</v>
      </c>
      <c r="H3646">
        <v>4298.02</v>
      </c>
      <c r="I3646">
        <v>100739.96</v>
      </c>
      <c r="J3646">
        <v>120</v>
      </c>
      <c r="K3646">
        <v>3</v>
      </c>
      <c r="L3646">
        <v>11.7</v>
      </c>
      <c r="M3646">
        <v>15.5</v>
      </c>
      <c r="N3646" t="s">
        <v>57</v>
      </c>
      <c r="O3646" t="s">
        <v>75</v>
      </c>
      <c r="P3646" t="s">
        <v>58</v>
      </c>
      <c r="R3646">
        <f>SUMIF(A3646:A8645,"C03645",I3646:I8645)</f>
        <v>100739.96</v>
      </c>
      <c r="S3646" s="1">
        <v>4305.11</v>
      </c>
      <c r="T3646">
        <f t="shared" si="413"/>
        <v>839.499666666667</v>
      </c>
      <c r="U3646">
        <f t="shared" si="414"/>
        <v>1860</v>
      </c>
      <c r="V3646">
        <f>U3646*3</f>
        <v>5580</v>
      </c>
      <c r="W3646">
        <f t="shared" si="410"/>
        <v>35012.9933333333</v>
      </c>
      <c r="X3646">
        <f t="shared" si="416"/>
        <v>0.124941252018371</v>
      </c>
      <c r="AH3646" t="str">
        <f t="shared" si="411"/>
        <v>2nd Quality</v>
      </c>
      <c r="AJ3646">
        <f>((T3646-X3646)*2)/11.7</f>
        <v>143.482859045239</v>
      </c>
      <c r="AK3646">
        <f t="shared" si="409"/>
        <v>450811.321</v>
      </c>
    </row>
    <row r="3647" spans="1:37">
      <c r="A3647" t="s">
        <v>3713</v>
      </c>
      <c r="B3647">
        <v>18</v>
      </c>
      <c r="C3647" t="s">
        <v>56</v>
      </c>
      <c r="D3647" t="s">
        <v>45</v>
      </c>
      <c r="E3647">
        <v>1121</v>
      </c>
      <c r="F3647">
        <v>83</v>
      </c>
      <c r="G3647">
        <v>1</v>
      </c>
      <c r="H3647">
        <v>248.46</v>
      </c>
      <c r="I3647">
        <v>235.96</v>
      </c>
      <c r="J3647">
        <v>17</v>
      </c>
      <c r="K3647">
        <v>0</v>
      </c>
      <c r="L3647">
        <v>30.1</v>
      </c>
      <c r="M3647">
        <v>18.6</v>
      </c>
      <c r="N3647" t="s">
        <v>46</v>
      </c>
      <c r="O3647" t="s">
        <v>47</v>
      </c>
      <c r="P3647" t="s">
        <v>68</v>
      </c>
      <c r="R3647">
        <f>SUMIF(A3647:A8646,"C03646",I3647:I8646)</f>
        <v>235.96</v>
      </c>
      <c r="S3647" s="1">
        <v>8306.39</v>
      </c>
      <c r="T3647">
        <f t="shared" si="413"/>
        <v>13.88</v>
      </c>
      <c r="U3647">
        <f t="shared" si="414"/>
        <v>316.2</v>
      </c>
      <c r="V3647">
        <f t="shared" si="415"/>
        <v>26.35</v>
      </c>
      <c r="W3647">
        <f t="shared" si="410"/>
        <v>161.806666666667</v>
      </c>
      <c r="X3647">
        <f t="shared" si="416"/>
        <v>4.5117926426789</v>
      </c>
      <c r="AH3647" t="str">
        <f t="shared" si="411"/>
        <v>3rd Quality</v>
      </c>
      <c r="AJ3647">
        <f>((T3647-X3647)*2)/30.1</f>
        <v>0.622472249655887</v>
      </c>
      <c r="AK3647">
        <f t="shared" si="409"/>
        <v>15559.48</v>
      </c>
    </row>
    <row r="3648" spans="1:37">
      <c r="A3648" t="s">
        <v>3714</v>
      </c>
      <c r="B3648">
        <v>29</v>
      </c>
      <c r="C3648" t="s">
        <v>50</v>
      </c>
      <c r="D3648" t="s">
        <v>45</v>
      </c>
      <c r="E3648">
        <v>858</v>
      </c>
      <c r="F3648">
        <v>29</v>
      </c>
      <c r="G3648">
        <v>9</v>
      </c>
      <c r="H3648">
        <v>1315.22</v>
      </c>
      <c r="I3648">
        <v>12506.76</v>
      </c>
      <c r="J3648">
        <v>80</v>
      </c>
      <c r="K3648">
        <v>1</v>
      </c>
      <c r="L3648">
        <v>22.6</v>
      </c>
      <c r="M3648">
        <v>20</v>
      </c>
      <c r="N3648" t="s">
        <v>81</v>
      </c>
      <c r="O3648" t="s">
        <v>53</v>
      </c>
      <c r="P3648" t="s">
        <v>58</v>
      </c>
      <c r="R3648">
        <f>SUMIF(A3648:A8647,"C03647",I3648:I8647)</f>
        <v>12506.76</v>
      </c>
      <c r="S3648" s="1">
        <v>2213.24</v>
      </c>
      <c r="T3648">
        <f t="shared" si="413"/>
        <v>156.3345</v>
      </c>
      <c r="U3648">
        <f t="shared" si="414"/>
        <v>1600</v>
      </c>
      <c r="V3648">
        <f>U3648*1</f>
        <v>1600</v>
      </c>
      <c r="W3648">
        <f t="shared" si="410"/>
        <v>4607.66</v>
      </c>
      <c r="X3648">
        <f t="shared" si="416"/>
        <v>0.6523623424218</v>
      </c>
      <c r="AH3648" t="str">
        <f t="shared" si="411"/>
        <v>3rd Quality</v>
      </c>
      <c r="AJ3648">
        <f>((T3648-X3648)*2)/22.6</f>
        <v>13.7771803236795</v>
      </c>
      <c r="AK3648">
        <f t="shared" si="409"/>
        <v>134135.001</v>
      </c>
    </row>
    <row r="3649" spans="1:37">
      <c r="A3649" t="s">
        <v>3715</v>
      </c>
      <c r="B3649">
        <v>31</v>
      </c>
      <c r="C3649" t="s">
        <v>50</v>
      </c>
      <c r="D3649" t="s">
        <v>45</v>
      </c>
      <c r="E3649">
        <v>857</v>
      </c>
      <c r="F3649">
        <v>5</v>
      </c>
      <c r="G3649">
        <v>4</v>
      </c>
      <c r="H3649">
        <v>1084.98</v>
      </c>
      <c r="I3649">
        <v>4305.11</v>
      </c>
      <c r="J3649">
        <v>40</v>
      </c>
      <c r="K3649">
        <v>0</v>
      </c>
      <c r="L3649">
        <v>18</v>
      </c>
      <c r="M3649">
        <v>28.5</v>
      </c>
      <c r="N3649" t="s">
        <v>81</v>
      </c>
      <c r="O3649" t="s">
        <v>47</v>
      </c>
      <c r="P3649" t="s">
        <v>58</v>
      </c>
      <c r="R3649">
        <f>SUMIF(A3649:A8648,"C03648",I3649:I8648)</f>
        <v>4305.11</v>
      </c>
      <c r="S3649" s="1">
        <v>12241.03</v>
      </c>
      <c r="T3649">
        <f t="shared" si="413"/>
        <v>107.62775</v>
      </c>
      <c r="U3649">
        <f t="shared" si="414"/>
        <v>1140</v>
      </c>
      <c r="V3649">
        <f t="shared" si="415"/>
        <v>95</v>
      </c>
      <c r="W3649">
        <f t="shared" si="410"/>
        <v>1797.03</v>
      </c>
      <c r="X3649">
        <f t="shared" si="416"/>
        <v>0.789876311084075</v>
      </c>
      <c r="AH3649" t="str">
        <f t="shared" si="411"/>
        <v>3rd Quality</v>
      </c>
      <c r="AJ3649">
        <f>((T3649-X3649)*2)/18</f>
        <v>11.870874854324</v>
      </c>
      <c r="AK3649">
        <f t="shared" si="409"/>
        <v>92236.98175</v>
      </c>
    </row>
    <row r="3650" spans="1:37">
      <c r="A3650" t="s">
        <v>3716</v>
      </c>
      <c r="B3650">
        <v>18</v>
      </c>
      <c r="C3650" t="s">
        <v>44</v>
      </c>
      <c r="D3650" t="s">
        <v>45</v>
      </c>
      <c r="E3650">
        <v>1111</v>
      </c>
      <c r="F3650">
        <v>54</v>
      </c>
      <c r="G3650">
        <v>7</v>
      </c>
      <c r="H3650">
        <v>1169.42</v>
      </c>
      <c r="I3650">
        <v>8306.39</v>
      </c>
      <c r="J3650">
        <v>62</v>
      </c>
      <c r="K3650">
        <v>0</v>
      </c>
      <c r="L3650">
        <v>28.4</v>
      </c>
      <c r="M3650">
        <v>11.2</v>
      </c>
      <c r="N3650" t="s">
        <v>81</v>
      </c>
      <c r="O3650" t="s">
        <v>47</v>
      </c>
      <c r="P3650" t="s">
        <v>66</v>
      </c>
      <c r="R3650">
        <f>SUMIF(A3650:A8649,"C03649",I3650:I8649)</f>
        <v>8306.39</v>
      </c>
      <c r="S3650" s="1">
        <v>90680.62</v>
      </c>
      <c r="T3650">
        <f t="shared" si="413"/>
        <v>133.974032258065</v>
      </c>
      <c r="U3650">
        <f t="shared" si="414"/>
        <v>694.4</v>
      </c>
      <c r="V3650">
        <f t="shared" si="415"/>
        <v>57.8666666666667</v>
      </c>
      <c r="W3650">
        <f t="shared" si="410"/>
        <v>3158.93666666667</v>
      </c>
      <c r="X3650">
        <f t="shared" si="416"/>
        <v>0.950043611362898</v>
      </c>
      <c r="AH3650" t="str">
        <f t="shared" si="411"/>
        <v>3rd Quality</v>
      </c>
      <c r="AJ3650">
        <f>((T3650-X3650)*2)/28.4</f>
        <v>9.36788652441564</v>
      </c>
      <c r="AK3650">
        <f t="shared" si="409"/>
        <v>148845.14983871</v>
      </c>
    </row>
    <row r="3651" spans="1:37">
      <c r="A3651" t="s">
        <v>3717</v>
      </c>
      <c r="B3651">
        <v>18</v>
      </c>
      <c r="C3651" t="s">
        <v>50</v>
      </c>
      <c r="D3651" t="s">
        <v>51</v>
      </c>
      <c r="E3651">
        <v>671</v>
      </c>
      <c r="F3651">
        <v>125</v>
      </c>
      <c r="G3651">
        <v>3</v>
      </c>
      <c r="H3651">
        <v>763.22</v>
      </c>
      <c r="I3651">
        <v>2213.24</v>
      </c>
      <c r="J3651">
        <v>14</v>
      </c>
      <c r="K3651">
        <v>0</v>
      </c>
      <c r="L3651">
        <v>42.9</v>
      </c>
      <c r="M3651">
        <v>27.5</v>
      </c>
      <c r="N3651" t="s">
        <v>78</v>
      </c>
      <c r="O3651" t="s">
        <v>47</v>
      </c>
      <c r="P3651" t="s">
        <v>48</v>
      </c>
      <c r="R3651">
        <f>SUMIF(A3651:A8650,"C03650",I3651:I8650)</f>
        <v>2213.24</v>
      </c>
      <c r="S3651" s="1">
        <v>11148.74</v>
      </c>
      <c r="T3651">
        <f t="shared" si="413"/>
        <v>158.088571428571</v>
      </c>
      <c r="U3651">
        <f t="shared" si="414"/>
        <v>385</v>
      </c>
      <c r="V3651">
        <f t="shared" si="415"/>
        <v>32.0833333333333</v>
      </c>
      <c r="W3651">
        <f t="shared" si="410"/>
        <v>992.486666666667</v>
      </c>
      <c r="X3651">
        <f t="shared" si="416"/>
        <v>0.879169833075653</v>
      </c>
      <c r="AH3651" t="str">
        <f t="shared" si="411"/>
        <v>3rd Quality</v>
      </c>
      <c r="AJ3651">
        <f>((T3651-X3651)*2)/42.9</f>
        <v>7.32910963149162</v>
      </c>
      <c r="AK3651">
        <f t="shared" ref="AK3651:AK3714" si="417">I3651/J3651*E3651</f>
        <v>106077.431428571</v>
      </c>
    </row>
    <row r="3652" spans="1:37">
      <c r="A3652" t="s">
        <v>3718</v>
      </c>
      <c r="B3652">
        <v>31</v>
      </c>
      <c r="C3652" t="s">
        <v>44</v>
      </c>
      <c r="D3652" t="s">
        <v>60</v>
      </c>
      <c r="E3652">
        <v>1459</v>
      </c>
      <c r="F3652">
        <v>20</v>
      </c>
      <c r="G3652">
        <v>6</v>
      </c>
      <c r="H3652">
        <v>1957.26</v>
      </c>
      <c r="I3652">
        <v>12241.03</v>
      </c>
      <c r="J3652">
        <v>60</v>
      </c>
      <c r="K3652">
        <v>0</v>
      </c>
      <c r="L3652">
        <v>14.2</v>
      </c>
      <c r="M3652">
        <v>36.7</v>
      </c>
      <c r="N3652" t="s">
        <v>52</v>
      </c>
      <c r="O3652" t="s">
        <v>47</v>
      </c>
      <c r="P3652" t="s">
        <v>68</v>
      </c>
      <c r="R3652">
        <f>SUMIF(A3652:A8651,"C03651",I3652:I8651)</f>
        <v>12241.03</v>
      </c>
      <c r="S3652" s="1">
        <v>26072.29</v>
      </c>
      <c r="T3652">
        <f t="shared" si="413"/>
        <v>204.017166666667</v>
      </c>
      <c r="U3652">
        <f t="shared" si="414"/>
        <v>2202</v>
      </c>
      <c r="V3652">
        <f t="shared" si="415"/>
        <v>183.5</v>
      </c>
      <c r="W3652">
        <f t="shared" si="410"/>
        <v>4733.09666666667</v>
      </c>
      <c r="X3652">
        <f t="shared" si="416"/>
        <v>0.745429835586483</v>
      </c>
      <c r="AH3652" t="str">
        <f t="shared" si="411"/>
        <v>3rd Quality</v>
      </c>
      <c r="AJ3652">
        <f>((T3652-X3652)*2)/14.2</f>
        <v>28.6298220888846</v>
      </c>
      <c r="AK3652">
        <f t="shared" si="417"/>
        <v>297661.046166667</v>
      </c>
    </row>
    <row r="3653" spans="1:37">
      <c r="A3653" t="s">
        <v>3719</v>
      </c>
      <c r="B3653">
        <v>44</v>
      </c>
      <c r="C3653" t="s">
        <v>44</v>
      </c>
      <c r="D3653" t="s">
        <v>45</v>
      </c>
      <c r="E3653">
        <v>937</v>
      </c>
      <c r="F3653">
        <v>27</v>
      </c>
      <c r="G3653">
        <v>29</v>
      </c>
      <c r="H3653">
        <v>3456.07</v>
      </c>
      <c r="I3653">
        <v>90680.62</v>
      </c>
      <c r="J3653">
        <v>123</v>
      </c>
      <c r="K3653">
        <v>0</v>
      </c>
      <c r="L3653">
        <v>9.2</v>
      </c>
      <c r="M3653">
        <v>43.7</v>
      </c>
      <c r="N3653" t="s">
        <v>46</v>
      </c>
      <c r="O3653" t="s">
        <v>47</v>
      </c>
      <c r="P3653" t="s">
        <v>58</v>
      </c>
      <c r="R3653">
        <f>SUMIF(A3653:A8652,"C03652",I3653:I8652)</f>
        <v>90680.62</v>
      </c>
      <c r="S3653" s="1">
        <v>18109.63</v>
      </c>
      <c r="T3653">
        <f t="shared" si="413"/>
        <v>737.24081300813</v>
      </c>
      <c r="U3653">
        <f t="shared" si="414"/>
        <v>5375.1</v>
      </c>
      <c r="V3653">
        <f t="shared" si="415"/>
        <v>447.925</v>
      </c>
      <c r="W3653">
        <f t="shared" si="410"/>
        <v>31379.23</v>
      </c>
      <c r="X3653">
        <f t="shared" si="416"/>
        <v>0.271117193806838</v>
      </c>
      <c r="AH3653" t="str">
        <f t="shared" si="411"/>
        <v>3rd Quality</v>
      </c>
      <c r="AJ3653">
        <f>((T3653-X3653)*2)/9.2</f>
        <v>160.210803437896</v>
      </c>
      <c r="AK3653">
        <f t="shared" si="417"/>
        <v>690794.641788618</v>
      </c>
    </row>
    <row r="3654" spans="1:37">
      <c r="A3654" t="s">
        <v>3720</v>
      </c>
      <c r="B3654">
        <v>47</v>
      </c>
      <c r="C3654" t="s">
        <v>50</v>
      </c>
      <c r="D3654" t="s">
        <v>60</v>
      </c>
      <c r="E3654">
        <v>1308</v>
      </c>
      <c r="F3654">
        <v>6</v>
      </c>
      <c r="G3654">
        <v>10</v>
      </c>
      <c r="H3654">
        <v>1113.21</v>
      </c>
      <c r="I3654">
        <v>11148.74</v>
      </c>
      <c r="J3654">
        <v>69</v>
      </c>
      <c r="K3654">
        <v>2</v>
      </c>
      <c r="L3654">
        <v>17.4</v>
      </c>
      <c r="M3654">
        <v>28</v>
      </c>
      <c r="N3654" t="s">
        <v>81</v>
      </c>
      <c r="O3654" t="s">
        <v>47</v>
      </c>
      <c r="P3654" t="s">
        <v>58</v>
      </c>
      <c r="R3654">
        <f>SUMIF(A3654:A8653,"C03653",I3654:I8653)</f>
        <v>11148.74</v>
      </c>
      <c r="S3654" s="1">
        <v>78980.44</v>
      </c>
      <c r="T3654">
        <f t="shared" si="413"/>
        <v>161.575942028986</v>
      </c>
      <c r="U3654">
        <f t="shared" si="414"/>
        <v>1932</v>
      </c>
      <c r="V3654">
        <f>U3654*2</f>
        <v>3864</v>
      </c>
      <c r="W3654">
        <f t="shared" si="410"/>
        <v>4087.65</v>
      </c>
      <c r="X3654">
        <f t="shared" si="416"/>
        <v>1.17498046190746</v>
      </c>
      <c r="AH3654" t="str">
        <f t="shared" si="411"/>
        <v>3rd Quality</v>
      </c>
      <c r="AJ3654">
        <f>((T3654-X3654)*2)/17.4</f>
        <v>18.436892134147</v>
      </c>
      <c r="AK3654">
        <f t="shared" si="417"/>
        <v>211341.332173913</v>
      </c>
    </row>
    <row r="3655" spans="1:37">
      <c r="A3655" t="s">
        <v>3721</v>
      </c>
      <c r="B3655">
        <v>56</v>
      </c>
      <c r="C3655" t="s">
        <v>50</v>
      </c>
      <c r="D3655" t="s">
        <v>60</v>
      </c>
      <c r="E3655">
        <v>1218</v>
      </c>
      <c r="F3655">
        <v>1</v>
      </c>
      <c r="G3655">
        <v>13</v>
      </c>
      <c r="H3655">
        <v>1831.64</v>
      </c>
      <c r="I3655">
        <v>26072.29</v>
      </c>
      <c r="J3655">
        <v>72</v>
      </c>
      <c r="K3655">
        <v>0</v>
      </c>
      <c r="L3655">
        <v>12.9</v>
      </c>
      <c r="M3655">
        <v>38.5</v>
      </c>
      <c r="N3655" t="s">
        <v>57</v>
      </c>
      <c r="O3655" t="s">
        <v>47</v>
      </c>
      <c r="P3655" t="s">
        <v>58</v>
      </c>
      <c r="R3655">
        <f>SUMIF(A3655:A8654,"C03654",I3655:I8654)</f>
        <v>26072.29</v>
      </c>
      <c r="S3655" s="1">
        <v>83158.25</v>
      </c>
      <c r="T3655">
        <f t="shared" ref="T3655:T3686" si="418">I3655/J3655</f>
        <v>362.115138888889</v>
      </c>
      <c r="U3655">
        <f t="shared" si="414"/>
        <v>2772</v>
      </c>
      <c r="V3655">
        <f t="shared" si="415"/>
        <v>231</v>
      </c>
      <c r="W3655">
        <f t="shared" si="410"/>
        <v>9301.64333333333</v>
      </c>
      <c r="X3655">
        <f t="shared" si="416"/>
        <v>0.664977834072198</v>
      </c>
      <c r="AH3655" t="str">
        <f t="shared" si="411"/>
        <v>3rd Quality</v>
      </c>
      <c r="AJ3655">
        <f>((T3655-X3655)*2)/12.9</f>
        <v>56.0387846596615</v>
      </c>
      <c r="AK3655">
        <f t="shared" si="417"/>
        <v>441056.239166667</v>
      </c>
    </row>
    <row r="3656" spans="1:37">
      <c r="A3656" t="s">
        <v>3722</v>
      </c>
      <c r="B3656">
        <v>36</v>
      </c>
      <c r="C3656" t="s">
        <v>44</v>
      </c>
      <c r="D3656" t="s">
        <v>60</v>
      </c>
      <c r="E3656">
        <v>1033</v>
      </c>
      <c r="F3656">
        <v>39</v>
      </c>
      <c r="G3656">
        <v>8</v>
      </c>
      <c r="H3656">
        <v>2417.34</v>
      </c>
      <c r="I3656">
        <v>18109.63</v>
      </c>
      <c r="J3656">
        <v>39</v>
      </c>
      <c r="K3656">
        <v>0</v>
      </c>
      <c r="L3656">
        <v>25</v>
      </c>
      <c r="M3656">
        <v>19.3</v>
      </c>
      <c r="N3656" t="s">
        <v>57</v>
      </c>
      <c r="O3656" t="s">
        <v>47</v>
      </c>
      <c r="P3656" t="s">
        <v>58</v>
      </c>
      <c r="R3656">
        <f>SUMIF(A3656:A8655,"C03655",I3656:I8655)</f>
        <v>18109.63</v>
      </c>
      <c r="S3656" s="1">
        <v>14231.07</v>
      </c>
      <c r="T3656">
        <f t="shared" si="418"/>
        <v>464.349487179487</v>
      </c>
      <c r="U3656">
        <f t="shared" si="414"/>
        <v>752.7</v>
      </c>
      <c r="V3656">
        <f t="shared" si="415"/>
        <v>62.725</v>
      </c>
      <c r="W3656">
        <f t="shared" si="410"/>
        <v>6842.65666666667</v>
      </c>
      <c r="X3656">
        <f t="shared" si="416"/>
        <v>0.427329213102005</v>
      </c>
      <c r="AH3656" t="str">
        <f t="shared" si="411"/>
        <v>2nd Quality</v>
      </c>
      <c r="AJ3656">
        <f>((T3656-X3656)*2)/25</f>
        <v>37.1137726373108</v>
      </c>
      <c r="AK3656">
        <f t="shared" si="417"/>
        <v>479673.02025641</v>
      </c>
    </row>
    <row r="3657" spans="1:37">
      <c r="A3657" t="s">
        <v>3723</v>
      </c>
      <c r="B3657">
        <v>30</v>
      </c>
      <c r="C3657" t="s">
        <v>44</v>
      </c>
      <c r="D3657" t="s">
        <v>45</v>
      </c>
      <c r="E3657">
        <v>478</v>
      </c>
      <c r="F3657">
        <v>4</v>
      </c>
      <c r="G3657">
        <v>29</v>
      </c>
      <c r="H3657">
        <v>2502.2</v>
      </c>
      <c r="I3657">
        <v>78980.44</v>
      </c>
      <c r="J3657">
        <v>183</v>
      </c>
      <c r="K3657">
        <v>1</v>
      </c>
      <c r="L3657">
        <v>9.9</v>
      </c>
      <c r="M3657">
        <v>25.9</v>
      </c>
      <c r="N3657" t="s">
        <v>78</v>
      </c>
      <c r="O3657" t="s">
        <v>47</v>
      </c>
      <c r="P3657" t="s">
        <v>58</v>
      </c>
      <c r="R3657">
        <f>SUMIF(A3657:A8656,"C03656",I3657:I8656)</f>
        <v>78980.44</v>
      </c>
      <c r="S3657" s="1">
        <v>1207.96</v>
      </c>
      <c r="T3657">
        <f t="shared" si="418"/>
        <v>431.587103825137</v>
      </c>
      <c r="U3657">
        <f t="shared" si="414"/>
        <v>4739.7</v>
      </c>
      <c r="V3657">
        <f>U3657*1</f>
        <v>4739.7</v>
      </c>
      <c r="W3657">
        <f t="shared" ref="W3657:W3720" si="419">(H3657+I3657+1)/3</f>
        <v>27161.2133333333</v>
      </c>
      <c r="X3657">
        <f t="shared" si="416"/>
        <v>0.191031891935097</v>
      </c>
      <c r="AH3657" t="str">
        <f t="shared" si="411"/>
        <v>2nd Quality</v>
      </c>
      <c r="AJ3657">
        <f>((T3657-X3657)*2)/9.9</f>
        <v>87.150721602667</v>
      </c>
      <c r="AK3657">
        <f t="shared" si="417"/>
        <v>206298.635628415</v>
      </c>
    </row>
    <row r="3658" spans="1:37">
      <c r="A3658" t="s">
        <v>3724</v>
      </c>
      <c r="B3658">
        <v>39</v>
      </c>
      <c r="C3658" t="s">
        <v>50</v>
      </c>
      <c r="D3658" t="s">
        <v>45</v>
      </c>
      <c r="E3658">
        <v>1173</v>
      </c>
      <c r="F3658">
        <v>9</v>
      </c>
      <c r="G3658">
        <v>25</v>
      </c>
      <c r="H3658">
        <v>3044.94</v>
      </c>
      <c r="I3658">
        <v>83158.25</v>
      </c>
      <c r="J3658">
        <v>161</v>
      </c>
      <c r="K3658">
        <v>0</v>
      </c>
      <c r="L3658">
        <v>4.9</v>
      </c>
      <c r="M3658">
        <v>43</v>
      </c>
      <c r="N3658" t="s">
        <v>81</v>
      </c>
      <c r="O3658" t="s">
        <v>47</v>
      </c>
      <c r="P3658" t="s">
        <v>58</v>
      </c>
      <c r="R3658">
        <f>SUMIF(A3658:A8657,"C03657",I3658:I8657)</f>
        <v>83158.25</v>
      </c>
      <c r="S3658" s="1">
        <v>76615.41</v>
      </c>
      <c r="T3658">
        <f t="shared" si="418"/>
        <v>516.510869565217</v>
      </c>
      <c r="U3658">
        <f t="shared" si="414"/>
        <v>6923</v>
      </c>
      <c r="V3658">
        <f t="shared" si="415"/>
        <v>576.916666666667</v>
      </c>
      <c r="W3658">
        <f t="shared" si="419"/>
        <v>28734.73</v>
      </c>
      <c r="X3658">
        <f t="shared" si="416"/>
        <v>0.385229265601293</v>
      </c>
      <c r="AH3658" t="str">
        <f t="shared" si="411"/>
        <v>2nd Quality</v>
      </c>
      <c r="AJ3658">
        <f>((T3658-X3658)*2)/4.9</f>
        <v>210.663526652904</v>
      </c>
      <c r="AK3658">
        <f t="shared" si="417"/>
        <v>605867.25</v>
      </c>
    </row>
    <row r="3659" spans="1:37">
      <c r="A3659" t="s">
        <v>3725</v>
      </c>
      <c r="B3659">
        <v>37</v>
      </c>
      <c r="C3659" t="s">
        <v>44</v>
      </c>
      <c r="D3659" t="s">
        <v>60</v>
      </c>
      <c r="E3659">
        <v>447</v>
      </c>
      <c r="F3659">
        <v>78</v>
      </c>
      <c r="G3659">
        <v>5</v>
      </c>
      <c r="H3659">
        <v>3043.09</v>
      </c>
      <c r="I3659">
        <v>14231.07</v>
      </c>
      <c r="J3659">
        <v>45</v>
      </c>
      <c r="K3659">
        <v>0</v>
      </c>
      <c r="L3659">
        <v>18.7</v>
      </c>
      <c r="M3659">
        <v>21.1</v>
      </c>
      <c r="N3659" t="s">
        <v>52</v>
      </c>
      <c r="O3659" t="s">
        <v>47</v>
      </c>
      <c r="P3659" t="s">
        <v>58</v>
      </c>
      <c r="R3659">
        <f>SUMIF(A3659:A8658,"C03658",I3659:I8658)</f>
        <v>14231.07</v>
      </c>
      <c r="S3659" s="1">
        <v>93116.07</v>
      </c>
      <c r="T3659">
        <f t="shared" si="418"/>
        <v>316.246</v>
      </c>
      <c r="U3659">
        <f t="shared" si="414"/>
        <v>949.5</v>
      </c>
      <c r="V3659">
        <f t="shared" si="415"/>
        <v>79.125</v>
      </c>
      <c r="W3659">
        <f t="shared" si="419"/>
        <v>5758.38666666667</v>
      </c>
      <c r="X3659">
        <f t="shared" si="416"/>
        <v>0.146890167559947</v>
      </c>
      <c r="AH3659" t="str">
        <f t="shared" si="411"/>
        <v>3rd Quality</v>
      </c>
      <c r="AJ3659">
        <f>((T3659-X3659)*2)/18.7</f>
        <v>33.8073914259294</v>
      </c>
      <c r="AK3659">
        <f t="shared" si="417"/>
        <v>141361.962</v>
      </c>
    </row>
    <row r="3660" spans="1:37">
      <c r="A3660" t="s">
        <v>3726</v>
      </c>
      <c r="B3660">
        <v>24</v>
      </c>
      <c r="C3660" t="s">
        <v>50</v>
      </c>
      <c r="D3660" t="s">
        <v>60</v>
      </c>
      <c r="E3660">
        <v>1174</v>
      </c>
      <c r="F3660">
        <v>58</v>
      </c>
      <c r="G3660">
        <v>1</v>
      </c>
      <c r="H3660">
        <v>1343.11</v>
      </c>
      <c r="I3660">
        <v>1207.96</v>
      </c>
      <c r="J3660">
        <v>16</v>
      </c>
      <c r="K3660">
        <v>1</v>
      </c>
      <c r="L3660">
        <v>11.7</v>
      </c>
      <c r="M3660">
        <v>26.7</v>
      </c>
      <c r="N3660" t="s">
        <v>57</v>
      </c>
      <c r="O3660" t="s">
        <v>47</v>
      </c>
      <c r="P3660" t="s">
        <v>68</v>
      </c>
      <c r="R3660">
        <f>SUMIF(A3660:A8659,"C03659",I3660:I8659)</f>
        <v>1207.96</v>
      </c>
      <c r="S3660" s="1">
        <v>869.32</v>
      </c>
      <c r="T3660">
        <f t="shared" si="418"/>
        <v>75.4975</v>
      </c>
      <c r="U3660">
        <f t="shared" si="414"/>
        <v>427.2</v>
      </c>
      <c r="V3660">
        <f>U3660*1</f>
        <v>427.2</v>
      </c>
      <c r="W3660">
        <f t="shared" si="419"/>
        <v>850.69</v>
      </c>
      <c r="X3660">
        <f t="shared" si="416"/>
        <v>0.874090729724297</v>
      </c>
      <c r="AH3660" t="str">
        <f t="shared" si="411"/>
        <v>3rd Quality</v>
      </c>
      <c r="AJ3660">
        <f>((T3660-X3660)*2)/11.7</f>
        <v>12.7561383367993</v>
      </c>
      <c r="AK3660">
        <f t="shared" si="417"/>
        <v>88634.065</v>
      </c>
    </row>
    <row r="3661" spans="1:37">
      <c r="A3661" t="s">
        <v>3727</v>
      </c>
      <c r="B3661">
        <v>37</v>
      </c>
      <c r="C3661" t="s">
        <v>50</v>
      </c>
      <c r="D3661" t="s">
        <v>60</v>
      </c>
      <c r="E3661">
        <v>1364</v>
      </c>
      <c r="F3661">
        <v>20</v>
      </c>
      <c r="G3661">
        <v>25</v>
      </c>
      <c r="H3661">
        <v>2881.74</v>
      </c>
      <c r="I3661">
        <v>76615.41</v>
      </c>
      <c r="J3661">
        <v>131</v>
      </c>
      <c r="K3661">
        <v>1</v>
      </c>
      <c r="L3661">
        <v>0</v>
      </c>
      <c r="M3661">
        <v>24.8</v>
      </c>
      <c r="N3661" t="s">
        <v>46</v>
      </c>
      <c r="O3661" t="s">
        <v>75</v>
      </c>
      <c r="P3661" t="s">
        <v>58</v>
      </c>
      <c r="R3661">
        <f>SUMIF(A3661:A8660,"C03660",I3661:I8660)</f>
        <v>76615.41</v>
      </c>
      <c r="S3661" s="1">
        <v>971.27</v>
      </c>
      <c r="T3661">
        <f t="shared" si="418"/>
        <v>584.850458015267</v>
      </c>
      <c r="U3661">
        <f t="shared" si="414"/>
        <v>3248.8</v>
      </c>
      <c r="V3661">
        <f>U3661*1</f>
        <v>3248.8</v>
      </c>
      <c r="W3661">
        <f t="shared" si="419"/>
        <v>26499.3833333333</v>
      </c>
      <c r="X3661">
        <f t="shared" si="416"/>
        <v>0.47332514383671</v>
      </c>
      <c r="AH3661" t="str">
        <f t="shared" si="411"/>
        <v>2nd Quality</v>
      </c>
      <c r="AJ3661">
        <f>((T3661-X3661)*2)</f>
        <v>1168.75426574286</v>
      </c>
      <c r="AK3661">
        <f t="shared" si="417"/>
        <v>797736.024732825</v>
      </c>
    </row>
    <row r="3662" spans="1:37">
      <c r="A3662" t="s">
        <v>3728</v>
      </c>
      <c r="B3662">
        <v>35</v>
      </c>
      <c r="C3662" t="s">
        <v>44</v>
      </c>
      <c r="D3662" t="s">
        <v>60</v>
      </c>
      <c r="E3662">
        <v>951</v>
      </c>
      <c r="F3662">
        <v>3</v>
      </c>
      <c r="G3662">
        <v>24</v>
      </c>
      <c r="H3662">
        <v>3495.16</v>
      </c>
      <c r="I3662">
        <v>93116.07</v>
      </c>
      <c r="J3662">
        <v>56</v>
      </c>
      <c r="K3662">
        <v>1</v>
      </c>
      <c r="L3662">
        <v>17.6</v>
      </c>
      <c r="M3662">
        <v>61.3</v>
      </c>
      <c r="N3662" t="s">
        <v>61</v>
      </c>
      <c r="O3662" t="s">
        <v>53</v>
      </c>
      <c r="P3662" t="s">
        <v>66</v>
      </c>
      <c r="R3662">
        <f>SUMIF(A3662:A8661,"C03661",I3662:I8661)</f>
        <v>93116.07</v>
      </c>
      <c r="S3662" s="1">
        <v>658.26</v>
      </c>
      <c r="T3662">
        <f t="shared" si="418"/>
        <v>1662.78696428571</v>
      </c>
      <c r="U3662">
        <f t="shared" si="414"/>
        <v>3432.8</v>
      </c>
      <c r="V3662">
        <f>U3662*1</f>
        <v>3432.8</v>
      </c>
      <c r="W3662">
        <f t="shared" si="419"/>
        <v>32204.0766666667</v>
      </c>
      <c r="X3662">
        <f t="shared" si="416"/>
        <v>0.272090548072191</v>
      </c>
      <c r="AH3662" t="str">
        <f t="shared" ref="AH3662:AH3725" si="420">IF(AND(W3662&gt;=12550,B3662&lt;=33,E3662&gt;=915),"1st Quality",IF(AND(W3662&gt;=6275,B3662&lt;=43,E3662&gt;=457),"2nd Quality","3rd Quality"))</f>
        <v>2nd Quality</v>
      </c>
      <c r="AJ3662">
        <f>((T3662-X3662)*2)/17.6</f>
        <v>188.922144742913</v>
      </c>
      <c r="AK3662">
        <f t="shared" si="417"/>
        <v>1581310.40303571</v>
      </c>
    </row>
    <row r="3663" spans="1:37">
      <c r="A3663" t="s">
        <v>3729</v>
      </c>
      <c r="B3663">
        <v>53</v>
      </c>
      <c r="C3663" t="s">
        <v>50</v>
      </c>
      <c r="D3663" t="s">
        <v>60</v>
      </c>
      <c r="E3663">
        <v>1421</v>
      </c>
      <c r="F3663">
        <v>142</v>
      </c>
      <c r="G3663">
        <v>1</v>
      </c>
      <c r="H3663">
        <v>923.46</v>
      </c>
      <c r="I3663">
        <v>869.32</v>
      </c>
      <c r="J3663">
        <v>14</v>
      </c>
      <c r="K3663">
        <v>0</v>
      </c>
      <c r="L3663">
        <v>21.7</v>
      </c>
      <c r="M3663">
        <v>50.5</v>
      </c>
      <c r="N3663" t="s">
        <v>46</v>
      </c>
      <c r="O3663" t="s">
        <v>47</v>
      </c>
      <c r="P3663" t="s">
        <v>58</v>
      </c>
      <c r="R3663">
        <f>SUMIF(A3663:A8662,"C03662",I3663:I8662)</f>
        <v>869.32</v>
      </c>
      <c r="S3663" s="1">
        <v>13207.75</v>
      </c>
      <c r="T3663">
        <f t="shared" si="418"/>
        <v>62.0942857142857</v>
      </c>
      <c r="U3663">
        <f t="shared" si="414"/>
        <v>707</v>
      </c>
      <c r="V3663">
        <f t="shared" si="415"/>
        <v>58.9166666666667</v>
      </c>
      <c r="W3663">
        <f t="shared" si="419"/>
        <v>597.926666666667</v>
      </c>
      <c r="X3663">
        <f t="shared" si="416"/>
        <v>1.53877807376605</v>
      </c>
      <c r="AH3663" t="str">
        <f t="shared" si="420"/>
        <v>3rd Quality</v>
      </c>
      <c r="AJ3663">
        <f>((T3663-X3663)*2)/21.7</f>
        <v>5.58115277792808</v>
      </c>
      <c r="AK3663">
        <f t="shared" si="417"/>
        <v>88235.98</v>
      </c>
    </row>
    <row r="3664" spans="1:37">
      <c r="A3664" t="s">
        <v>3730</v>
      </c>
      <c r="B3664">
        <v>29</v>
      </c>
      <c r="C3664" t="s">
        <v>50</v>
      </c>
      <c r="D3664" t="s">
        <v>45</v>
      </c>
      <c r="E3664">
        <v>1054</v>
      </c>
      <c r="F3664">
        <v>365</v>
      </c>
      <c r="G3664">
        <v>1</v>
      </c>
      <c r="H3664">
        <v>883.68</v>
      </c>
      <c r="I3664">
        <v>971.27</v>
      </c>
      <c r="J3664">
        <v>17</v>
      </c>
      <c r="K3664">
        <v>0</v>
      </c>
      <c r="L3664">
        <v>26</v>
      </c>
      <c r="M3664">
        <v>57.2</v>
      </c>
      <c r="N3664" t="s">
        <v>81</v>
      </c>
      <c r="O3664" t="s">
        <v>47</v>
      </c>
      <c r="P3664" t="s">
        <v>48</v>
      </c>
      <c r="R3664">
        <f>SUMIF(A3664:A8663,"C03663",I3664:I8663)</f>
        <v>971.27</v>
      </c>
      <c r="S3664" s="1">
        <v>18626.59</v>
      </c>
      <c r="T3664">
        <f t="shared" si="418"/>
        <v>57.1335294117647</v>
      </c>
      <c r="U3664">
        <f t="shared" si="414"/>
        <v>972.4</v>
      </c>
      <c r="V3664">
        <f t="shared" si="415"/>
        <v>81.0333333333333</v>
      </c>
      <c r="W3664">
        <f t="shared" si="419"/>
        <v>618.65</v>
      </c>
      <c r="X3664">
        <f t="shared" si="416"/>
        <v>1.19273945319573</v>
      </c>
      <c r="AH3664" t="str">
        <f t="shared" si="420"/>
        <v>3rd Quality</v>
      </c>
      <c r="AJ3664">
        <f>((T3664-X3664)*2)/26</f>
        <v>4.30313768912069</v>
      </c>
      <c r="AK3664">
        <f t="shared" si="417"/>
        <v>60218.74</v>
      </c>
    </row>
    <row r="3665" spans="1:37">
      <c r="A3665" t="s">
        <v>3731</v>
      </c>
      <c r="B3665">
        <v>32</v>
      </c>
      <c r="C3665" t="s">
        <v>44</v>
      </c>
      <c r="D3665" t="s">
        <v>60</v>
      </c>
      <c r="E3665">
        <v>946</v>
      </c>
      <c r="F3665">
        <v>146</v>
      </c>
      <c r="G3665">
        <v>1</v>
      </c>
      <c r="H3665">
        <v>707.84</v>
      </c>
      <c r="I3665">
        <v>658.26</v>
      </c>
      <c r="J3665">
        <v>15</v>
      </c>
      <c r="K3665">
        <v>0</v>
      </c>
      <c r="L3665">
        <v>26.6</v>
      </c>
      <c r="M3665">
        <v>27.2</v>
      </c>
      <c r="N3665" t="s">
        <v>78</v>
      </c>
      <c r="O3665" t="s">
        <v>47</v>
      </c>
      <c r="P3665" t="s">
        <v>58</v>
      </c>
      <c r="R3665">
        <f>SUMIF(A3665:A8664,"C03664",I3665:I8664)</f>
        <v>658.26</v>
      </c>
      <c r="S3665" s="1">
        <v>48368.02</v>
      </c>
      <c r="T3665">
        <f t="shared" si="418"/>
        <v>43.884</v>
      </c>
      <c r="U3665">
        <f t="shared" si="414"/>
        <v>408</v>
      </c>
      <c r="V3665">
        <f t="shared" si="415"/>
        <v>34</v>
      </c>
      <c r="W3665">
        <f t="shared" si="419"/>
        <v>455.7</v>
      </c>
      <c r="X3665">
        <f t="shared" si="416"/>
        <v>1.33646021699819</v>
      </c>
      <c r="AH3665" t="str">
        <f t="shared" si="420"/>
        <v>3rd Quality</v>
      </c>
      <c r="AJ3665">
        <f>((T3665-X3665)*2)/26.6</f>
        <v>3.19906314157908</v>
      </c>
      <c r="AK3665">
        <f t="shared" si="417"/>
        <v>41514.264</v>
      </c>
    </row>
    <row r="3666" spans="1:37">
      <c r="A3666" t="s">
        <v>3732</v>
      </c>
      <c r="B3666">
        <v>19</v>
      </c>
      <c r="C3666" t="s">
        <v>44</v>
      </c>
      <c r="D3666" t="s">
        <v>60</v>
      </c>
      <c r="E3666">
        <v>950</v>
      </c>
      <c r="F3666">
        <v>16</v>
      </c>
      <c r="G3666">
        <v>12</v>
      </c>
      <c r="H3666">
        <v>1139.11</v>
      </c>
      <c r="I3666">
        <v>13207.75</v>
      </c>
      <c r="J3666">
        <v>57</v>
      </c>
      <c r="K3666">
        <v>1</v>
      </c>
      <c r="L3666">
        <v>25.4</v>
      </c>
      <c r="M3666">
        <v>45.7</v>
      </c>
      <c r="N3666" t="s">
        <v>52</v>
      </c>
      <c r="O3666" t="s">
        <v>47</v>
      </c>
      <c r="P3666" t="s">
        <v>68</v>
      </c>
      <c r="R3666">
        <f>SUMIF(A3666:A8665,"C03665",I3666:I8665)</f>
        <v>13207.75</v>
      </c>
      <c r="S3666" s="1">
        <v>76100.93</v>
      </c>
      <c r="T3666">
        <f t="shared" si="418"/>
        <v>231.714912280702</v>
      </c>
      <c r="U3666">
        <f t="shared" si="414"/>
        <v>2604.9</v>
      </c>
      <c r="V3666">
        <f>U3666*1</f>
        <v>2604.9</v>
      </c>
      <c r="W3666">
        <f t="shared" si="419"/>
        <v>4782.62</v>
      </c>
      <c r="X3666">
        <f t="shared" si="416"/>
        <v>0.833984426438184</v>
      </c>
      <c r="AH3666" t="str">
        <f t="shared" si="420"/>
        <v>3rd Quality</v>
      </c>
      <c r="AJ3666">
        <f>((T3666-X3666)*2)/25.4</f>
        <v>18.179600618446</v>
      </c>
      <c r="AK3666">
        <f t="shared" si="417"/>
        <v>220129.166666667</v>
      </c>
    </row>
    <row r="3667" spans="1:37">
      <c r="A3667" t="s">
        <v>3733</v>
      </c>
      <c r="B3667">
        <v>18</v>
      </c>
      <c r="C3667" t="s">
        <v>101</v>
      </c>
      <c r="D3667" t="s">
        <v>60</v>
      </c>
      <c r="E3667">
        <v>526</v>
      </c>
      <c r="F3667">
        <v>44</v>
      </c>
      <c r="G3667">
        <v>12</v>
      </c>
      <c r="H3667">
        <v>1420.64</v>
      </c>
      <c r="I3667">
        <v>18626.59</v>
      </c>
      <c r="J3667">
        <v>52</v>
      </c>
      <c r="K3667">
        <v>1</v>
      </c>
      <c r="L3667">
        <v>16.1</v>
      </c>
      <c r="M3667">
        <v>48.1</v>
      </c>
      <c r="N3667" t="s">
        <v>52</v>
      </c>
      <c r="O3667" t="s">
        <v>47</v>
      </c>
      <c r="P3667" t="s">
        <v>48</v>
      </c>
      <c r="R3667">
        <f>SUMIF(A3667:A8666,"C03666",I3667:I8666)</f>
        <v>18626.59</v>
      </c>
      <c r="S3667" s="1">
        <v>4900.05</v>
      </c>
      <c r="T3667">
        <f t="shared" si="418"/>
        <v>358.203653846154</v>
      </c>
      <c r="U3667">
        <f t="shared" si="414"/>
        <v>2501.2</v>
      </c>
      <c r="V3667">
        <f>U3667*1</f>
        <v>2501.2</v>
      </c>
      <c r="W3667">
        <f t="shared" si="419"/>
        <v>6682.74333333333</v>
      </c>
      <c r="X3667">
        <f t="shared" si="416"/>
        <v>0.370255659421106</v>
      </c>
      <c r="AH3667" t="str">
        <f t="shared" si="420"/>
        <v>2nd Quality</v>
      </c>
      <c r="AJ3667">
        <f>((T3667-X3667)*2)/16.1</f>
        <v>44.4513538120165</v>
      </c>
      <c r="AK3667">
        <f t="shared" si="417"/>
        <v>188415.121923077</v>
      </c>
    </row>
    <row r="3668" spans="1:37">
      <c r="A3668" t="s">
        <v>3734</v>
      </c>
      <c r="B3668">
        <v>31</v>
      </c>
      <c r="C3668" t="s">
        <v>44</v>
      </c>
      <c r="D3668" t="s">
        <v>60</v>
      </c>
      <c r="E3668">
        <v>442</v>
      </c>
      <c r="F3668">
        <v>6</v>
      </c>
      <c r="G3668">
        <v>23</v>
      </c>
      <c r="H3668">
        <v>2206.73</v>
      </c>
      <c r="I3668">
        <v>48368.02</v>
      </c>
      <c r="J3668">
        <v>102</v>
      </c>
      <c r="K3668">
        <v>1</v>
      </c>
      <c r="L3668">
        <v>5</v>
      </c>
      <c r="M3668">
        <v>26.4</v>
      </c>
      <c r="N3668" t="s">
        <v>46</v>
      </c>
      <c r="O3668" t="s">
        <v>75</v>
      </c>
      <c r="P3668" t="s">
        <v>58</v>
      </c>
      <c r="R3668">
        <f>SUMIF(A3668:A8667,"C03667",I3668:I8667)</f>
        <v>48368.02</v>
      </c>
      <c r="S3668" s="1">
        <v>35921.93</v>
      </c>
      <c r="T3668">
        <f t="shared" si="418"/>
        <v>474.196274509804</v>
      </c>
      <c r="U3668">
        <f t="shared" si="414"/>
        <v>2692.8</v>
      </c>
      <c r="V3668">
        <f>U3668*1</f>
        <v>2692.8</v>
      </c>
      <c r="W3668">
        <f t="shared" si="419"/>
        <v>16858.5833333333</v>
      </c>
      <c r="X3668">
        <f t="shared" si="416"/>
        <v>0.20029636611638</v>
      </c>
      <c r="AH3668" t="str">
        <f t="shared" si="420"/>
        <v>3rd Quality</v>
      </c>
      <c r="AJ3668">
        <f>((T3668-X3668)*2)/5</f>
        <v>189.598391257475</v>
      </c>
      <c r="AK3668">
        <f t="shared" si="417"/>
        <v>209594.753333333</v>
      </c>
    </row>
    <row r="3669" spans="1:37">
      <c r="A3669" t="s">
        <v>3735</v>
      </c>
      <c r="B3669">
        <v>50</v>
      </c>
      <c r="C3669" t="s">
        <v>44</v>
      </c>
      <c r="D3669" t="s">
        <v>45</v>
      </c>
      <c r="E3669">
        <v>455</v>
      </c>
      <c r="F3669">
        <v>7</v>
      </c>
      <c r="G3669">
        <v>19</v>
      </c>
      <c r="H3669">
        <v>3773.73</v>
      </c>
      <c r="I3669">
        <v>76100.93</v>
      </c>
      <c r="J3669">
        <v>69</v>
      </c>
      <c r="K3669">
        <v>1</v>
      </c>
      <c r="L3669">
        <v>23.3</v>
      </c>
      <c r="M3669">
        <v>37.6</v>
      </c>
      <c r="N3669" t="s">
        <v>52</v>
      </c>
      <c r="O3669" t="s">
        <v>47</v>
      </c>
      <c r="P3669" t="s">
        <v>58</v>
      </c>
      <c r="R3669">
        <f>SUMIF(A3669:A8668,"C03668",I3669:I8668)</f>
        <v>76100.93</v>
      </c>
      <c r="S3669" s="1">
        <v>23964.55</v>
      </c>
      <c r="T3669">
        <f t="shared" si="418"/>
        <v>1102.91202898551</v>
      </c>
      <c r="U3669">
        <f t="shared" si="414"/>
        <v>2594.4</v>
      </c>
      <c r="V3669">
        <f>U3669*1</f>
        <v>2594.4</v>
      </c>
      <c r="W3669">
        <f t="shared" si="419"/>
        <v>26625.22</v>
      </c>
      <c r="X3669">
        <f t="shared" si="416"/>
        <v>0.120570364069502</v>
      </c>
      <c r="AH3669" t="str">
        <f t="shared" si="420"/>
        <v>3rd Quality</v>
      </c>
      <c r="AJ3669">
        <f>((T3669-X3669)*2)/23.3</f>
        <v>94.660211040467</v>
      </c>
      <c r="AK3669">
        <f t="shared" si="417"/>
        <v>501824.973188406</v>
      </c>
    </row>
    <row r="3670" spans="1:37">
      <c r="A3670" t="s">
        <v>3736</v>
      </c>
      <c r="B3670">
        <v>30</v>
      </c>
      <c r="C3670" t="s">
        <v>44</v>
      </c>
      <c r="D3670" t="s">
        <v>60</v>
      </c>
      <c r="E3670">
        <v>1346</v>
      </c>
      <c r="F3670">
        <v>29</v>
      </c>
      <c r="G3670">
        <v>9</v>
      </c>
      <c r="H3670">
        <v>594.85</v>
      </c>
      <c r="I3670">
        <v>4900.05</v>
      </c>
      <c r="J3670">
        <v>42</v>
      </c>
      <c r="K3670">
        <v>0</v>
      </c>
      <c r="L3670">
        <v>19.4</v>
      </c>
      <c r="M3670">
        <v>37.5</v>
      </c>
      <c r="N3670" t="s">
        <v>81</v>
      </c>
      <c r="O3670" t="s">
        <v>47</v>
      </c>
      <c r="P3670" t="s">
        <v>58</v>
      </c>
      <c r="R3670">
        <f>SUMIF(A3670:A8669,"C03669",I3670:I8669)</f>
        <v>4900.05</v>
      </c>
      <c r="S3670" s="1">
        <v>80446.52</v>
      </c>
      <c r="T3670">
        <f t="shared" si="418"/>
        <v>116.667857142857</v>
      </c>
      <c r="U3670">
        <f t="shared" si="414"/>
        <v>1575</v>
      </c>
      <c r="V3670">
        <f t="shared" si="415"/>
        <v>131.25</v>
      </c>
      <c r="W3670">
        <f t="shared" si="419"/>
        <v>1831.96666666667</v>
      </c>
      <c r="X3670">
        <f t="shared" si="416"/>
        <v>2.26275531646634</v>
      </c>
      <c r="AH3670" t="str">
        <f t="shared" si="420"/>
        <v>3rd Quality</v>
      </c>
      <c r="AJ3670">
        <f>((T3670-X3670)*2)/19.4</f>
        <v>11.7943403944733</v>
      </c>
      <c r="AK3670">
        <f t="shared" si="417"/>
        <v>157034.935714286</v>
      </c>
    </row>
    <row r="3671" spans="1:37">
      <c r="A3671" t="s">
        <v>3737</v>
      </c>
      <c r="B3671">
        <v>32</v>
      </c>
      <c r="C3671" t="s">
        <v>50</v>
      </c>
      <c r="D3671" t="s">
        <v>60</v>
      </c>
      <c r="E3671">
        <v>540</v>
      </c>
      <c r="F3671">
        <v>41</v>
      </c>
      <c r="G3671">
        <v>4</v>
      </c>
      <c r="H3671">
        <v>9249.61</v>
      </c>
      <c r="I3671">
        <v>35921.93</v>
      </c>
      <c r="J3671">
        <v>25</v>
      </c>
      <c r="K3671">
        <v>0</v>
      </c>
      <c r="L3671">
        <v>12.6</v>
      </c>
      <c r="M3671">
        <v>26.7</v>
      </c>
      <c r="N3671" t="s">
        <v>81</v>
      </c>
      <c r="O3671" t="s">
        <v>47</v>
      </c>
      <c r="P3671" t="s">
        <v>58</v>
      </c>
      <c r="R3671">
        <f>SUMIF(A3671:A8670,"C03670",I3671:I8670)</f>
        <v>35921.93</v>
      </c>
      <c r="S3671" s="1">
        <v>15965.54</v>
      </c>
      <c r="T3671">
        <f t="shared" si="418"/>
        <v>1436.8772</v>
      </c>
      <c r="U3671">
        <f t="shared" si="414"/>
        <v>667.5</v>
      </c>
      <c r="V3671">
        <f t="shared" si="415"/>
        <v>55.625</v>
      </c>
      <c r="W3671">
        <f t="shared" si="419"/>
        <v>15057.5133333333</v>
      </c>
      <c r="X3671">
        <f t="shared" si="416"/>
        <v>0.0583808398408149</v>
      </c>
      <c r="AH3671" t="str">
        <f t="shared" si="420"/>
        <v>2nd Quality</v>
      </c>
      <c r="AJ3671">
        <f>((T3671-X3671)*2)/12.6</f>
        <v>228.066479231771</v>
      </c>
      <c r="AK3671">
        <f t="shared" si="417"/>
        <v>775913.688</v>
      </c>
    </row>
    <row r="3672" spans="1:37">
      <c r="A3672" t="s">
        <v>3738</v>
      </c>
      <c r="B3672">
        <v>42</v>
      </c>
      <c r="C3672" t="s">
        <v>50</v>
      </c>
      <c r="D3672" t="s">
        <v>45</v>
      </c>
      <c r="E3672">
        <v>1064</v>
      </c>
      <c r="F3672">
        <v>37</v>
      </c>
      <c r="G3672">
        <v>14</v>
      </c>
      <c r="H3672">
        <v>1548.01</v>
      </c>
      <c r="I3672">
        <v>23964.55</v>
      </c>
      <c r="J3672">
        <v>38</v>
      </c>
      <c r="K3672">
        <v>0</v>
      </c>
      <c r="L3672">
        <v>23.8</v>
      </c>
      <c r="M3672">
        <v>3.8</v>
      </c>
      <c r="N3672" t="s">
        <v>57</v>
      </c>
      <c r="O3672" t="s">
        <v>47</v>
      </c>
      <c r="P3672" t="s">
        <v>58</v>
      </c>
      <c r="R3672">
        <f>SUMIF(A3672:A8671,"C03671",I3672:I8671)</f>
        <v>23964.55</v>
      </c>
      <c r="S3672" s="1">
        <v>5780.89</v>
      </c>
      <c r="T3672">
        <f t="shared" si="418"/>
        <v>630.646052631579</v>
      </c>
      <c r="U3672">
        <f t="shared" si="414"/>
        <v>144.4</v>
      </c>
      <c r="V3672">
        <f t="shared" si="415"/>
        <v>12.0333333333333</v>
      </c>
      <c r="W3672">
        <f t="shared" si="419"/>
        <v>8504.52</v>
      </c>
      <c r="X3672">
        <f t="shared" si="416"/>
        <v>0.687334061149476</v>
      </c>
      <c r="AH3672" t="str">
        <f t="shared" si="420"/>
        <v>2nd Quality</v>
      </c>
      <c r="AJ3672">
        <f>((T3672-X3672)*2)/23.8</f>
        <v>52.9377074428932</v>
      </c>
      <c r="AK3672">
        <f t="shared" si="417"/>
        <v>671007.4</v>
      </c>
    </row>
    <row r="3673" spans="1:37">
      <c r="A3673" t="s">
        <v>3739</v>
      </c>
      <c r="B3673">
        <v>45</v>
      </c>
      <c r="C3673" t="s">
        <v>50</v>
      </c>
      <c r="D3673" t="s">
        <v>60</v>
      </c>
      <c r="E3673">
        <v>678</v>
      </c>
      <c r="F3673">
        <v>24</v>
      </c>
      <c r="G3673">
        <v>8</v>
      </c>
      <c r="H3673">
        <v>10762.85</v>
      </c>
      <c r="I3673">
        <v>80446.52</v>
      </c>
      <c r="J3673">
        <v>61</v>
      </c>
      <c r="K3673">
        <v>1</v>
      </c>
      <c r="L3673">
        <v>0</v>
      </c>
      <c r="M3673">
        <v>42.7</v>
      </c>
      <c r="N3673" t="s">
        <v>61</v>
      </c>
      <c r="O3673" t="s">
        <v>47</v>
      </c>
      <c r="P3673" t="s">
        <v>66</v>
      </c>
      <c r="R3673">
        <f>SUMIF(A3673:A8672,"C03672",I3673:I8672)</f>
        <v>80446.52</v>
      </c>
      <c r="S3673" s="1">
        <v>844.27</v>
      </c>
      <c r="T3673">
        <f t="shared" si="418"/>
        <v>1318.79540983607</v>
      </c>
      <c r="U3673">
        <f t="shared" si="414"/>
        <v>2604.7</v>
      </c>
      <c r="V3673">
        <f>U3673*1</f>
        <v>2604.7</v>
      </c>
      <c r="W3673">
        <f t="shared" si="419"/>
        <v>30403.4566666667</v>
      </c>
      <c r="X3673">
        <f t="shared" si="416"/>
        <v>0.0629944670788871</v>
      </c>
      <c r="AH3673" t="str">
        <f t="shared" si="420"/>
        <v>3rd Quality</v>
      </c>
      <c r="AJ3673">
        <f>((T3673-X3673)*2)</f>
        <v>2637.46483073798</v>
      </c>
      <c r="AK3673">
        <f t="shared" si="417"/>
        <v>894143.287868852</v>
      </c>
    </row>
    <row r="3674" spans="1:37">
      <c r="A3674" t="s">
        <v>3740</v>
      </c>
      <c r="B3674">
        <v>29</v>
      </c>
      <c r="C3674" t="s">
        <v>44</v>
      </c>
      <c r="D3674" t="s">
        <v>51</v>
      </c>
      <c r="E3674">
        <v>787</v>
      </c>
      <c r="F3674">
        <v>30</v>
      </c>
      <c r="G3674">
        <v>12</v>
      </c>
      <c r="H3674">
        <v>1269.03</v>
      </c>
      <c r="I3674">
        <v>15965.54</v>
      </c>
      <c r="J3674">
        <v>57</v>
      </c>
      <c r="K3674">
        <v>3</v>
      </c>
      <c r="L3674">
        <v>21.1</v>
      </c>
      <c r="M3674">
        <v>70.4</v>
      </c>
      <c r="N3674" t="s">
        <v>57</v>
      </c>
      <c r="O3674" t="s">
        <v>47</v>
      </c>
      <c r="P3674" t="s">
        <v>66</v>
      </c>
      <c r="R3674">
        <f>SUMIF(A3674:A8673,"C03673",I3674:I8673)</f>
        <v>15965.54</v>
      </c>
      <c r="S3674" s="1">
        <v>3009.14</v>
      </c>
      <c r="T3674">
        <f t="shared" si="418"/>
        <v>280.097192982456</v>
      </c>
      <c r="U3674">
        <f t="shared" si="414"/>
        <v>4012.8</v>
      </c>
      <c r="V3674">
        <f>U3674*3</f>
        <v>12038.4</v>
      </c>
      <c r="W3674">
        <f t="shared" si="419"/>
        <v>5745.19</v>
      </c>
      <c r="X3674">
        <f t="shared" si="416"/>
        <v>0.620158703891949</v>
      </c>
      <c r="AH3674" t="str">
        <f t="shared" si="420"/>
        <v>3rd Quality</v>
      </c>
      <c r="AJ3674">
        <f>((T3674-X3674)*2)/21.1</f>
        <v>26.4907141496269</v>
      </c>
      <c r="AK3674">
        <f t="shared" si="417"/>
        <v>220436.490877193</v>
      </c>
    </row>
    <row r="3675" spans="1:37">
      <c r="A3675" t="s">
        <v>3741</v>
      </c>
      <c r="B3675">
        <v>37</v>
      </c>
      <c r="C3675" t="s">
        <v>50</v>
      </c>
      <c r="D3675" t="s">
        <v>45</v>
      </c>
      <c r="E3675">
        <v>1116</v>
      </c>
      <c r="F3675">
        <v>41</v>
      </c>
      <c r="G3675">
        <v>5</v>
      </c>
      <c r="H3675">
        <v>1050.41</v>
      </c>
      <c r="I3675">
        <v>5780.89</v>
      </c>
      <c r="J3675">
        <v>20</v>
      </c>
      <c r="K3675">
        <v>0</v>
      </c>
      <c r="L3675">
        <v>24.6</v>
      </c>
      <c r="M3675">
        <v>32.6</v>
      </c>
      <c r="N3675" t="s">
        <v>63</v>
      </c>
      <c r="O3675" t="s">
        <v>53</v>
      </c>
      <c r="P3675" t="s">
        <v>58</v>
      </c>
      <c r="R3675">
        <f>SUMIF(A3675:A8674,"C03674",I3675:I8674)</f>
        <v>5780.89</v>
      </c>
      <c r="S3675" s="1">
        <v>14273.71</v>
      </c>
      <c r="T3675">
        <f t="shared" si="418"/>
        <v>289.0445</v>
      </c>
      <c r="U3675">
        <f t="shared" si="414"/>
        <v>652</v>
      </c>
      <c r="V3675">
        <f t="shared" si="415"/>
        <v>54.3333333333333</v>
      </c>
      <c r="W3675">
        <f t="shared" si="419"/>
        <v>2277.43333333333</v>
      </c>
      <c r="X3675">
        <f t="shared" si="416"/>
        <v>1.06244228444131</v>
      </c>
      <c r="AH3675" t="str">
        <f t="shared" si="420"/>
        <v>3rd Quality</v>
      </c>
      <c r="AJ3675">
        <f>((T3675-X3675)*2)/24.6</f>
        <v>23.4131754240292</v>
      </c>
      <c r="AK3675">
        <f t="shared" si="417"/>
        <v>322573.662</v>
      </c>
    </row>
    <row r="3676" spans="1:37">
      <c r="A3676" t="s">
        <v>3742</v>
      </c>
      <c r="B3676">
        <v>30</v>
      </c>
      <c r="C3676" t="s">
        <v>44</v>
      </c>
      <c r="D3676" t="s">
        <v>60</v>
      </c>
      <c r="E3676">
        <v>1321</v>
      </c>
      <c r="F3676">
        <v>93</v>
      </c>
      <c r="G3676">
        <v>1</v>
      </c>
      <c r="H3676">
        <v>790.23</v>
      </c>
      <c r="I3676">
        <v>844.27</v>
      </c>
      <c r="J3676">
        <v>9</v>
      </c>
      <c r="K3676">
        <v>0</v>
      </c>
      <c r="L3676">
        <v>34</v>
      </c>
      <c r="M3676">
        <v>31.7</v>
      </c>
      <c r="N3676" t="s">
        <v>57</v>
      </c>
      <c r="O3676" t="s">
        <v>75</v>
      </c>
      <c r="P3676" t="s">
        <v>68</v>
      </c>
      <c r="R3676">
        <f>SUMIF(A3676:A8675,"C03675",I3676:I8675)</f>
        <v>844.27</v>
      </c>
      <c r="S3676" s="1">
        <v>74994.96</v>
      </c>
      <c r="T3676">
        <f t="shared" si="418"/>
        <v>93.8077777777778</v>
      </c>
      <c r="U3676">
        <f t="shared" si="414"/>
        <v>285.3</v>
      </c>
      <c r="V3676">
        <f t="shared" si="415"/>
        <v>23.775</v>
      </c>
      <c r="W3676">
        <f t="shared" si="419"/>
        <v>545.166666666667</v>
      </c>
      <c r="X3676">
        <f t="shared" si="416"/>
        <v>1.67166521139415</v>
      </c>
      <c r="AH3676" t="str">
        <f t="shared" si="420"/>
        <v>3rd Quality</v>
      </c>
      <c r="AJ3676">
        <f>((T3676-X3676)*2)/34</f>
        <v>5.41977132743433</v>
      </c>
      <c r="AK3676">
        <f t="shared" si="417"/>
        <v>123920.074444444</v>
      </c>
    </row>
    <row r="3677" spans="1:37">
      <c r="A3677" t="s">
        <v>3743</v>
      </c>
      <c r="B3677">
        <v>21</v>
      </c>
      <c r="C3677" t="s">
        <v>44</v>
      </c>
      <c r="D3677" t="s">
        <v>45</v>
      </c>
      <c r="E3677">
        <v>490</v>
      </c>
      <c r="F3677">
        <v>128</v>
      </c>
      <c r="G3677">
        <v>1</v>
      </c>
      <c r="H3677">
        <v>2717.01</v>
      </c>
      <c r="I3677">
        <v>3009.14</v>
      </c>
      <c r="J3677">
        <v>9</v>
      </c>
      <c r="K3677">
        <v>0</v>
      </c>
      <c r="L3677">
        <v>4.5</v>
      </c>
      <c r="M3677">
        <v>7.6</v>
      </c>
      <c r="N3677" t="s">
        <v>52</v>
      </c>
      <c r="O3677" t="s">
        <v>47</v>
      </c>
      <c r="P3677" t="s">
        <v>58</v>
      </c>
      <c r="R3677">
        <f>SUMIF(A3677:A8676,"C03676",I3677:I8676)</f>
        <v>3009.14</v>
      </c>
      <c r="S3677" s="1">
        <v>19174.63</v>
      </c>
      <c r="T3677">
        <f t="shared" si="418"/>
        <v>334.348888888889</v>
      </c>
      <c r="U3677">
        <f t="shared" si="414"/>
        <v>68.4</v>
      </c>
      <c r="V3677">
        <f t="shared" si="415"/>
        <v>5.7</v>
      </c>
      <c r="W3677">
        <f t="shared" si="419"/>
        <v>1909.05</v>
      </c>
      <c r="X3677">
        <f t="shared" si="416"/>
        <v>0.180345306053345</v>
      </c>
      <c r="AH3677" t="str">
        <f t="shared" si="420"/>
        <v>3rd Quality</v>
      </c>
      <c r="AJ3677">
        <f>((T3677-X3677)*2)/4.5</f>
        <v>148.519352703482</v>
      </c>
      <c r="AK3677">
        <f t="shared" si="417"/>
        <v>163830.955555556</v>
      </c>
    </row>
    <row r="3678" spans="1:37">
      <c r="A3678" t="s">
        <v>3744</v>
      </c>
      <c r="B3678">
        <v>20</v>
      </c>
      <c r="C3678" t="s">
        <v>44</v>
      </c>
      <c r="D3678" t="s">
        <v>60</v>
      </c>
      <c r="E3678">
        <v>942</v>
      </c>
      <c r="F3678">
        <v>41</v>
      </c>
      <c r="G3678">
        <v>12</v>
      </c>
      <c r="H3678">
        <v>1074.99</v>
      </c>
      <c r="I3678">
        <v>14273.71</v>
      </c>
      <c r="J3678">
        <v>31</v>
      </c>
      <c r="K3678">
        <v>0</v>
      </c>
      <c r="L3678">
        <v>15.2</v>
      </c>
      <c r="M3678">
        <v>11.3</v>
      </c>
      <c r="N3678" t="s">
        <v>63</v>
      </c>
      <c r="O3678" t="s">
        <v>47</v>
      </c>
      <c r="P3678" t="s">
        <v>58</v>
      </c>
      <c r="R3678">
        <f>SUMIF(A3678:A8677,"C03677",I3678:I8677)</f>
        <v>14273.71</v>
      </c>
      <c r="S3678" s="1">
        <v>39011.79</v>
      </c>
      <c r="T3678">
        <f t="shared" si="418"/>
        <v>460.442258064516</v>
      </c>
      <c r="U3678">
        <f t="shared" si="414"/>
        <v>350.3</v>
      </c>
      <c r="V3678">
        <f t="shared" si="415"/>
        <v>29.1916666666667</v>
      </c>
      <c r="W3678">
        <f t="shared" si="419"/>
        <v>5116.56666666667</v>
      </c>
      <c r="X3678">
        <f t="shared" si="416"/>
        <v>0.876287221276477</v>
      </c>
      <c r="AH3678" t="str">
        <f t="shared" si="420"/>
        <v>3rd Quality</v>
      </c>
      <c r="AJ3678">
        <f>((T3678-X3678)*2)/15.2</f>
        <v>60.4692066898999</v>
      </c>
      <c r="AK3678">
        <f t="shared" si="417"/>
        <v>433736.607096774</v>
      </c>
    </row>
    <row r="3679" spans="1:37">
      <c r="A3679" t="s">
        <v>3745</v>
      </c>
      <c r="B3679">
        <v>41</v>
      </c>
      <c r="C3679" t="s">
        <v>44</v>
      </c>
      <c r="D3679" t="s">
        <v>60</v>
      </c>
      <c r="E3679">
        <v>519</v>
      </c>
      <c r="F3679">
        <v>39</v>
      </c>
      <c r="G3679">
        <v>6</v>
      </c>
      <c r="H3679">
        <v>13776.63</v>
      </c>
      <c r="I3679">
        <v>74994.96</v>
      </c>
      <c r="J3679">
        <v>47</v>
      </c>
      <c r="K3679">
        <v>0</v>
      </c>
      <c r="L3679">
        <v>8.2</v>
      </c>
      <c r="M3679">
        <v>66.6</v>
      </c>
      <c r="N3679" t="s">
        <v>57</v>
      </c>
      <c r="O3679" t="s">
        <v>47</v>
      </c>
      <c r="P3679" t="s">
        <v>58</v>
      </c>
      <c r="R3679">
        <f>SUMIF(A3679:A8678,"C03678",I3679:I8678)</f>
        <v>74994.96</v>
      </c>
      <c r="S3679" s="1">
        <v>2535.32</v>
      </c>
      <c r="T3679">
        <f t="shared" si="418"/>
        <v>1595.63744680851</v>
      </c>
      <c r="U3679">
        <f t="shared" si="414"/>
        <v>3130.2</v>
      </c>
      <c r="V3679">
        <f t="shared" si="415"/>
        <v>260.85</v>
      </c>
      <c r="W3679">
        <f t="shared" si="419"/>
        <v>29590.8633333333</v>
      </c>
      <c r="X3679">
        <f t="shared" si="416"/>
        <v>0.0376724932004416</v>
      </c>
      <c r="AH3679" t="str">
        <f t="shared" si="420"/>
        <v>2nd Quality</v>
      </c>
      <c r="AJ3679">
        <f>((T3679-X3679)*2)/8.2</f>
        <v>389.170676662271</v>
      </c>
      <c r="AK3679">
        <f t="shared" si="417"/>
        <v>828135.834893617</v>
      </c>
    </row>
    <row r="3680" spans="1:37">
      <c r="A3680" t="s">
        <v>3746</v>
      </c>
      <c r="B3680">
        <v>43</v>
      </c>
      <c r="C3680" t="s">
        <v>50</v>
      </c>
      <c r="D3680" t="s">
        <v>60</v>
      </c>
      <c r="E3680">
        <v>589</v>
      </c>
      <c r="F3680">
        <v>42</v>
      </c>
      <c r="G3680">
        <v>9</v>
      </c>
      <c r="H3680">
        <v>2079.77</v>
      </c>
      <c r="I3680">
        <v>19174.63</v>
      </c>
      <c r="J3680">
        <v>64</v>
      </c>
      <c r="K3680">
        <v>1</v>
      </c>
      <c r="L3680">
        <v>15.4</v>
      </c>
      <c r="M3680">
        <v>59.5</v>
      </c>
      <c r="N3680" t="s">
        <v>63</v>
      </c>
      <c r="O3680" t="s">
        <v>47</v>
      </c>
      <c r="P3680" t="s">
        <v>66</v>
      </c>
      <c r="R3680">
        <f>SUMIF(A3680:A8679,"C03679",I3680:I8679)</f>
        <v>19174.63</v>
      </c>
      <c r="S3680" s="1">
        <v>63056.07</v>
      </c>
      <c r="T3680">
        <f t="shared" si="418"/>
        <v>299.60359375</v>
      </c>
      <c r="U3680">
        <f t="shared" si="414"/>
        <v>3808</v>
      </c>
      <c r="V3680">
        <f>U3680*1</f>
        <v>3808</v>
      </c>
      <c r="W3680">
        <f t="shared" si="419"/>
        <v>7085.13333333333</v>
      </c>
      <c r="X3680">
        <f t="shared" si="416"/>
        <v>0.283204392793434</v>
      </c>
      <c r="AH3680" t="str">
        <f t="shared" si="420"/>
        <v>2nd Quality</v>
      </c>
      <c r="AJ3680">
        <f>((T3680-X3680)*2)/15.4</f>
        <v>38.8727778385983</v>
      </c>
      <c r="AK3680">
        <f t="shared" si="417"/>
        <v>176466.51671875</v>
      </c>
    </row>
    <row r="3681" spans="1:37">
      <c r="A3681" t="s">
        <v>3747</v>
      </c>
      <c r="B3681">
        <v>18</v>
      </c>
      <c r="C3681" t="s">
        <v>56</v>
      </c>
      <c r="D3681" t="s">
        <v>51</v>
      </c>
      <c r="E3681">
        <v>1147</v>
      </c>
      <c r="F3681">
        <v>18</v>
      </c>
      <c r="G3681">
        <v>24</v>
      </c>
      <c r="H3681">
        <v>1654.52</v>
      </c>
      <c r="I3681">
        <v>39011.79</v>
      </c>
      <c r="J3681">
        <v>56</v>
      </c>
      <c r="K3681">
        <v>0</v>
      </c>
      <c r="L3681">
        <v>17.5</v>
      </c>
      <c r="M3681">
        <v>74.2</v>
      </c>
      <c r="N3681" t="s">
        <v>46</v>
      </c>
      <c r="O3681" t="s">
        <v>47</v>
      </c>
      <c r="P3681" t="s">
        <v>68</v>
      </c>
      <c r="R3681">
        <f>SUMIF(A3681:A8680,"C03680",I3681:I8680)</f>
        <v>39011.79</v>
      </c>
      <c r="S3681" s="1">
        <v>8595.39</v>
      </c>
      <c r="T3681">
        <f t="shared" si="418"/>
        <v>696.639107142857</v>
      </c>
      <c r="U3681">
        <f t="shared" si="414"/>
        <v>4155.2</v>
      </c>
      <c r="V3681">
        <f t="shared" si="415"/>
        <v>346.266666666667</v>
      </c>
      <c r="W3681">
        <f t="shared" si="419"/>
        <v>13555.77</v>
      </c>
      <c r="X3681">
        <f t="shared" si="416"/>
        <v>0.693252423663661</v>
      </c>
      <c r="AH3681" t="str">
        <f t="shared" si="420"/>
        <v>1st Quality</v>
      </c>
      <c r="AJ3681">
        <f>((T3681-X3681)*2)/17.5</f>
        <v>79.5366691107649</v>
      </c>
      <c r="AK3681">
        <f t="shared" si="417"/>
        <v>799045.055892857</v>
      </c>
    </row>
    <row r="3682" spans="1:37">
      <c r="A3682" t="s">
        <v>3748</v>
      </c>
      <c r="B3682">
        <v>38</v>
      </c>
      <c r="C3682" t="s">
        <v>50</v>
      </c>
      <c r="D3682" t="s">
        <v>60</v>
      </c>
      <c r="E3682">
        <v>402</v>
      </c>
      <c r="F3682">
        <v>53</v>
      </c>
      <c r="G3682">
        <v>3</v>
      </c>
      <c r="H3682">
        <v>809.6</v>
      </c>
      <c r="I3682">
        <v>2535.32</v>
      </c>
      <c r="J3682">
        <v>29</v>
      </c>
      <c r="K3682">
        <v>0</v>
      </c>
      <c r="L3682">
        <v>28.6</v>
      </c>
      <c r="M3682">
        <v>48.4</v>
      </c>
      <c r="N3682" t="s">
        <v>61</v>
      </c>
      <c r="O3682" t="s">
        <v>75</v>
      </c>
      <c r="P3682" t="s">
        <v>48</v>
      </c>
      <c r="R3682">
        <f>SUMIF(A3682:A8681,"C03681",I3682:I8681)</f>
        <v>2535.32</v>
      </c>
      <c r="S3682" s="1">
        <v>19553.56</v>
      </c>
      <c r="T3682">
        <f t="shared" si="418"/>
        <v>87.4248275862069</v>
      </c>
      <c r="U3682">
        <f t="shared" ref="U3682:U3745" si="421">J3682*M3682</f>
        <v>1403.6</v>
      </c>
      <c r="V3682">
        <f t="shared" si="415"/>
        <v>116.966666666667</v>
      </c>
      <c r="W3682">
        <f t="shared" si="419"/>
        <v>1115.30666666667</v>
      </c>
      <c r="X3682">
        <f t="shared" si="416"/>
        <v>0.496541501976285</v>
      </c>
      <c r="AH3682" t="str">
        <f t="shared" si="420"/>
        <v>3rd Quality</v>
      </c>
      <c r="AJ3682">
        <f>((T3682-X3682)*2)/28.6</f>
        <v>6.07890112477137</v>
      </c>
      <c r="AK3682">
        <f t="shared" si="417"/>
        <v>35144.7806896552</v>
      </c>
    </row>
    <row r="3683" spans="1:37">
      <c r="A3683" t="s">
        <v>3749</v>
      </c>
      <c r="B3683">
        <v>47</v>
      </c>
      <c r="C3683" t="s">
        <v>50</v>
      </c>
      <c r="D3683" t="s">
        <v>45</v>
      </c>
      <c r="E3683">
        <v>650</v>
      </c>
      <c r="F3683">
        <v>5</v>
      </c>
      <c r="G3683">
        <v>27</v>
      </c>
      <c r="H3683">
        <v>2206.94</v>
      </c>
      <c r="I3683">
        <v>63056.07</v>
      </c>
      <c r="J3683">
        <v>149</v>
      </c>
      <c r="K3683">
        <v>1</v>
      </c>
      <c r="L3683">
        <v>12.4</v>
      </c>
      <c r="M3683">
        <v>55.6</v>
      </c>
      <c r="N3683" t="s">
        <v>57</v>
      </c>
      <c r="O3683" t="s">
        <v>75</v>
      </c>
      <c r="P3683" t="s">
        <v>58</v>
      </c>
      <c r="R3683">
        <f>SUMIF(A3683:A8682,"C03682",I3683:I8682)</f>
        <v>63056.07</v>
      </c>
      <c r="S3683" s="1">
        <v>112412.9</v>
      </c>
      <c r="T3683">
        <f t="shared" si="418"/>
        <v>423.195100671141</v>
      </c>
      <c r="U3683">
        <f t="shared" si="421"/>
        <v>8284.4</v>
      </c>
      <c r="V3683">
        <f>U3683*1</f>
        <v>8284.4</v>
      </c>
      <c r="W3683">
        <f t="shared" si="419"/>
        <v>21754.67</v>
      </c>
      <c r="X3683">
        <f t="shared" si="416"/>
        <v>0.294525451530173</v>
      </c>
      <c r="AH3683" t="str">
        <f t="shared" si="420"/>
        <v>3rd Quality</v>
      </c>
      <c r="AJ3683">
        <f>((T3683-X3683)*2)/12.4</f>
        <v>68.2097701967114</v>
      </c>
      <c r="AK3683">
        <f t="shared" si="417"/>
        <v>275076.815436242</v>
      </c>
    </row>
    <row r="3684" spans="1:37">
      <c r="A3684" t="s">
        <v>3750</v>
      </c>
      <c r="B3684">
        <v>43</v>
      </c>
      <c r="C3684" t="s">
        <v>44</v>
      </c>
      <c r="D3684" t="s">
        <v>60</v>
      </c>
      <c r="E3684">
        <v>978</v>
      </c>
      <c r="F3684">
        <v>87</v>
      </c>
      <c r="G3684">
        <v>12</v>
      </c>
      <c r="H3684">
        <v>762.93</v>
      </c>
      <c r="I3684">
        <v>8595.39</v>
      </c>
      <c r="J3684">
        <v>43</v>
      </c>
      <c r="K3684">
        <v>3</v>
      </c>
      <c r="L3684">
        <v>31.1</v>
      </c>
      <c r="M3684">
        <v>36.9</v>
      </c>
      <c r="N3684" t="s">
        <v>63</v>
      </c>
      <c r="O3684" t="s">
        <v>47</v>
      </c>
      <c r="P3684" t="s">
        <v>54</v>
      </c>
      <c r="R3684">
        <f>SUMIF(A3684:A8683,"C03683",I3684:I8683)</f>
        <v>8595.39</v>
      </c>
      <c r="S3684" s="1">
        <v>77070.01</v>
      </c>
      <c r="T3684">
        <f t="shared" si="418"/>
        <v>199.892790697674</v>
      </c>
      <c r="U3684">
        <f t="shared" si="421"/>
        <v>1586.7</v>
      </c>
      <c r="V3684">
        <f>U3684*3</f>
        <v>4760.1</v>
      </c>
      <c r="W3684">
        <f t="shared" si="419"/>
        <v>3119.77333333333</v>
      </c>
      <c r="X3684">
        <f t="shared" si="416"/>
        <v>1.2819000432543</v>
      </c>
      <c r="AH3684" t="str">
        <f t="shared" si="420"/>
        <v>3rd Quality</v>
      </c>
      <c r="AJ3684">
        <f>((T3684-X3684)*2)/31.1</f>
        <v>12.7724045436926</v>
      </c>
      <c r="AK3684">
        <f t="shared" si="417"/>
        <v>195495.149302326</v>
      </c>
    </row>
    <row r="3685" spans="1:37">
      <c r="A3685" t="s">
        <v>3751</v>
      </c>
      <c r="B3685">
        <v>26</v>
      </c>
      <c r="C3685" t="s">
        <v>44</v>
      </c>
      <c r="D3685" t="s">
        <v>45</v>
      </c>
      <c r="E3685">
        <v>605</v>
      </c>
      <c r="F3685">
        <v>16</v>
      </c>
      <c r="G3685">
        <v>10</v>
      </c>
      <c r="H3685">
        <v>1824.08</v>
      </c>
      <c r="I3685">
        <v>19553.56</v>
      </c>
      <c r="J3685">
        <v>59</v>
      </c>
      <c r="K3685">
        <v>0</v>
      </c>
      <c r="L3685">
        <v>13.5</v>
      </c>
      <c r="M3685">
        <v>58.9</v>
      </c>
      <c r="N3685" t="s">
        <v>52</v>
      </c>
      <c r="O3685" t="s">
        <v>47</v>
      </c>
      <c r="P3685" t="s">
        <v>68</v>
      </c>
      <c r="R3685">
        <f>SUMIF(A3685:A8684,"C03684",I3685:I8684)</f>
        <v>19553.56</v>
      </c>
      <c r="S3685" s="1">
        <v>8781.94</v>
      </c>
      <c r="T3685">
        <f t="shared" si="418"/>
        <v>331.416271186441</v>
      </c>
      <c r="U3685">
        <f t="shared" si="421"/>
        <v>3475.1</v>
      </c>
      <c r="V3685">
        <f t="shared" si="415"/>
        <v>289.591666666667</v>
      </c>
      <c r="W3685">
        <f t="shared" si="419"/>
        <v>7126.21333333333</v>
      </c>
      <c r="X3685">
        <f t="shared" si="416"/>
        <v>0.331674049383799</v>
      </c>
      <c r="AH3685" t="str">
        <f t="shared" si="420"/>
        <v>2nd Quality</v>
      </c>
      <c r="AJ3685">
        <f>((T3685-X3685)*2)/13.5</f>
        <v>49.0495699462307</v>
      </c>
      <c r="AK3685">
        <f t="shared" si="417"/>
        <v>200506.844067797</v>
      </c>
    </row>
    <row r="3686" spans="1:37">
      <c r="A3686" t="s">
        <v>3752</v>
      </c>
      <c r="B3686">
        <v>36</v>
      </c>
      <c r="C3686" t="s">
        <v>50</v>
      </c>
      <c r="D3686" t="s">
        <v>51</v>
      </c>
      <c r="E3686">
        <v>790</v>
      </c>
      <c r="F3686">
        <v>7</v>
      </c>
      <c r="G3686">
        <v>30</v>
      </c>
      <c r="H3686">
        <v>3830.57</v>
      </c>
      <c r="I3686">
        <v>112412.9</v>
      </c>
      <c r="J3686">
        <v>249</v>
      </c>
      <c r="K3686">
        <v>2</v>
      </c>
      <c r="L3686">
        <v>12.2</v>
      </c>
      <c r="M3686">
        <v>59.3</v>
      </c>
      <c r="N3686" t="s">
        <v>61</v>
      </c>
      <c r="O3686" t="s">
        <v>53</v>
      </c>
      <c r="P3686" t="s">
        <v>58</v>
      </c>
      <c r="R3686">
        <f>SUMIF(A3686:A8685,"C03685",I3686:I8685)</f>
        <v>112412.9</v>
      </c>
      <c r="S3686" s="1">
        <v>1773.53</v>
      </c>
      <c r="T3686">
        <f t="shared" si="418"/>
        <v>451.457429718875</v>
      </c>
      <c r="U3686">
        <f t="shared" si="421"/>
        <v>14765.7</v>
      </c>
      <c r="V3686">
        <f>U3686*2</f>
        <v>29531.4</v>
      </c>
      <c r="W3686">
        <f t="shared" si="419"/>
        <v>38748.1566666667</v>
      </c>
      <c r="X3686">
        <f t="shared" si="416"/>
        <v>0.206235625507431</v>
      </c>
      <c r="AH3686" t="str">
        <f t="shared" si="420"/>
        <v>2nd Quality</v>
      </c>
      <c r="AJ3686">
        <f>((T3686-X3686)*2)/12.2</f>
        <v>73.9756055890767</v>
      </c>
      <c r="AK3686">
        <f t="shared" si="417"/>
        <v>356651.369477912</v>
      </c>
    </row>
    <row r="3687" spans="1:37">
      <c r="A3687" t="s">
        <v>3753</v>
      </c>
      <c r="B3687">
        <v>35</v>
      </c>
      <c r="C3687" t="s">
        <v>44</v>
      </c>
      <c r="D3687" t="s">
        <v>45</v>
      </c>
      <c r="E3687">
        <v>1005</v>
      </c>
      <c r="F3687">
        <v>1</v>
      </c>
      <c r="G3687">
        <v>21</v>
      </c>
      <c r="H3687">
        <v>3536.95</v>
      </c>
      <c r="I3687">
        <v>77070.01</v>
      </c>
      <c r="J3687">
        <v>43</v>
      </c>
      <c r="K3687">
        <v>1</v>
      </c>
      <c r="L3687">
        <v>9.9</v>
      </c>
      <c r="M3687">
        <v>42</v>
      </c>
      <c r="N3687" t="s">
        <v>57</v>
      </c>
      <c r="O3687" t="s">
        <v>47</v>
      </c>
      <c r="P3687" t="s">
        <v>68</v>
      </c>
      <c r="R3687">
        <f>SUMIF(A3687:A8686,"C03686",I3687:I8686)</f>
        <v>77070.01</v>
      </c>
      <c r="S3687" s="1">
        <v>24169.61</v>
      </c>
      <c r="T3687">
        <f t="shared" ref="T3687:T3750" si="422">I3687/J3687</f>
        <v>1792.32581395349</v>
      </c>
      <c r="U3687">
        <f t="shared" si="421"/>
        <v>1806</v>
      </c>
      <c r="V3687">
        <f>U3687*1</f>
        <v>1806</v>
      </c>
      <c r="W3687">
        <f t="shared" si="419"/>
        <v>26869.32</v>
      </c>
      <c r="X3687">
        <f t="shared" si="416"/>
        <v>0.284143117657869</v>
      </c>
      <c r="AH3687" t="str">
        <f t="shared" si="420"/>
        <v>2nd Quality</v>
      </c>
      <c r="AJ3687">
        <f>((T3687-X3687)*2)/9.9</f>
        <v>362.028620370875</v>
      </c>
      <c r="AK3687">
        <f t="shared" si="417"/>
        <v>1801287.44302326</v>
      </c>
    </row>
    <row r="3688" spans="1:37">
      <c r="A3688" t="s">
        <v>3754</v>
      </c>
      <c r="B3688">
        <v>25</v>
      </c>
      <c r="C3688" t="s">
        <v>50</v>
      </c>
      <c r="D3688" t="s">
        <v>60</v>
      </c>
      <c r="E3688">
        <v>1353</v>
      </c>
      <c r="F3688">
        <v>10</v>
      </c>
      <c r="G3688">
        <v>10</v>
      </c>
      <c r="H3688">
        <v>893.7</v>
      </c>
      <c r="I3688">
        <v>8781.94</v>
      </c>
      <c r="J3688">
        <v>61</v>
      </c>
      <c r="K3688">
        <v>4</v>
      </c>
      <c r="L3688">
        <v>23.2</v>
      </c>
      <c r="M3688">
        <v>8.6</v>
      </c>
      <c r="N3688" t="s">
        <v>57</v>
      </c>
      <c r="O3688" t="s">
        <v>47</v>
      </c>
      <c r="P3688" t="s">
        <v>48</v>
      </c>
      <c r="R3688">
        <f>SUMIF(A3688:A8687,"C03687",I3688:I8687)</f>
        <v>8781.94</v>
      </c>
      <c r="S3688" s="1">
        <v>14042.02</v>
      </c>
      <c r="T3688">
        <f t="shared" si="422"/>
        <v>143.966229508197</v>
      </c>
      <c r="U3688">
        <f t="shared" si="421"/>
        <v>524.6</v>
      </c>
      <c r="V3688">
        <f>U3688*4</f>
        <v>2098.4</v>
      </c>
      <c r="W3688">
        <f t="shared" si="419"/>
        <v>3225.54666666667</v>
      </c>
      <c r="X3688">
        <f t="shared" si="416"/>
        <v>1.51393084927828</v>
      </c>
      <c r="AH3688" t="str">
        <f t="shared" si="420"/>
        <v>3rd Quality</v>
      </c>
      <c r="AJ3688">
        <f>((T3688-X3688)*2)/23.2</f>
        <v>12.2803705740447</v>
      </c>
      <c r="AK3688">
        <f t="shared" si="417"/>
        <v>194786.30852459</v>
      </c>
    </row>
    <row r="3689" spans="1:37">
      <c r="A3689" t="s">
        <v>3755</v>
      </c>
      <c r="B3689">
        <v>48</v>
      </c>
      <c r="C3689" t="s">
        <v>44</v>
      </c>
      <c r="D3689" t="s">
        <v>60</v>
      </c>
      <c r="E3689">
        <v>455</v>
      </c>
      <c r="F3689">
        <v>143</v>
      </c>
      <c r="G3689">
        <v>1</v>
      </c>
      <c r="H3689">
        <v>1841.54</v>
      </c>
      <c r="I3689">
        <v>1773.53</v>
      </c>
      <c r="J3689">
        <v>12</v>
      </c>
      <c r="K3689">
        <v>0</v>
      </c>
      <c r="L3689">
        <v>15.4</v>
      </c>
      <c r="M3689">
        <v>46.7</v>
      </c>
      <c r="N3689" t="s">
        <v>63</v>
      </c>
      <c r="O3689" t="s">
        <v>47</v>
      </c>
      <c r="P3689" t="s">
        <v>58</v>
      </c>
      <c r="R3689">
        <f>SUMIF(A3689:A8688,"C03688",I3689:I8688)</f>
        <v>1773.53</v>
      </c>
      <c r="S3689" s="1">
        <v>59388.94</v>
      </c>
      <c r="T3689">
        <f t="shared" si="422"/>
        <v>147.794166666667</v>
      </c>
      <c r="U3689">
        <f t="shared" si="421"/>
        <v>560.4</v>
      </c>
      <c r="V3689">
        <f t="shared" si="415"/>
        <v>46.7</v>
      </c>
      <c r="W3689">
        <f t="shared" si="419"/>
        <v>1205.35666666667</v>
      </c>
      <c r="X3689">
        <f t="shared" si="416"/>
        <v>0.247075816979267</v>
      </c>
      <c r="AH3689" t="str">
        <f t="shared" si="420"/>
        <v>3rd Quality</v>
      </c>
      <c r="AJ3689">
        <f>((T3689-X3689)*2)/16</f>
        <v>18.443386356211</v>
      </c>
      <c r="AK3689">
        <f t="shared" si="417"/>
        <v>67246.3458333333</v>
      </c>
    </row>
    <row r="3690" spans="1:37">
      <c r="A3690" t="s">
        <v>3756</v>
      </c>
      <c r="B3690">
        <v>39</v>
      </c>
      <c r="C3690" t="s">
        <v>50</v>
      </c>
      <c r="D3690" t="s">
        <v>51</v>
      </c>
      <c r="E3690">
        <v>923</v>
      </c>
      <c r="F3690">
        <v>19</v>
      </c>
      <c r="G3690">
        <v>4</v>
      </c>
      <c r="H3690">
        <v>5773.72</v>
      </c>
      <c r="I3690">
        <v>24169.61</v>
      </c>
      <c r="J3690">
        <v>20</v>
      </c>
      <c r="K3690">
        <v>1</v>
      </c>
      <c r="L3690">
        <v>7.1</v>
      </c>
      <c r="M3690">
        <v>45.3</v>
      </c>
      <c r="N3690" t="s">
        <v>46</v>
      </c>
      <c r="O3690" t="s">
        <v>53</v>
      </c>
      <c r="P3690" t="s">
        <v>58</v>
      </c>
      <c r="R3690">
        <f>SUMIF(A3690:A8689,"C03689",I3690:I8689)</f>
        <v>24169.61</v>
      </c>
      <c r="S3690" s="1">
        <v>45403.68</v>
      </c>
      <c r="T3690">
        <f t="shared" si="422"/>
        <v>1208.4805</v>
      </c>
      <c r="U3690">
        <f t="shared" si="421"/>
        <v>906</v>
      </c>
      <c r="V3690">
        <f>U3690*1</f>
        <v>906</v>
      </c>
      <c r="W3690">
        <f t="shared" si="419"/>
        <v>9981.44333333333</v>
      </c>
      <c r="X3690">
        <f t="shared" si="416"/>
        <v>0.159862272503689</v>
      </c>
      <c r="AH3690" t="str">
        <f t="shared" si="420"/>
        <v>2nd Quality</v>
      </c>
      <c r="AJ3690">
        <f>((T3690-X3690)*2)/71</f>
        <v>34.0372010627464</v>
      </c>
      <c r="AK3690">
        <f t="shared" si="417"/>
        <v>1115427.5015</v>
      </c>
    </row>
    <row r="3691" spans="1:37">
      <c r="A3691" t="s">
        <v>3757</v>
      </c>
      <c r="B3691">
        <v>57</v>
      </c>
      <c r="C3691" t="s">
        <v>50</v>
      </c>
      <c r="D3691" t="s">
        <v>60</v>
      </c>
      <c r="E3691">
        <v>1056</v>
      </c>
      <c r="F3691">
        <v>28</v>
      </c>
      <c r="G3691">
        <v>10</v>
      </c>
      <c r="H3691">
        <v>1390.22</v>
      </c>
      <c r="I3691">
        <v>14042.02</v>
      </c>
      <c r="J3691">
        <v>67</v>
      </c>
      <c r="K3691">
        <v>0</v>
      </c>
      <c r="L3691">
        <v>1.5</v>
      </c>
      <c r="M3691">
        <v>24.9</v>
      </c>
      <c r="N3691" t="s">
        <v>81</v>
      </c>
      <c r="O3691" t="s">
        <v>75</v>
      </c>
      <c r="P3691" t="s">
        <v>58</v>
      </c>
      <c r="R3691">
        <f>SUMIF(A3691:A8690,"C03690",I3691:I8690)</f>
        <v>14042.02</v>
      </c>
      <c r="S3691" s="1">
        <v>48543.16</v>
      </c>
      <c r="T3691">
        <f t="shared" si="422"/>
        <v>209.582388059701</v>
      </c>
      <c r="U3691">
        <f t="shared" si="421"/>
        <v>1668.3</v>
      </c>
      <c r="V3691">
        <f t="shared" si="415"/>
        <v>139.025</v>
      </c>
      <c r="W3691">
        <f t="shared" si="419"/>
        <v>5144.41333333333</v>
      </c>
      <c r="X3691">
        <f t="shared" si="416"/>
        <v>0.759592007020472</v>
      </c>
      <c r="AH3691" t="str">
        <f t="shared" si="420"/>
        <v>3rd Quality</v>
      </c>
      <c r="AJ3691">
        <f>((T3691-X3691)*2)/1.5</f>
        <v>278.430394736907</v>
      </c>
      <c r="AK3691">
        <f t="shared" si="417"/>
        <v>221319.001791045</v>
      </c>
    </row>
    <row r="3692" spans="1:37">
      <c r="A3692" t="s">
        <v>3758</v>
      </c>
      <c r="B3692">
        <v>24</v>
      </c>
      <c r="C3692" t="s">
        <v>44</v>
      </c>
      <c r="D3692" t="s">
        <v>60</v>
      </c>
      <c r="E3692">
        <v>892</v>
      </c>
      <c r="F3692">
        <v>29</v>
      </c>
      <c r="G3692">
        <v>22</v>
      </c>
      <c r="H3692">
        <v>2488.7</v>
      </c>
      <c r="I3692">
        <v>59388.94</v>
      </c>
      <c r="J3692">
        <v>139</v>
      </c>
      <c r="K3692">
        <v>0</v>
      </c>
      <c r="L3692">
        <v>17.7</v>
      </c>
      <c r="M3692">
        <v>69</v>
      </c>
      <c r="N3692" t="s">
        <v>52</v>
      </c>
      <c r="O3692" t="s">
        <v>47</v>
      </c>
      <c r="P3692" t="s">
        <v>66</v>
      </c>
      <c r="R3692">
        <f>SUMIF(A3692:A8691,"C03691",I3692:I8691)</f>
        <v>59388.94</v>
      </c>
      <c r="S3692" s="1">
        <v>22068.35</v>
      </c>
      <c r="T3692">
        <f t="shared" si="422"/>
        <v>427.258561151079</v>
      </c>
      <c r="U3692">
        <f t="shared" si="421"/>
        <v>9591</v>
      </c>
      <c r="V3692">
        <f t="shared" si="415"/>
        <v>799.25</v>
      </c>
      <c r="W3692">
        <f t="shared" si="419"/>
        <v>20626.2133333333</v>
      </c>
      <c r="X3692">
        <f t="shared" si="416"/>
        <v>0.358420058665167</v>
      </c>
      <c r="AH3692" t="str">
        <f t="shared" si="420"/>
        <v>2nd Quality</v>
      </c>
      <c r="AJ3692">
        <f>((T3692-X3692)*2)/17.7</f>
        <v>48.2373040782389</v>
      </c>
      <c r="AK3692">
        <f t="shared" si="417"/>
        <v>381114.636546763</v>
      </c>
    </row>
    <row r="3693" spans="1:37">
      <c r="A3693" t="s">
        <v>3759</v>
      </c>
      <c r="B3693">
        <v>35</v>
      </c>
      <c r="C3693" t="s">
        <v>50</v>
      </c>
      <c r="D3693" t="s">
        <v>60</v>
      </c>
      <c r="E3693">
        <v>390</v>
      </c>
      <c r="F3693">
        <v>4</v>
      </c>
      <c r="G3693">
        <v>3</v>
      </c>
      <c r="H3693">
        <v>14162.42</v>
      </c>
      <c r="I3693">
        <v>45403.68</v>
      </c>
      <c r="J3693">
        <v>23</v>
      </c>
      <c r="K3693">
        <v>0</v>
      </c>
      <c r="L3693">
        <v>0</v>
      </c>
      <c r="M3693">
        <v>13.6</v>
      </c>
      <c r="N3693" t="s">
        <v>46</v>
      </c>
      <c r="O3693" t="s">
        <v>47</v>
      </c>
      <c r="P3693" t="s">
        <v>58</v>
      </c>
      <c r="R3693">
        <f>SUMIF(A3693:A8692,"C03692",I3693:I8692)</f>
        <v>45403.68</v>
      </c>
      <c r="S3693" s="1">
        <v>2043.48</v>
      </c>
      <c r="T3693">
        <f t="shared" si="422"/>
        <v>1974.07304347826</v>
      </c>
      <c r="U3693">
        <f t="shared" si="421"/>
        <v>312.8</v>
      </c>
      <c r="V3693">
        <f t="shared" si="415"/>
        <v>26.0666666666667</v>
      </c>
      <c r="W3693">
        <f t="shared" si="419"/>
        <v>19855.7</v>
      </c>
      <c r="X3693">
        <f t="shared" si="416"/>
        <v>0.0275376665852305</v>
      </c>
      <c r="AH3693" t="str">
        <f t="shared" si="420"/>
        <v>3rd Quality</v>
      </c>
      <c r="AJ3693">
        <f>((T3693-X3693)*2)</f>
        <v>3948.09101162335</v>
      </c>
      <c r="AK3693">
        <f t="shared" si="417"/>
        <v>769888.486956522</v>
      </c>
    </row>
    <row r="3694" spans="1:37">
      <c r="A3694" t="s">
        <v>3760</v>
      </c>
      <c r="B3694">
        <v>46</v>
      </c>
      <c r="C3694" t="s">
        <v>50</v>
      </c>
      <c r="D3694" t="s">
        <v>51</v>
      </c>
      <c r="E3694">
        <v>1200</v>
      </c>
      <c r="F3694">
        <v>9</v>
      </c>
      <c r="G3694">
        <v>16</v>
      </c>
      <c r="H3694">
        <v>2787.53</v>
      </c>
      <c r="I3694">
        <v>48543.16</v>
      </c>
      <c r="J3694">
        <v>106</v>
      </c>
      <c r="K3694">
        <v>2</v>
      </c>
      <c r="L3694">
        <v>21.4</v>
      </c>
      <c r="M3694">
        <v>18.2</v>
      </c>
      <c r="N3694" t="s">
        <v>52</v>
      </c>
      <c r="O3694" t="s">
        <v>47</v>
      </c>
      <c r="P3694" t="s">
        <v>48</v>
      </c>
      <c r="R3694">
        <f>SUMIF(A3694:A8693,"C03693",I3694:I8693)</f>
        <v>48543.16</v>
      </c>
      <c r="S3694" s="1">
        <v>8425.12</v>
      </c>
      <c r="T3694">
        <f t="shared" si="422"/>
        <v>457.954339622642</v>
      </c>
      <c r="U3694">
        <f t="shared" si="421"/>
        <v>1929.2</v>
      </c>
      <c r="V3694">
        <f>U3694*2</f>
        <v>3858.4</v>
      </c>
      <c r="W3694">
        <f t="shared" si="419"/>
        <v>17110.5633333333</v>
      </c>
      <c r="X3694">
        <f t="shared" si="416"/>
        <v>0.430488640480999</v>
      </c>
      <c r="AH3694" t="str">
        <f t="shared" si="420"/>
        <v>3rd Quality</v>
      </c>
      <c r="AJ3694">
        <f>((T3694-X3694)*2)/21.4</f>
        <v>42.7592384095478</v>
      </c>
      <c r="AK3694">
        <f t="shared" si="417"/>
        <v>549545.20754717</v>
      </c>
    </row>
    <row r="3695" spans="1:37">
      <c r="A3695" t="s">
        <v>3761</v>
      </c>
      <c r="B3695">
        <v>18</v>
      </c>
      <c r="C3695" t="s">
        <v>44</v>
      </c>
      <c r="D3695" t="s">
        <v>60</v>
      </c>
      <c r="E3695">
        <v>624</v>
      </c>
      <c r="F3695">
        <v>25</v>
      </c>
      <c r="G3695">
        <v>2</v>
      </c>
      <c r="H3695">
        <v>10372.56</v>
      </c>
      <c r="I3695">
        <v>22068.35</v>
      </c>
      <c r="J3695">
        <v>27</v>
      </c>
      <c r="K3695">
        <v>0</v>
      </c>
      <c r="L3695">
        <v>0</v>
      </c>
      <c r="M3695">
        <v>24.4</v>
      </c>
      <c r="N3695" t="s">
        <v>46</v>
      </c>
      <c r="O3695" t="s">
        <v>47</v>
      </c>
      <c r="P3695" t="s">
        <v>68</v>
      </c>
      <c r="R3695">
        <f>SUMIF(A3695:A8694,"C03694",I3695:I8694)</f>
        <v>22068.35</v>
      </c>
      <c r="S3695" s="1">
        <v>14525.05</v>
      </c>
      <c r="T3695">
        <f t="shared" si="422"/>
        <v>817.346296296296</v>
      </c>
      <c r="U3695">
        <f t="shared" si="421"/>
        <v>658.8</v>
      </c>
      <c r="V3695">
        <f t="shared" si="415"/>
        <v>54.9</v>
      </c>
      <c r="W3695">
        <f t="shared" si="419"/>
        <v>10813.97</v>
      </c>
      <c r="X3695">
        <f t="shared" si="416"/>
        <v>0.0601587264860362</v>
      </c>
      <c r="AH3695" t="str">
        <f t="shared" si="420"/>
        <v>2nd Quality</v>
      </c>
      <c r="AJ3695">
        <f>((T3695-X3695)*2)</f>
        <v>1634.57227513962</v>
      </c>
      <c r="AK3695">
        <f t="shared" si="417"/>
        <v>510024.088888889</v>
      </c>
    </row>
    <row r="3696" spans="1:37">
      <c r="A3696" t="s">
        <v>3762</v>
      </c>
      <c r="B3696">
        <v>37</v>
      </c>
      <c r="C3696" t="s">
        <v>50</v>
      </c>
      <c r="D3696" t="s">
        <v>45</v>
      </c>
      <c r="E3696">
        <v>477</v>
      </c>
      <c r="F3696">
        <v>297</v>
      </c>
      <c r="G3696">
        <v>2</v>
      </c>
      <c r="H3696">
        <v>928.82</v>
      </c>
      <c r="I3696">
        <v>2043.48</v>
      </c>
      <c r="J3696">
        <v>15</v>
      </c>
      <c r="K3696">
        <v>0</v>
      </c>
      <c r="L3696">
        <v>22.1</v>
      </c>
      <c r="M3696">
        <v>25.1</v>
      </c>
      <c r="N3696" t="s">
        <v>63</v>
      </c>
      <c r="O3696" t="s">
        <v>47</v>
      </c>
      <c r="P3696" t="s">
        <v>66</v>
      </c>
      <c r="R3696">
        <f>SUMIF(A3696:A8695,"C03695",I3696:I8695)</f>
        <v>2043.48</v>
      </c>
      <c r="S3696" s="1">
        <v>48474.11</v>
      </c>
      <c r="T3696">
        <f t="shared" si="422"/>
        <v>136.232</v>
      </c>
      <c r="U3696">
        <f t="shared" si="421"/>
        <v>376.5</v>
      </c>
      <c r="V3696">
        <f t="shared" si="415"/>
        <v>31.375</v>
      </c>
      <c r="W3696">
        <f t="shared" si="419"/>
        <v>991.1</v>
      </c>
      <c r="X3696">
        <f t="shared" si="416"/>
        <v>0.513554833013932</v>
      </c>
      <c r="AH3696" t="str">
        <f t="shared" si="420"/>
        <v>3rd Quality</v>
      </c>
      <c r="AJ3696">
        <f>((T3696-X3696)*2)/22.1</f>
        <v>12.2822122323064</v>
      </c>
      <c r="AK3696">
        <f t="shared" si="417"/>
        <v>64982.664</v>
      </c>
    </row>
    <row r="3697" spans="1:37">
      <c r="A3697" t="s">
        <v>3763</v>
      </c>
      <c r="B3697">
        <v>18</v>
      </c>
      <c r="C3697" t="s">
        <v>50</v>
      </c>
      <c r="D3697" t="s">
        <v>45</v>
      </c>
      <c r="E3697">
        <v>861</v>
      </c>
      <c r="F3697">
        <v>61</v>
      </c>
      <c r="G3697">
        <v>7</v>
      </c>
      <c r="H3697">
        <v>1311.67</v>
      </c>
      <c r="I3697">
        <v>8425.12</v>
      </c>
      <c r="J3697">
        <v>53</v>
      </c>
      <c r="K3697">
        <v>0</v>
      </c>
      <c r="L3697">
        <v>24.8</v>
      </c>
      <c r="M3697">
        <v>38.8</v>
      </c>
      <c r="N3697" t="s">
        <v>63</v>
      </c>
      <c r="O3697" t="s">
        <v>53</v>
      </c>
      <c r="P3697" t="s">
        <v>48</v>
      </c>
      <c r="R3697">
        <f>SUMIF(A3697:A8696,"C03696",I3697:I8696)</f>
        <v>8425.12</v>
      </c>
      <c r="S3697" s="1">
        <v>61453.01</v>
      </c>
      <c r="T3697">
        <f t="shared" si="422"/>
        <v>158.964528301887</v>
      </c>
      <c r="U3697">
        <f t="shared" si="421"/>
        <v>2056.4</v>
      </c>
      <c r="V3697">
        <f t="shared" si="415"/>
        <v>171.366666666667</v>
      </c>
      <c r="W3697">
        <f t="shared" si="419"/>
        <v>3245.93</v>
      </c>
      <c r="X3697">
        <f t="shared" si="416"/>
        <v>0.656415104408883</v>
      </c>
      <c r="AH3697" t="str">
        <f t="shared" si="420"/>
        <v>3rd Quality</v>
      </c>
      <c r="AJ3697">
        <f>((T3697-X3697)*2)/24.8</f>
        <v>12.7667833223773</v>
      </c>
      <c r="AK3697">
        <f t="shared" si="417"/>
        <v>136868.458867925</v>
      </c>
    </row>
    <row r="3698" spans="1:37">
      <c r="A3698" t="s">
        <v>3764</v>
      </c>
      <c r="B3698">
        <v>18</v>
      </c>
      <c r="C3698" t="s">
        <v>50</v>
      </c>
      <c r="D3698" t="s">
        <v>60</v>
      </c>
      <c r="E3698">
        <v>578</v>
      </c>
      <c r="F3698">
        <v>23</v>
      </c>
      <c r="G3698">
        <v>10</v>
      </c>
      <c r="H3698">
        <v>1405.13</v>
      </c>
      <c r="I3698">
        <v>14525.05</v>
      </c>
      <c r="J3698">
        <v>88</v>
      </c>
      <c r="K3698">
        <v>1</v>
      </c>
      <c r="L3698">
        <v>23.9</v>
      </c>
      <c r="M3698">
        <v>27.9</v>
      </c>
      <c r="N3698" t="s">
        <v>78</v>
      </c>
      <c r="O3698" t="s">
        <v>75</v>
      </c>
      <c r="P3698" t="s">
        <v>58</v>
      </c>
      <c r="R3698">
        <f>SUMIF(A3698:A8697,"C03697",I3698:I8697)</f>
        <v>14525.05</v>
      </c>
      <c r="S3698" s="1">
        <v>18807.99</v>
      </c>
      <c r="T3698">
        <f t="shared" si="422"/>
        <v>165.057386363636</v>
      </c>
      <c r="U3698">
        <f t="shared" si="421"/>
        <v>2455.2</v>
      </c>
      <c r="V3698">
        <f>U3698*1</f>
        <v>2455.2</v>
      </c>
      <c r="W3698">
        <f t="shared" si="419"/>
        <v>5310.39333333333</v>
      </c>
      <c r="X3698">
        <f t="shared" si="416"/>
        <v>0.411349839516628</v>
      </c>
      <c r="AH3698" t="str">
        <f t="shared" si="420"/>
        <v>3rd Quality</v>
      </c>
      <c r="AJ3698">
        <f>((T3698-X3698)*2)/23.9</f>
        <v>13.7779110062025</v>
      </c>
      <c r="AK3698">
        <f t="shared" si="417"/>
        <v>95403.1693181818</v>
      </c>
    </row>
    <row r="3699" spans="1:37">
      <c r="A3699" t="s">
        <v>3765</v>
      </c>
      <c r="B3699">
        <v>29</v>
      </c>
      <c r="C3699" t="s">
        <v>44</v>
      </c>
      <c r="D3699" t="s">
        <v>60</v>
      </c>
      <c r="E3699">
        <v>1058</v>
      </c>
      <c r="F3699">
        <v>24</v>
      </c>
      <c r="G3699">
        <v>15</v>
      </c>
      <c r="H3699">
        <v>3591.56</v>
      </c>
      <c r="I3699">
        <v>48474.11</v>
      </c>
      <c r="J3699">
        <v>82</v>
      </c>
      <c r="K3699">
        <v>1</v>
      </c>
      <c r="L3699">
        <v>12.2</v>
      </c>
      <c r="M3699">
        <v>40.4</v>
      </c>
      <c r="N3699" t="s">
        <v>57</v>
      </c>
      <c r="O3699" t="s">
        <v>47</v>
      </c>
      <c r="P3699" t="s">
        <v>58</v>
      </c>
      <c r="R3699">
        <f>SUMIF(A3699:A8698,"C03698",I3699:I8698)</f>
        <v>48474.11</v>
      </c>
      <c r="S3699" s="1">
        <v>2488.36</v>
      </c>
      <c r="T3699">
        <f t="shared" si="422"/>
        <v>591.147682926829</v>
      </c>
      <c r="U3699">
        <f t="shared" si="421"/>
        <v>3312.8</v>
      </c>
      <c r="V3699">
        <f>U3699*1</f>
        <v>3312.8</v>
      </c>
      <c r="W3699">
        <f t="shared" si="419"/>
        <v>17355.5566666667</v>
      </c>
      <c r="X3699">
        <f t="shared" si="416"/>
        <v>0.294579514194389</v>
      </c>
      <c r="AH3699" t="str">
        <f t="shared" si="420"/>
        <v>1st Quality</v>
      </c>
      <c r="AJ3699">
        <f>((T3699-X3699)*2)/12.2</f>
        <v>96.8611644938745</v>
      </c>
      <c r="AK3699">
        <f t="shared" si="417"/>
        <v>625434.248536585</v>
      </c>
    </row>
    <row r="3700" spans="1:37">
      <c r="A3700" t="s">
        <v>3766</v>
      </c>
      <c r="B3700">
        <v>44</v>
      </c>
      <c r="C3700" t="s">
        <v>50</v>
      </c>
      <c r="D3700" t="s">
        <v>45</v>
      </c>
      <c r="E3700">
        <v>958</v>
      </c>
      <c r="F3700">
        <v>6</v>
      </c>
      <c r="G3700">
        <v>27</v>
      </c>
      <c r="H3700">
        <v>2276.23</v>
      </c>
      <c r="I3700">
        <v>61453.01</v>
      </c>
      <c r="J3700">
        <v>61</v>
      </c>
      <c r="K3700">
        <v>2</v>
      </c>
      <c r="L3700">
        <v>11.5</v>
      </c>
      <c r="M3700">
        <v>15.6</v>
      </c>
      <c r="N3700" t="s">
        <v>52</v>
      </c>
      <c r="O3700" t="s">
        <v>75</v>
      </c>
      <c r="P3700" t="s">
        <v>58</v>
      </c>
      <c r="R3700">
        <f>SUMIF(A3700:A8699,"C03699",I3700:I8699)</f>
        <v>61453.01</v>
      </c>
      <c r="S3700" s="1">
        <v>12810.22</v>
      </c>
      <c r="T3700">
        <f t="shared" si="422"/>
        <v>1007.42639344262</v>
      </c>
      <c r="U3700">
        <f t="shared" si="421"/>
        <v>951.6</v>
      </c>
      <c r="V3700">
        <f>U3700*2</f>
        <v>1903.2</v>
      </c>
      <c r="W3700">
        <f t="shared" si="419"/>
        <v>21243.4133333333</v>
      </c>
      <c r="X3700">
        <f t="shared" si="416"/>
        <v>0.420871353070647</v>
      </c>
      <c r="AH3700" t="str">
        <f t="shared" si="420"/>
        <v>3rd Quality</v>
      </c>
      <c r="AJ3700">
        <f>((T3700-X3700)*2)/11.5</f>
        <v>175.131395146009</v>
      </c>
      <c r="AK3700">
        <f t="shared" si="417"/>
        <v>965114.484918033</v>
      </c>
    </row>
    <row r="3701" spans="1:37">
      <c r="A3701" t="s">
        <v>3767</v>
      </c>
      <c r="B3701">
        <v>29</v>
      </c>
      <c r="C3701" t="s">
        <v>50</v>
      </c>
      <c r="D3701" t="s">
        <v>45</v>
      </c>
      <c r="E3701">
        <v>592</v>
      </c>
      <c r="F3701">
        <v>65</v>
      </c>
      <c r="G3701">
        <v>11</v>
      </c>
      <c r="H3701">
        <v>1573.37</v>
      </c>
      <c r="I3701">
        <v>18807.99</v>
      </c>
      <c r="J3701">
        <v>64</v>
      </c>
      <c r="K3701">
        <v>0</v>
      </c>
      <c r="L3701">
        <v>21</v>
      </c>
      <c r="M3701">
        <v>20.8</v>
      </c>
      <c r="N3701" t="s">
        <v>81</v>
      </c>
      <c r="O3701" t="s">
        <v>75</v>
      </c>
      <c r="P3701" t="s">
        <v>68</v>
      </c>
      <c r="R3701">
        <f>SUMIF(A3701:A8700,"C03700",I3701:I8700)</f>
        <v>18807.99</v>
      </c>
      <c r="S3701" s="1">
        <v>8690.33</v>
      </c>
      <c r="T3701">
        <f t="shared" si="422"/>
        <v>293.87484375</v>
      </c>
      <c r="U3701">
        <f t="shared" si="421"/>
        <v>1331.2</v>
      </c>
      <c r="V3701">
        <f t="shared" si="415"/>
        <v>110.933333333333</v>
      </c>
      <c r="W3701">
        <f t="shared" si="419"/>
        <v>6794.12</v>
      </c>
      <c r="X3701">
        <f t="shared" si="416"/>
        <v>0.376262417613149</v>
      </c>
      <c r="AH3701" t="str">
        <f t="shared" si="420"/>
        <v>2nd Quality</v>
      </c>
      <c r="AJ3701">
        <f>((T3701-X3701)*2)/21</f>
        <v>27.9522458411797</v>
      </c>
      <c r="AK3701">
        <f t="shared" si="417"/>
        <v>173973.9075</v>
      </c>
    </row>
    <row r="3702" spans="1:37">
      <c r="A3702" t="s">
        <v>3768</v>
      </c>
      <c r="B3702">
        <v>23</v>
      </c>
      <c r="C3702" t="s">
        <v>44</v>
      </c>
      <c r="D3702" t="s">
        <v>45</v>
      </c>
      <c r="E3702">
        <v>1372</v>
      </c>
      <c r="F3702">
        <v>365</v>
      </c>
      <c r="G3702">
        <v>1</v>
      </c>
      <c r="H3702">
        <v>2360.55</v>
      </c>
      <c r="I3702">
        <v>2488.36</v>
      </c>
      <c r="J3702">
        <v>12</v>
      </c>
      <c r="K3702">
        <v>1</v>
      </c>
      <c r="L3702">
        <v>14.4</v>
      </c>
      <c r="M3702">
        <v>23.1</v>
      </c>
      <c r="N3702" t="s">
        <v>63</v>
      </c>
      <c r="O3702" t="s">
        <v>47</v>
      </c>
      <c r="P3702" t="s">
        <v>58</v>
      </c>
      <c r="R3702">
        <f>SUMIF(A3702:A8701,"C03701",I3702:I8701)</f>
        <v>2488.36</v>
      </c>
      <c r="S3702" s="1">
        <v>1674.05</v>
      </c>
      <c r="T3702">
        <f t="shared" si="422"/>
        <v>207.363333333333</v>
      </c>
      <c r="U3702">
        <f t="shared" si="421"/>
        <v>277.2</v>
      </c>
      <c r="V3702">
        <f>U3702*1</f>
        <v>277.2</v>
      </c>
      <c r="W3702">
        <f t="shared" si="419"/>
        <v>1616.63666666667</v>
      </c>
      <c r="X3702">
        <f t="shared" si="416"/>
        <v>0.581220478278367</v>
      </c>
      <c r="AH3702" t="str">
        <f t="shared" si="420"/>
        <v>3rd Quality</v>
      </c>
      <c r="AJ3702">
        <f>((T3702-X3702)*2)/14.4</f>
        <v>28.7197378965354</v>
      </c>
      <c r="AK3702">
        <f t="shared" si="417"/>
        <v>284502.493333333</v>
      </c>
    </row>
    <row r="3703" spans="1:37">
      <c r="A3703" t="s">
        <v>3769</v>
      </c>
      <c r="B3703">
        <v>37</v>
      </c>
      <c r="C3703" t="s">
        <v>50</v>
      </c>
      <c r="D3703" t="s">
        <v>60</v>
      </c>
      <c r="E3703">
        <v>1329</v>
      </c>
      <c r="F3703">
        <v>37</v>
      </c>
      <c r="G3703">
        <v>8</v>
      </c>
      <c r="H3703">
        <v>1570.03</v>
      </c>
      <c r="I3703">
        <v>12810.22</v>
      </c>
      <c r="J3703">
        <v>40</v>
      </c>
      <c r="K3703">
        <v>3</v>
      </c>
      <c r="L3703">
        <v>26.1</v>
      </c>
      <c r="M3703">
        <v>73.7</v>
      </c>
      <c r="N3703" t="s">
        <v>57</v>
      </c>
      <c r="O3703" t="s">
        <v>47</v>
      </c>
      <c r="P3703" t="s">
        <v>66</v>
      </c>
      <c r="R3703">
        <f>SUMIF(A3703:A8702,"C03702",I3703:I8702)</f>
        <v>12810.22</v>
      </c>
      <c r="S3703" s="1">
        <v>92250.68</v>
      </c>
      <c r="T3703">
        <f t="shared" si="422"/>
        <v>320.2555</v>
      </c>
      <c r="U3703">
        <f t="shared" si="421"/>
        <v>2948</v>
      </c>
      <c r="V3703">
        <f>U3703*3</f>
        <v>8844</v>
      </c>
      <c r="W3703">
        <f t="shared" si="419"/>
        <v>4793.75</v>
      </c>
      <c r="X3703">
        <f t="shared" si="416"/>
        <v>0.846480640497315</v>
      </c>
      <c r="AH3703" t="str">
        <f t="shared" si="420"/>
        <v>3rd Quality</v>
      </c>
      <c r="AJ3703">
        <f>((T3703-X3703)*2)/26.1</f>
        <v>24.4757869240998</v>
      </c>
      <c r="AK3703">
        <f t="shared" si="417"/>
        <v>425619.5595</v>
      </c>
    </row>
    <row r="3704" spans="1:37">
      <c r="A3704" t="s">
        <v>3770</v>
      </c>
      <c r="B3704">
        <v>40</v>
      </c>
      <c r="C3704" t="s">
        <v>50</v>
      </c>
      <c r="D3704" t="s">
        <v>60</v>
      </c>
      <c r="E3704">
        <v>713</v>
      </c>
      <c r="F3704">
        <v>11</v>
      </c>
      <c r="G3704">
        <v>1</v>
      </c>
      <c r="H3704">
        <v>8303.74</v>
      </c>
      <c r="I3704">
        <v>8690.33</v>
      </c>
      <c r="J3704">
        <v>17</v>
      </c>
      <c r="K3704">
        <v>0</v>
      </c>
      <c r="L3704">
        <v>1.2</v>
      </c>
      <c r="M3704">
        <v>17.8</v>
      </c>
      <c r="N3704" t="s">
        <v>78</v>
      </c>
      <c r="O3704" t="s">
        <v>47</v>
      </c>
      <c r="P3704" t="s">
        <v>58</v>
      </c>
      <c r="R3704">
        <f>SUMIF(A3704:A8703,"C03703",I3704:I8703)</f>
        <v>8690.33</v>
      </c>
      <c r="S3704" s="1">
        <v>79736.75</v>
      </c>
      <c r="T3704">
        <f t="shared" si="422"/>
        <v>511.195882352941</v>
      </c>
      <c r="U3704">
        <f t="shared" si="421"/>
        <v>302.6</v>
      </c>
      <c r="V3704">
        <f t="shared" ref="V3702:V3765" si="423">U3704/12</f>
        <v>25.2166666666667</v>
      </c>
      <c r="W3704">
        <f t="shared" si="419"/>
        <v>5665.02333333333</v>
      </c>
      <c r="X3704">
        <f t="shared" ref="X3704:X3767" si="424">E3704/H3704</f>
        <v>0.0858649235163914</v>
      </c>
      <c r="AH3704" t="str">
        <f t="shared" si="420"/>
        <v>3rd Quality</v>
      </c>
      <c r="AJ3704">
        <f>((T3704-X3704)*2)/1.2</f>
        <v>851.850029049041</v>
      </c>
      <c r="AK3704">
        <f t="shared" si="417"/>
        <v>364482.664117647</v>
      </c>
    </row>
    <row r="3705" spans="1:37">
      <c r="A3705" t="s">
        <v>3771</v>
      </c>
      <c r="B3705">
        <v>39</v>
      </c>
      <c r="C3705" t="s">
        <v>50</v>
      </c>
      <c r="D3705" t="s">
        <v>45</v>
      </c>
      <c r="E3705">
        <v>1372</v>
      </c>
      <c r="F3705">
        <v>13</v>
      </c>
      <c r="G3705">
        <v>2</v>
      </c>
      <c r="H3705">
        <v>908.24</v>
      </c>
      <c r="I3705">
        <v>1674.05</v>
      </c>
      <c r="J3705">
        <v>10</v>
      </c>
      <c r="K3705">
        <v>0</v>
      </c>
      <c r="L3705">
        <v>29.8</v>
      </c>
      <c r="M3705">
        <v>32.1</v>
      </c>
      <c r="N3705" t="s">
        <v>81</v>
      </c>
      <c r="O3705" t="s">
        <v>47</v>
      </c>
      <c r="P3705" t="s">
        <v>68</v>
      </c>
      <c r="R3705">
        <f>SUMIF(A3705:A8704,"C03704",I3705:I8704)</f>
        <v>1674.05</v>
      </c>
      <c r="S3705" s="1">
        <v>6327.6</v>
      </c>
      <c r="T3705">
        <f t="shared" si="422"/>
        <v>167.405</v>
      </c>
      <c r="U3705">
        <f t="shared" si="421"/>
        <v>321</v>
      </c>
      <c r="V3705">
        <f t="shared" si="423"/>
        <v>26.75</v>
      </c>
      <c r="W3705">
        <f t="shared" si="419"/>
        <v>861.096666666667</v>
      </c>
      <c r="X3705">
        <f t="shared" si="424"/>
        <v>1.51061393464283</v>
      </c>
      <c r="AH3705" t="str">
        <f t="shared" si="420"/>
        <v>3rd Quality</v>
      </c>
      <c r="AJ3705">
        <f>((T3705-X3705)*2)/29.8</f>
        <v>11.1338514137824</v>
      </c>
      <c r="AK3705">
        <f t="shared" si="417"/>
        <v>229679.66</v>
      </c>
    </row>
    <row r="3706" spans="1:37">
      <c r="A3706" t="s">
        <v>3772</v>
      </c>
      <c r="B3706">
        <v>18</v>
      </c>
      <c r="C3706" t="s">
        <v>50</v>
      </c>
      <c r="D3706" t="s">
        <v>51</v>
      </c>
      <c r="E3706">
        <v>725</v>
      </c>
      <c r="F3706">
        <v>10</v>
      </c>
      <c r="G3706">
        <v>30</v>
      </c>
      <c r="H3706">
        <v>2786.88</v>
      </c>
      <c r="I3706">
        <v>92250.68</v>
      </c>
      <c r="J3706">
        <v>249</v>
      </c>
      <c r="K3706">
        <v>2</v>
      </c>
      <c r="L3706">
        <v>0</v>
      </c>
      <c r="M3706">
        <v>60.3</v>
      </c>
      <c r="N3706" t="s">
        <v>63</v>
      </c>
      <c r="O3706" t="s">
        <v>47</v>
      </c>
      <c r="P3706" t="s">
        <v>66</v>
      </c>
      <c r="R3706">
        <f>SUMIF(A3706:A8705,"C03705",I3706:I8705)</f>
        <v>92250.68</v>
      </c>
      <c r="S3706" s="1">
        <v>1311.99</v>
      </c>
      <c r="T3706">
        <f t="shared" si="422"/>
        <v>370.484658634538</v>
      </c>
      <c r="U3706">
        <f t="shared" si="421"/>
        <v>15014.7</v>
      </c>
      <c r="V3706">
        <f>U3706*2</f>
        <v>30029.4</v>
      </c>
      <c r="W3706">
        <f t="shared" si="419"/>
        <v>31679.52</v>
      </c>
      <c r="X3706">
        <f t="shared" si="424"/>
        <v>0.260147548513033</v>
      </c>
      <c r="AH3706" t="str">
        <f t="shared" si="420"/>
        <v>2nd Quality</v>
      </c>
      <c r="AJ3706">
        <f>((T3706-X3706)*2)</f>
        <v>740.44902217205</v>
      </c>
      <c r="AK3706">
        <f t="shared" si="417"/>
        <v>268601.37751004</v>
      </c>
    </row>
    <row r="3707" spans="1:37">
      <c r="A3707" t="s">
        <v>3773</v>
      </c>
      <c r="B3707">
        <v>37</v>
      </c>
      <c r="C3707" t="s">
        <v>50</v>
      </c>
      <c r="D3707" t="s">
        <v>60</v>
      </c>
      <c r="E3707">
        <v>894</v>
      </c>
      <c r="F3707">
        <v>18</v>
      </c>
      <c r="G3707">
        <v>28</v>
      </c>
      <c r="H3707">
        <v>3058.82</v>
      </c>
      <c r="I3707">
        <v>79736.75</v>
      </c>
      <c r="J3707">
        <v>65</v>
      </c>
      <c r="K3707">
        <v>1</v>
      </c>
      <c r="L3707">
        <v>10.8</v>
      </c>
      <c r="M3707">
        <v>73</v>
      </c>
      <c r="N3707" t="s">
        <v>63</v>
      </c>
      <c r="O3707" t="s">
        <v>47</v>
      </c>
      <c r="P3707" t="s">
        <v>48</v>
      </c>
      <c r="R3707">
        <f>SUMIF(A3707:A8706,"C03706",I3707:I8706)</f>
        <v>79736.75</v>
      </c>
      <c r="S3707" s="1">
        <v>18669.99</v>
      </c>
      <c r="T3707">
        <f t="shared" si="422"/>
        <v>1226.71923076923</v>
      </c>
      <c r="U3707">
        <f t="shared" si="421"/>
        <v>4745</v>
      </c>
      <c r="V3707">
        <f>U3707*1</f>
        <v>4745</v>
      </c>
      <c r="W3707">
        <f t="shared" si="419"/>
        <v>27598.8566666667</v>
      </c>
      <c r="X3707">
        <f t="shared" si="424"/>
        <v>0.292269568003348</v>
      </c>
      <c r="AH3707" t="str">
        <f t="shared" si="420"/>
        <v>2nd Quality</v>
      </c>
      <c r="AJ3707">
        <f>((T3707-X3707)*2)/10.8</f>
        <v>227.116103926153</v>
      </c>
      <c r="AK3707">
        <f t="shared" si="417"/>
        <v>1096686.99230769</v>
      </c>
    </row>
    <row r="3708" spans="1:37">
      <c r="A3708" t="s">
        <v>3774</v>
      </c>
      <c r="B3708">
        <v>45</v>
      </c>
      <c r="C3708" t="s">
        <v>44</v>
      </c>
      <c r="D3708" t="s">
        <v>51</v>
      </c>
      <c r="E3708">
        <v>987</v>
      </c>
      <c r="F3708">
        <v>179</v>
      </c>
      <c r="G3708">
        <v>8</v>
      </c>
      <c r="H3708">
        <v>859.66</v>
      </c>
      <c r="I3708">
        <v>6327.6</v>
      </c>
      <c r="J3708">
        <v>73</v>
      </c>
      <c r="K3708">
        <v>0</v>
      </c>
      <c r="L3708">
        <v>22.7</v>
      </c>
      <c r="M3708">
        <v>38.4</v>
      </c>
      <c r="N3708" t="s">
        <v>81</v>
      </c>
      <c r="O3708" t="s">
        <v>47</v>
      </c>
      <c r="P3708" t="s">
        <v>66</v>
      </c>
      <c r="R3708">
        <f>SUMIF(A3708:A8707,"C03707",I3708:I8707)</f>
        <v>6327.6</v>
      </c>
      <c r="S3708" s="1">
        <v>3866.33</v>
      </c>
      <c r="T3708">
        <f t="shared" si="422"/>
        <v>86.6794520547945</v>
      </c>
      <c r="U3708">
        <f t="shared" si="421"/>
        <v>2803.2</v>
      </c>
      <c r="V3708">
        <f t="shared" si="423"/>
        <v>233.6</v>
      </c>
      <c r="W3708">
        <f t="shared" si="419"/>
        <v>2396.08666666667</v>
      </c>
      <c r="X3708">
        <f t="shared" si="424"/>
        <v>1.14812832980481</v>
      </c>
      <c r="AH3708" t="str">
        <f t="shared" si="420"/>
        <v>3rd Quality</v>
      </c>
      <c r="AJ3708">
        <f>((T3708-X3708)*2)/22.7</f>
        <v>7.53579944713566</v>
      </c>
      <c r="AK3708">
        <f t="shared" si="417"/>
        <v>85552.6191780822</v>
      </c>
    </row>
    <row r="3709" spans="1:37">
      <c r="A3709" t="s">
        <v>3775</v>
      </c>
      <c r="B3709">
        <v>34</v>
      </c>
      <c r="C3709" t="s">
        <v>44</v>
      </c>
      <c r="D3709" t="s">
        <v>45</v>
      </c>
      <c r="E3709">
        <v>667</v>
      </c>
      <c r="F3709">
        <v>209</v>
      </c>
      <c r="G3709">
        <v>1</v>
      </c>
      <c r="H3709">
        <v>1436.06</v>
      </c>
      <c r="I3709">
        <v>1311.99</v>
      </c>
      <c r="J3709">
        <v>14</v>
      </c>
      <c r="K3709">
        <v>0</v>
      </c>
      <c r="L3709">
        <v>28.7</v>
      </c>
      <c r="M3709">
        <v>22.4</v>
      </c>
      <c r="N3709" t="s">
        <v>61</v>
      </c>
      <c r="O3709" t="s">
        <v>53</v>
      </c>
      <c r="P3709" t="s">
        <v>66</v>
      </c>
      <c r="R3709">
        <f>SUMIF(A3709:A8708,"C03708",I3709:I8708)</f>
        <v>1311.99</v>
      </c>
      <c r="S3709" s="1">
        <v>2310.07</v>
      </c>
      <c r="T3709">
        <f t="shared" si="422"/>
        <v>93.7135714285714</v>
      </c>
      <c r="U3709">
        <f t="shared" si="421"/>
        <v>313.6</v>
      </c>
      <c r="V3709">
        <f t="shared" si="423"/>
        <v>26.1333333333333</v>
      </c>
      <c r="W3709">
        <f t="shared" si="419"/>
        <v>916.35</v>
      </c>
      <c r="X3709">
        <f t="shared" si="424"/>
        <v>0.464465273038731</v>
      </c>
      <c r="AH3709" t="str">
        <f t="shared" si="420"/>
        <v>3rd Quality</v>
      </c>
      <c r="AJ3709">
        <f>((T3709-X3709)*2)/28.7</f>
        <v>6.4981955509082</v>
      </c>
      <c r="AK3709">
        <f t="shared" si="417"/>
        <v>62506.9521428571</v>
      </c>
    </row>
    <row r="3710" spans="1:37">
      <c r="A3710" t="s">
        <v>3776</v>
      </c>
      <c r="B3710">
        <v>39</v>
      </c>
      <c r="C3710" t="s">
        <v>50</v>
      </c>
      <c r="D3710" t="s">
        <v>51</v>
      </c>
      <c r="E3710">
        <v>1025</v>
      </c>
      <c r="F3710">
        <v>35</v>
      </c>
      <c r="G3710">
        <v>6</v>
      </c>
      <c r="H3710">
        <v>2816.77</v>
      </c>
      <c r="I3710">
        <v>18669.99</v>
      </c>
      <c r="J3710">
        <v>55</v>
      </c>
      <c r="K3710">
        <v>0</v>
      </c>
      <c r="L3710">
        <v>33.9</v>
      </c>
      <c r="M3710">
        <v>19</v>
      </c>
      <c r="N3710" t="s">
        <v>63</v>
      </c>
      <c r="O3710" t="s">
        <v>47</v>
      </c>
      <c r="P3710" t="s">
        <v>68</v>
      </c>
      <c r="R3710">
        <f>SUMIF(A3710:A8709,"C03709",I3710:I8709)</f>
        <v>18669.99</v>
      </c>
      <c r="S3710" s="1">
        <v>2872.43</v>
      </c>
      <c r="T3710">
        <f t="shared" si="422"/>
        <v>339.454363636364</v>
      </c>
      <c r="U3710">
        <f t="shared" si="421"/>
        <v>1045</v>
      </c>
      <c r="V3710">
        <f t="shared" si="423"/>
        <v>87.0833333333333</v>
      </c>
      <c r="W3710">
        <f t="shared" si="419"/>
        <v>7162.58666666667</v>
      </c>
      <c r="X3710">
        <f t="shared" si="424"/>
        <v>0.36389197556066</v>
      </c>
      <c r="AH3710" t="str">
        <f t="shared" si="420"/>
        <v>2nd Quality</v>
      </c>
      <c r="AJ3710">
        <f>((T3710-X3710)*2)/33.9</f>
        <v>20.0053375611093</v>
      </c>
      <c r="AK3710">
        <f t="shared" si="417"/>
        <v>347940.722727273</v>
      </c>
    </row>
    <row r="3711" spans="1:37">
      <c r="A3711" t="s">
        <v>3777</v>
      </c>
      <c r="B3711">
        <v>48</v>
      </c>
      <c r="C3711" t="s">
        <v>44</v>
      </c>
      <c r="D3711" t="s">
        <v>45</v>
      </c>
      <c r="E3711">
        <v>490</v>
      </c>
      <c r="F3711">
        <v>33</v>
      </c>
      <c r="G3711">
        <v>6</v>
      </c>
      <c r="H3711">
        <v>650.5</v>
      </c>
      <c r="I3711">
        <v>3866.33</v>
      </c>
      <c r="J3711">
        <v>45</v>
      </c>
      <c r="K3711">
        <v>0</v>
      </c>
      <c r="L3711">
        <v>39.5</v>
      </c>
      <c r="M3711">
        <v>19.6</v>
      </c>
      <c r="N3711" t="s">
        <v>52</v>
      </c>
      <c r="O3711" t="s">
        <v>47</v>
      </c>
      <c r="P3711" t="s">
        <v>68</v>
      </c>
      <c r="R3711">
        <f>SUMIF(A3711:A8710,"C03710",I3711:I8710)</f>
        <v>3866.33</v>
      </c>
      <c r="S3711" s="1">
        <v>1047.4</v>
      </c>
      <c r="T3711">
        <f t="shared" si="422"/>
        <v>85.9184444444444</v>
      </c>
      <c r="U3711">
        <f t="shared" si="421"/>
        <v>882</v>
      </c>
      <c r="V3711">
        <f t="shared" si="423"/>
        <v>73.5</v>
      </c>
      <c r="W3711">
        <f t="shared" si="419"/>
        <v>1505.94333333333</v>
      </c>
      <c r="X3711">
        <f t="shared" si="424"/>
        <v>0.753266717909301</v>
      </c>
      <c r="AH3711" t="str">
        <f t="shared" si="420"/>
        <v>3rd Quality</v>
      </c>
      <c r="AJ3711">
        <f>((T3711-X3711)*2)/39.5</f>
        <v>4.31216089754608</v>
      </c>
      <c r="AK3711">
        <f t="shared" si="417"/>
        <v>42100.0377777778</v>
      </c>
    </row>
    <row r="3712" spans="1:37">
      <c r="A3712" t="s">
        <v>3778</v>
      </c>
      <c r="B3712">
        <v>22</v>
      </c>
      <c r="C3712" t="s">
        <v>50</v>
      </c>
      <c r="D3712" t="s">
        <v>45</v>
      </c>
      <c r="E3712">
        <v>1030</v>
      </c>
      <c r="F3712">
        <v>178</v>
      </c>
      <c r="G3712">
        <v>1</v>
      </c>
      <c r="H3712">
        <v>2291.88</v>
      </c>
      <c r="I3712">
        <v>2310.07</v>
      </c>
      <c r="J3712">
        <v>15</v>
      </c>
      <c r="K3712">
        <v>0</v>
      </c>
      <c r="L3712">
        <v>23.4</v>
      </c>
      <c r="M3712">
        <v>23</v>
      </c>
      <c r="N3712" t="s">
        <v>81</v>
      </c>
      <c r="O3712" t="s">
        <v>75</v>
      </c>
      <c r="P3712" t="s">
        <v>48</v>
      </c>
      <c r="R3712">
        <f>SUMIF(A3712:A8711,"C03711",I3712:I8711)</f>
        <v>2310.07</v>
      </c>
      <c r="S3712" s="1">
        <v>670.73</v>
      </c>
      <c r="T3712">
        <f t="shared" si="422"/>
        <v>154.004666666667</v>
      </c>
      <c r="U3712">
        <f t="shared" si="421"/>
        <v>345</v>
      </c>
      <c r="V3712">
        <f t="shared" si="423"/>
        <v>28.75</v>
      </c>
      <c r="W3712">
        <f t="shared" si="419"/>
        <v>1534.31666666667</v>
      </c>
      <c r="X3712">
        <f t="shared" si="424"/>
        <v>0.449412709216887</v>
      </c>
      <c r="AH3712" t="str">
        <f t="shared" si="420"/>
        <v>3rd Quality</v>
      </c>
      <c r="AJ3712">
        <f>((T3712-X3712)*2)/23.4</f>
        <v>13.1243806801239</v>
      </c>
      <c r="AK3712">
        <f t="shared" si="417"/>
        <v>158624.806666667</v>
      </c>
    </row>
    <row r="3713" spans="1:37">
      <c r="A3713" t="s">
        <v>3779</v>
      </c>
      <c r="B3713">
        <v>32</v>
      </c>
      <c r="C3713" t="s">
        <v>50</v>
      </c>
      <c r="D3713" t="s">
        <v>60</v>
      </c>
      <c r="E3713">
        <v>1394</v>
      </c>
      <c r="F3713">
        <v>265</v>
      </c>
      <c r="G3713">
        <v>2</v>
      </c>
      <c r="H3713">
        <v>1479.16</v>
      </c>
      <c r="I3713">
        <v>2872.43</v>
      </c>
      <c r="J3713">
        <v>13</v>
      </c>
      <c r="K3713">
        <v>0</v>
      </c>
      <c r="L3713">
        <v>35.2</v>
      </c>
      <c r="M3713">
        <v>26.2</v>
      </c>
      <c r="N3713" t="s">
        <v>46</v>
      </c>
      <c r="O3713" t="s">
        <v>47</v>
      </c>
      <c r="P3713" t="s">
        <v>68</v>
      </c>
      <c r="R3713">
        <f>SUMIF(A3713:A8712,"C03712",I3713:I8712)</f>
        <v>2872.43</v>
      </c>
      <c r="S3713" s="1">
        <v>1336.85</v>
      </c>
      <c r="T3713">
        <f t="shared" si="422"/>
        <v>220.956153846154</v>
      </c>
      <c r="U3713">
        <f t="shared" si="421"/>
        <v>340.6</v>
      </c>
      <c r="V3713">
        <f t="shared" si="423"/>
        <v>28.3833333333333</v>
      </c>
      <c r="W3713">
        <f t="shared" si="419"/>
        <v>1450.86333333333</v>
      </c>
      <c r="X3713">
        <f t="shared" si="424"/>
        <v>0.942426782768598</v>
      </c>
      <c r="AH3713" t="str">
        <f t="shared" si="420"/>
        <v>3rd Quality</v>
      </c>
      <c r="AJ3713">
        <f>((T3713-X3713)*2)/35.2</f>
        <v>12.5007799467833</v>
      </c>
      <c r="AK3713">
        <f t="shared" si="417"/>
        <v>308012.878461538</v>
      </c>
    </row>
    <row r="3714" spans="1:37">
      <c r="A3714" t="s">
        <v>3780</v>
      </c>
      <c r="B3714">
        <v>22</v>
      </c>
      <c r="C3714" t="s">
        <v>44</v>
      </c>
      <c r="D3714" t="s">
        <v>51</v>
      </c>
      <c r="E3714">
        <v>723</v>
      </c>
      <c r="F3714">
        <v>365</v>
      </c>
      <c r="G3714">
        <v>1</v>
      </c>
      <c r="H3714">
        <v>1181.44</v>
      </c>
      <c r="I3714">
        <v>1047.4</v>
      </c>
      <c r="J3714">
        <v>7</v>
      </c>
      <c r="K3714">
        <v>0</v>
      </c>
      <c r="L3714">
        <v>17.7</v>
      </c>
      <c r="M3714">
        <v>44</v>
      </c>
      <c r="N3714" t="s">
        <v>78</v>
      </c>
      <c r="O3714" t="s">
        <v>47</v>
      </c>
      <c r="P3714" t="s">
        <v>68</v>
      </c>
      <c r="R3714">
        <f>SUMIF(A3714:A8713,"C03713",I3714:I8713)</f>
        <v>1047.4</v>
      </c>
      <c r="S3714" s="1">
        <v>3418.38</v>
      </c>
      <c r="T3714">
        <f t="shared" si="422"/>
        <v>149.628571428571</v>
      </c>
      <c r="U3714">
        <f t="shared" si="421"/>
        <v>308</v>
      </c>
      <c r="V3714">
        <f t="shared" si="423"/>
        <v>25.6666666666667</v>
      </c>
      <c r="W3714">
        <f t="shared" si="419"/>
        <v>743.28</v>
      </c>
      <c r="X3714">
        <f t="shared" si="424"/>
        <v>0.611965059588299</v>
      </c>
      <c r="AH3714" t="str">
        <f t="shared" si="420"/>
        <v>3rd Quality</v>
      </c>
      <c r="AJ3714">
        <f>((T3714-X3714)*2)/17.7</f>
        <v>16.8380346179641</v>
      </c>
      <c r="AK3714">
        <f t="shared" si="417"/>
        <v>108181.457142857</v>
      </c>
    </row>
    <row r="3715" spans="1:37">
      <c r="A3715" t="s">
        <v>3781</v>
      </c>
      <c r="B3715">
        <v>30</v>
      </c>
      <c r="C3715" t="s">
        <v>44</v>
      </c>
      <c r="D3715" t="s">
        <v>60</v>
      </c>
      <c r="E3715">
        <v>515</v>
      </c>
      <c r="F3715">
        <v>55</v>
      </c>
      <c r="G3715">
        <v>2</v>
      </c>
      <c r="H3715">
        <v>374.29</v>
      </c>
      <c r="I3715">
        <v>670.73</v>
      </c>
      <c r="J3715">
        <v>18</v>
      </c>
      <c r="K3715">
        <v>2</v>
      </c>
      <c r="L3715">
        <v>31.2</v>
      </c>
      <c r="M3715">
        <v>38.8</v>
      </c>
      <c r="N3715" t="s">
        <v>61</v>
      </c>
      <c r="O3715" t="s">
        <v>47</v>
      </c>
      <c r="P3715" t="s">
        <v>66</v>
      </c>
      <c r="R3715">
        <f>SUMIF(A3715:A8714,"C03714",I3715:I8714)</f>
        <v>670.73</v>
      </c>
      <c r="S3715" s="1">
        <v>646.4</v>
      </c>
      <c r="T3715">
        <f t="shared" si="422"/>
        <v>37.2627777777778</v>
      </c>
      <c r="U3715">
        <f t="shared" si="421"/>
        <v>698.4</v>
      </c>
      <c r="V3715">
        <f>U3715*2</f>
        <v>1396.8</v>
      </c>
      <c r="W3715">
        <f t="shared" si="419"/>
        <v>348.673333333333</v>
      </c>
      <c r="X3715">
        <f t="shared" si="424"/>
        <v>1.37593844345294</v>
      </c>
      <c r="AH3715" t="str">
        <f t="shared" si="420"/>
        <v>3rd Quality</v>
      </c>
      <c r="AJ3715">
        <f>((T3715-X3715)*2)/31.2</f>
        <v>2.30043841886698</v>
      </c>
      <c r="AK3715">
        <f t="shared" ref="AK3715:AK3778" si="425">I3715/J3715*E3715</f>
        <v>19190.3305555556</v>
      </c>
    </row>
    <row r="3716" spans="1:37">
      <c r="A3716" t="s">
        <v>3782</v>
      </c>
      <c r="B3716">
        <v>23</v>
      </c>
      <c r="C3716" t="s">
        <v>44</v>
      </c>
      <c r="D3716" t="s">
        <v>51</v>
      </c>
      <c r="E3716">
        <v>1001</v>
      </c>
      <c r="F3716">
        <v>74</v>
      </c>
      <c r="G3716">
        <v>1</v>
      </c>
      <c r="H3716">
        <v>1512.65</v>
      </c>
      <c r="I3716">
        <v>1336.85</v>
      </c>
      <c r="J3716">
        <v>16</v>
      </c>
      <c r="K3716">
        <v>1</v>
      </c>
      <c r="L3716">
        <v>32</v>
      </c>
      <c r="M3716">
        <v>11.6</v>
      </c>
      <c r="N3716" t="s">
        <v>46</v>
      </c>
      <c r="O3716" t="s">
        <v>47</v>
      </c>
      <c r="P3716" t="s">
        <v>66</v>
      </c>
      <c r="R3716">
        <f>SUMIF(A3716:A8715,"C03715",I3716:I8715)</f>
        <v>1336.85</v>
      </c>
      <c r="S3716" s="1">
        <v>1690.2</v>
      </c>
      <c r="T3716">
        <f t="shared" si="422"/>
        <v>83.553125</v>
      </c>
      <c r="U3716">
        <f t="shared" si="421"/>
        <v>185.6</v>
      </c>
      <c r="V3716">
        <f>U3716*1</f>
        <v>185.6</v>
      </c>
      <c r="W3716">
        <f t="shared" si="419"/>
        <v>950.166666666667</v>
      </c>
      <c r="X3716">
        <f t="shared" si="424"/>
        <v>0.661752553465772</v>
      </c>
      <c r="AH3716" t="str">
        <f t="shared" si="420"/>
        <v>3rd Quality</v>
      </c>
      <c r="AJ3716">
        <f>((T3716-X3716)*2)/32</f>
        <v>5.18071077790839</v>
      </c>
      <c r="AK3716">
        <f t="shared" si="425"/>
        <v>83636.678125</v>
      </c>
    </row>
    <row r="3717" spans="1:37">
      <c r="A3717" t="s">
        <v>3783</v>
      </c>
      <c r="B3717">
        <v>34</v>
      </c>
      <c r="C3717" t="s">
        <v>50</v>
      </c>
      <c r="D3717" t="s">
        <v>45</v>
      </c>
      <c r="E3717">
        <v>695</v>
      </c>
      <c r="F3717">
        <v>236</v>
      </c>
      <c r="G3717">
        <v>4</v>
      </c>
      <c r="H3717">
        <v>846.67</v>
      </c>
      <c r="I3717">
        <v>3418.38</v>
      </c>
      <c r="J3717">
        <v>41</v>
      </c>
      <c r="K3717">
        <v>0</v>
      </c>
      <c r="L3717">
        <v>33.2</v>
      </c>
      <c r="M3717">
        <v>20.6</v>
      </c>
      <c r="N3717" t="s">
        <v>63</v>
      </c>
      <c r="O3717" t="s">
        <v>75</v>
      </c>
      <c r="P3717" t="s">
        <v>58</v>
      </c>
      <c r="R3717">
        <f>SUMIF(A3717:A8716,"C03716",I3717:I8716)</f>
        <v>3418.38</v>
      </c>
      <c r="S3717" s="1">
        <v>2926.94</v>
      </c>
      <c r="T3717">
        <f t="shared" si="422"/>
        <v>83.3751219512195</v>
      </c>
      <c r="U3717">
        <f t="shared" si="421"/>
        <v>844.6</v>
      </c>
      <c r="V3717">
        <f t="shared" si="423"/>
        <v>70.3833333333333</v>
      </c>
      <c r="W3717">
        <f t="shared" si="419"/>
        <v>1422.01666666667</v>
      </c>
      <c r="X3717">
        <f t="shared" si="424"/>
        <v>0.820862909988543</v>
      </c>
      <c r="AH3717" t="str">
        <f t="shared" si="420"/>
        <v>3rd Quality</v>
      </c>
      <c r="AJ3717">
        <f>((T3717-X3717)*2)/33.2</f>
        <v>4.97314813501391</v>
      </c>
      <c r="AK3717">
        <f t="shared" si="425"/>
        <v>57945.7097560976</v>
      </c>
    </row>
    <row r="3718" spans="1:37">
      <c r="A3718" t="s">
        <v>3784</v>
      </c>
      <c r="B3718">
        <v>52</v>
      </c>
      <c r="C3718" t="s">
        <v>50</v>
      </c>
      <c r="D3718" t="s">
        <v>60</v>
      </c>
      <c r="E3718">
        <v>1180</v>
      </c>
      <c r="F3718">
        <v>226</v>
      </c>
      <c r="G3718">
        <v>1</v>
      </c>
      <c r="H3718">
        <v>697.73</v>
      </c>
      <c r="I3718">
        <v>646.4</v>
      </c>
      <c r="J3718">
        <v>5</v>
      </c>
      <c r="K3718">
        <v>0</v>
      </c>
      <c r="L3718">
        <v>29.5</v>
      </c>
      <c r="M3718">
        <v>23.2</v>
      </c>
      <c r="N3718" t="s">
        <v>81</v>
      </c>
      <c r="O3718" t="s">
        <v>53</v>
      </c>
      <c r="P3718" t="s">
        <v>66</v>
      </c>
      <c r="R3718">
        <f>SUMIF(A3718:A8717,"C03717",I3718:I8717)</f>
        <v>646.4</v>
      </c>
      <c r="S3718" s="1">
        <v>29323.7</v>
      </c>
      <c r="T3718">
        <f t="shared" si="422"/>
        <v>129.28</v>
      </c>
      <c r="U3718">
        <f t="shared" si="421"/>
        <v>116</v>
      </c>
      <c r="V3718">
        <f t="shared" si="423"/>
        <v>9.66666666666667</v>
      </c>
      <c r="W3718">
        <f t="shared" si="419"/>
        <v>448.376666666667</v>
      </c>
      <c r="X3718">
        <f t="shared" si="424"/>
        <v>1.69119860117811</v>
      </c>
      <c r="AH3718" t="str">
        <f t="shared" si="420"/>
        <v>3rd Quality</v>
      </c>
      <c r="AJ3718">
        <f>((T3718-X3718)*2)/29.5</f>
        <v>8.6500882304286</v>
      </c>
      <c r="AK3718">
        <f t="shared" si="425"/>
        <v>152550.4</v>
      </c>
    </row>
    <row r="3719" spans="1:37">
      <c r="A3719" t="s">
        <v>3785</v>
      </c>
      <c r="B3719">
        <v>30</v>
      </c>
      <c r="C3719" t="s">
        <v>44</v>
      </c>
      <c r="D3719" t="s">
        <v>60</v>
      </c>
      <c r="E3719">
        <v>728</v>
      </c>
      <c r="F3719">
        <v>57</v>
      </c>
      <c r="G3719">
        <v>2</v>
      </c>
      <c r="H3719">
        <v>865.43</v>
      </c>
      <c r="I3719">
        <v>1690.2</v>
      </c>
      <c r="J3719">
        <v>15</v>
      </c>
      <c r="K3719">
        <v>0</v>
      </c>
      <c r="L3719">
        <v>32.8</v>
      </c>
      <c r="M3719">
        <v>14.7</v>
      </c>
      <c r="N3719" t="s">
        <v>63</v>
      </c>
      <c r="O3719" t="s">
        <v>47</v>
      </c>
      <c r="P3719" t="s">
        <v>58</v>
      </c>
      <c r="R3719">
        <f>SUMIF(A3719:A8718,"C03718",I3719:I8718)</f>
        <v>1690.2</v>
      </c>
      <c r="S3719" s="1">
        <v>59479</v>
      </c>
      <c r="T3719">
        <f t="shared" si="422"/>
        <v>112.68</v>
      </c>
      <c r="U3719">
        <f t="shared" si="421"/>
        <v>220.5</v>
      </c>
      <c r="V3719">
        <f t="shared" si="423"/>
        <v>18.375</v>
      </c>
      <c r="W3719">
        <f t="shared" si="419"/>
        <v>852.21</v>
      </c>
      <c r="X3719">
        <f t="shared" si="424"/>
        <v>0.841200328160568</v>
      </c>
      <c r="AH3719" t="str">
        <f t="shared" si="420"/>
        <v>3rd Quality</v>
      </c>
      <c r="AJ3719">
        <f>((T3719-X3719)*2)/32.8</f>
        <v>6.81943900438045</v>
      </c>
      <c r="AK3719">
        <f t="shared" si="425"/>
        <v>82031.04</v>
      </c>
    </row>
    <row r="3720" spans="1:37">
      <c r="A3720" t="s">
        <v>3786</v>
      </c>
      <c r="B3720">
        <v>35</v>
      </c>
      <c r="C3720" t="s">
        <v>50</v>
      </c>
      <c r="D3720" t="s">
        <v>60</v>
      </c>
      <c r="E3720">
        <v>438</v>
      </c>
      <c r="F3720">
        <v>335</v>
      </c>
      <c r="G3720">
        <v>2</v>
      </c>
      <c r="H3720">
        <v>1477.54</v>
      </c>
      <c r="I3720">
        <v>2926.94</v>
      </c>
      <c r="J3720">
        <v>24</v>
      </c>
      <c r="K3720">
        <v>0</v>
      </c>
      <c r="L3720">
        <v>17.5</v>
      </c>
      <c r="M3720">
        <v>32.5</v>
      </c>
      <c r="N3720" t="s">
        <v>46</v>
      </c>
      <c r="O3720" t="s">
        <v>75</v>
      </c>
      <c r="P3720" t="s">
        <v>58</v>
      </c>
      <c r="R3720">
        <f>SUMIF(A3720:A8719,"C03719",I3720:I8719)</f>
        <v>2926.94</v>
      </c>
      <c r="S3720" s="1">
        <v>38315.67</v>
      </c>
      <c r="T3720">
        <f t="shared" si="422"/>
        <v>121.955833333333</v>
      </c>
      <c r="U3720">
        <f t="shared" si="421"/>
        <v>780</v>
      </c>
      <c r="V3720">
        <f t="shared" si="423"/>
        <v>65</v>
      </c>
      <c r="W3720">
        <f t="shared" si="419"/>
        <v>1468.49333333333</v>
      </c>
      <c r="X3720">
        <f t="shared" si="424"/>
        <v>0.29643867509509</v>
      </c>
      <c r="AH3720" t="str">
        <f t="shared" si="420"/>
        <v>3rd Quality</v>
      </c>
      <c r="AJ3720">
        <f>((T3720-X3720)*2)/17.5</f>
        <v>13.9039308180843</v>
      </c>
      <c r="AK3720">
        <f t="shared" si="425"/>
        <v>53416.655</v>
      </c>
    </row>
    <row r="3721" spans="1:37">
      <c r="A3721" t="s">
        <v>3787</v>
      </c>
      <c r="B3721">
        <v>50</v>
      </c>
      <c r="C3721" t="s">
        <v>44</v>
      </c>
      <c r="D3721" t="s">
        <v>60</v>
      </c>
      <c r="E3721">
        <v>662</v>
      </c>
      <c r="F3721">
        <v>23</v>
      </c>
      <c r="G3721">
        <v>7</v>
      </c>
      <c r="H3721">
        <v>4156.6</v>
      </c>
      <c r="I3721">
        <v>29323.7</v>
      </c>
      <c r="J3721">
        <v>59</v>
      </c>
      <c r="K3721">
        <v>1</v>
      </c>
      <c r="L3721">
        <v>25</v>
      </c>
      <c r="M3721">
        <v>35</v>
      </c>
      <c r="N3721" t="s">
        <v>63</v>
      </c>
      <c r="O3721" t="s">
        <v>47</v>
      </c>
      <c r="P3721" t="s">
        <v>58</v>
      </c>
      <c r="R3721">
        <f>SUMIF(A3721:A8720,"C03720",I3721:I8720)</f>
        <v>29323.7</v>
      </c>
      <c r="S3721" s="1">
        <v>5548.03</v>
      </c>
      <c r="T3721">
        <f t="shared" si="422"/>
        <v>497.01186440678</v>
      </c>
      <c r="U3721">
        <f t="shared" si="421"/>
        <v>2065</v>
      </c>
      <c r="V3721">
        <f>U3721*1</f>
        <v>2065</v>
      </c>
      <c r="W3721">
        <f t="shared" ref="W3721:W3784" si="426">(H3721+I3721+1)/3</f>
        <v>11160.4333333333</v>
      </c>
      <c r="X3721">
        <f t="shared" si="424"/>
        <v>0.159264783717461</v>
      </c>
      <c r="AH3721" t="str">
        <f t="shared" si="420"/>
        <v>3rd Quality</v>
      </c>
      <c r="AJ3721">
        <f>((T3721-X3721)*2)/25</f>
        <v>39.748207969845</v>
      </c>
      <c r="AK3721">
        <f t="shared" si="425"/>
        <v>329021.854237288</v>
      </c>
    </row>
    <row r="3722" spans="1:37">
      <c r="A3722" t="s">
        <v>3788</v>
      </c>
      <c r="B3722">
        <v>25</v>
      </c>
      <c r="C3722" t="s">
        <v>50</v>
      </c>
      <c r="D3722" t="s">
        <v>60</v>
      </c>
      <c r="E3722">
        <v>1272</v>
      </c>
      <c r="F3722">
        <v>62</v>
      </c>
      <c r="G3722">
        <v>7</v>
      </c>
      <c r="H3722">
        <v>7764.97</v>
      </c>
      <c r="I3722">
        <v>59479</v>
      </c>
      <c r="J3722">
        <v>38</v>
      </c>
      <c r="K3722">
        <v>0</v>
      </c>
      <c r="L3722">
        <v>12.4</v>
      </c>
      <c r="M3722">
        <v>56.3</v>
      </c>
      <c r="N3722" t="s">
        <v>63</v>
      </c>
      <c r="O3722" t="s">
        <v>47</v>
      </c>
      <c r="P3722" t="s">
        <v>68</v>
      </c>
      <c r="R3722">
        <f>SUMIF(A3722:A8721,"C03721",I3722:I8721)</f>
        <v>59479</v>
      </c>
      <c r="S3722" s="1">
        <v>16058.92</v>
      </c>
      <c r="T3722">
        <f t="shared" si="422"/>
        <v>1565.23684210526</v>
      </c>
      <c r="U3722">
        <f t="shared" si="421"/>
        <v>2139.4</v>
      </c>
      <c r="V3722">
        <f t="shared" si="423"/>
        <v>178.283333333333</v>
      </c>
      <c r="W3722">
        <f t="shared" si="426"/>
        <v>22414.99</v>
      </c>
      <c r="X3722">
        <f t="shared" si="424"/>
        <v>0.163812609707443</v>
      </c>
      <c r="AH3722" t="str">
        <f t="shared" si="420"/>
        <v>1st Quality</v>
      </c>
      <c r="AJ3722">
        <f>((T3722-X3722)*2)/13</f>
        <v>240.780466076239</v>
      </c>
      <c r="AK3722">
        <f t="shared" si="425"/>
        <v>1990981.26315789</v>
      </c>
    </row>
    <row r="3723" spans="1:37">
      <c r="A3723" t="s">
        <v>3789</v>
      </c>
      <c r="B3723">
        <v>29</v>
      </c>
      <c r="C3723" t="s">
        <v>44</v>
      </c>
      <c r="D3723" t="s">
        <v>60</v>
      </c>
      <c r="E3723">
        <v>372</v>
      </c>
      <c r="F3723">
        <v>29</v>
      </c>
      <c r="G3723">
        <v>4</v>
      </c>
      <c r="H3723">
        <v>10758.28</v>
      </c>
      <c r="I3723">
        <v>38315.67</v>
      </c>
      <c r="J3723">
        <v>22</v>
      </c>
      <c r="K3723">
        <v>0</v>
      </c>
      <c r="L3723">
        <v>1.4</v>
      </c>
      <c r="M3723">
        <v>15.3</v>
      </c>
      <c r="N3723" t="s">
        <v>63</v>
      </c>
      <c r="O3723" t="s">
        <v>47</v>
      </c>
      <c r="P3723" t="s">
        <v>66</v>
      </c>
      <c r="R3723">
        <f>SUMIF(A3723:A8722,"C03722",I3723:I8722)</f>
        <v>38315.67</v>
      </c>
      <c r="S3723" s="1">
        <v>1421.08</v>
      </c>
      <c r="T3723">
        <f t="shared" si="422"/>
        <v>1741.62136363636</v>
      </c>
      <c r="U3723">
        <f t="shared" si="421"/>
        <v>336.6</v>
      </c>
      <c r="V3723">
        <f t="shared" si="423"/>
        <v>28.05</v>
      </c>
      <c r="W3723">
        <f t="shared" si="426"/>
        <v>16358.3166666667</v>
      </c>
      <c r="X3723">
        <f t="shared" si="424"/>
        <v>0.0345780180474946</v>
      </c>
      <c r="AH3723" t="str">
        <f t="shared" si="420"/>
        <v>3rd Quality</v>
      </c>
      <c r="AJ3723">
        <f>((T3723-X3723)*2)/1.4</f>
        <v>2487.98112231187</v>
      </c>
      <c r="AK3723">
        <f t="shared" si="425"/>
        <v>647883.147272727</v>
      </c>
    </row>
    <row r="3724" spans="1:37">
      <c r="A3724" t="s">
        <v>3790</v>
      </c>
      <c r="B3724">
        <v>33</v>
      </c>
      <c r="C3724" t="s">
        <v>50</v>
      </c>
      <c r="D3724" t="s">
        <v>60</v>
      </c>
      <c r="E3724">
        <v>1336</v>
      </c>
      <c r="F3724">
        <v>68</v>
      </c>
      <c r="G3724">
        <v>4</v>
      </c>
      <c r="H3724">
        <v>1388.93</v>
      </c>
      <c r="I3724">
        <v>5548.03</v>
      </c>
      <c r="J3724">
        <v>16</v>
      </c>
      <c r="K3724">
        <v>0</v>
      </c>
      <c r="L3724">
        <v>29.9</v>
      </c>
      <c r="M3724">
        <v>21.7</v>
      </c>
      <c r="N3724" t="s">
        <v>63</v>
      </c>
      <c r="O3724" t="s">
        <v>47</v>
      </c>
      <c r="P3724" t="s">
        <v>54</v>
      </c>
      <c r="R3724">
        <f>SUMIF(A3724:A8723,"C03723",I3724:I8723)</f>
        <v>5548.03</v>
      </c>
      <c r="S3724" s="1">
        <v>3181.97</v>
      </c>
      <c r="T3724">
        <f t="shared" si="422"/>
        <v>346.751875</v>
      </c>
      <c r="U3724">
        <f t="shared" si="421"/>
        <v>347.2</v>
      </c>
      <c r="V3724">
        <f t="shared" si="423"/>
        <v>28.9333333333333</v>
      </c>
      <c r="W3724">
        <f t="shared" si="426"/>
        <v>2312.65333333333</v>
      </c>
      <c r="X3724">
        <f t="shared" si="424"/>
        <v>0.961891528010771</v>
      </c>
      <c r="AH3724" t="str">
        <f t="shared" si="420"/>
        <v>3rd Quality</v>
      </c>
      <c r="AJ3724">
        <f>((T3724-X3724)*2)/29.9</f>
        <v>23.1297647807351</v>
      </c>
      <c r="AK3724">
        <f t="shared" si="425"/>
        <v>463260.505</v>
      </c>
    </row>
    <row r="3725" spans="1:37">
      <c r="A3725" t="s">
        <v>3791</v>
      </c>
      <c r="B3725">
        <v>29</v>
      </c>
      <c r="C3725" t="s">
        <v>44</v>
      </c>
      <c r="D3725" t="s">
        <v>45</v>
      </c>
      <c r="E3725">
        <v>595</v>
      </c>
      <c r="F3725">
        <v>61</v>
      </c>
      <c r="G3725">
        <v>8</v>
      </c>
      <c r="H3725">
        <v>2201.91</v>
      </c>
      <c r="I3725">
        <v>16058.92</v>
      </c>
      <c r="J3725">
        <v>64</v>
      </c>
      <c r="K3725">
        <v>0</v>
      </c>
      <c r="L3725">
        <v>22.5</v>
      </c>
      <c r="M3725">
        <v>41.7</v>
      </c>
      <c r="N3725" t="s">
        <v>61</v>
      </c>
      <c r="O3725" t="s">
        <v>53</v>
      </c>
      <c r="P3725" t="s">
        <v>66</v>
      </c>
      <c r="R3725">
        <f>SUMIF(A3725:A8724,"C03724",I3725:I8724)</f>
        <v>16058.92</v>
      </c>
      <c r="S3725" s="1">
        <v>2931.75</v>
      </c>
      <c r="T3725">
        <f t="shared" si="422"/>
        <v>250.920625</v>
      </c>
      <c r="U3725">
        <f t="shared" si="421"/>
        <v>2668.8</v>
      </c>
      <c r="V3725">
        <f t="shared" si="423"/>
        <v>222.4</v>
      </c>
      <c r="W3725">
        <f t="shared" si="426"/>
        <v>6087.27666666667</v>
      </c>
      <c r="X3725">
        <f t="shared" si="424"/>
        <v>0.27021994541103</v>
      </c>
      <c r="AH3725" t="str">
        <f t="shared" si="420"/>
        <v>3rd Quality</v>
      </c>
      <c r="AJ3725">
        <f>((T3725-X3725)*2)/22.5</f>
        <v>22.2800360048524</v>
      </c>
      <c r="AK3725">
        <f t="shared" si="425"/>
        <v>149297.771875</v>
      </c>
    </row>
    <row r="3726" spans="1:37">
      <c r="A3726" t="s">
        <v>3792</v>
      </c>
      <c r="B3726">
        <v>48</v>
      </c>
      <c r="C3726" t="s">
        <v>50</v>
      </c>
      <c r="D3726" t="s">
        <v>60</v>
      </c>
      <c r="E3726">
        <v>667</v>
      </c>
      <c r="F3726">
        <v>96</v>
      </c>
      <c r="G3726">
        <v>1</v>
      </c>
      <c r="H3726">
        <v>1289.12</v>
      </c>
      <c r="I3726">
        <v>1421.08</v>
      </c>
      <c r="J3726">
        <v>13</v>
      </c>
      <c r="K3726">
        <v>0</v>
      </c>
      <c r="L3726">
        <v>21.9</v>
      </c>
      <c r="M3726">
        <v>8</v>
      </c>
      <c r="N3726" t="s">
        <v>81</v>
      </c>
      <c r="O3726" t="s">
        <v>47</v>
      </c>
      <c r="P3726" t="s">
        <v>58</v>
      </c>
      <c r="R3726">
        <f>SUMIF(A3726:A8725,"C03725",I3726:I8725)</f>
        <v>1421.08</v>
      </c>
      <c r="S3726" s="1">
        <v>2682.95</v>
      </c>
      <c r="T3726">
        <f t="shared" si="422"/>
        <v>109.313846153846</v>
      </c>
      <c r="U3726">
        <f t="shared" si="421"/>
        <v>104</v>
      </c>
      <c r="V3726">
        <f t="shared" si="423"/>
        <v>8.66666666666667</v>
      </c>
      <c r="W3726">
        <f t="shared" si="426"/>
        <v>903.733333333333</v>
      </c>
      <c r="X3726">
        <f t="shared" si="424"/>
        <v>0.517407223532332</v>
      </c>
      <c r="AH3726" t="str">
        <f t="shared" ref="AH3726:AH3789" si="427">IF(AND(W3726&gt;=12550,B3726&lt;=33,E3726&gt;=915),"1st Quality",IF(AND(W3726&gt;=6275,B3726&lt;=43,E3726&gt;=457),"2nd Quality","3rd Quality"))</f>
        <v>3rd Quality</v>
      </c>
      <c r="AJ3726">
        <f>((T3726-X3726)*2)/21.9</f>
        <v>9.93574784751723</v>
      </c>
      <c r="AK3726">
        <f t="shared" si="425"/>
        <v>72912.3353846154</v>
      </c>
    </row>
    <row r="3727" spans="1:37">
      <c r="A3727" t="s">
        <v>3793</v>
      </c>
      <c r="B3727">
        <v>22</v>
      </c>
      <c r="C3727" t="s">
        <v>50</v>
      </c>
      <c r="D3727" t="s">
        <v>60</v>
      </c>
      <c r="E3727">
        <v>1186</v>
      </c>
      <c r="F3727">
        <v>157</v>
      </c>
      <c r="G3727">
        <v>4</v>
      </c>
      <c r="H3727">
        <v>723.05</v>
      </c>
      <c r="I3727">
        <v>3181.97</v>
      </c>
      <c r="J3727">
        <v>20</v>
      </c>
      <c r="K3727">
        <v>0</v>
      </c>
      <c r="L3727">
        <v>38.7</v>
      </c>
      <c r="M3727">
        <v>33.1</v>
      </c>
      <c r="N3727" t="s">
        <v>46</v>
      </c>
      <c r="O3727" t="s">
        <v>47</v>
      </c>
      <c r="P3727" t="s">
        <v>66</v>
      </c>
      <c r="R3727">
        <f>SUMIF(A3727:A8726,"C03726",I3727:I8726)</f>
        <v>3181.97</v>
      </c>
      <c r="S3727" s="1">
        <v>748.91</v>
      </c>
      <c r="T3727">
        <f t="shared" si="422"/>
        <v>159.0985</v>
      </c>
      <c r="U3727">
        <f t="shared" si="421"/>
        <v>662</v>
      </c>
      <c r="V3727">
        <f t="shared" si="423"/>
        <v>55.1666666666667</v>
      </c>
      <c r="W3727">
        <f t="shared" si="426"/>
        <v>1302.00666666667</v>
      </c>
      <c r="X3727">
        <f t="shared" si="424"/>
        <v>1.6402738399834</v>
      </c>
      <c r="AH3727" t="str">
        <f t="shared" si="427"/>
        <v>3rd Quality</v>
      </c>
      <c r="AJ3727">
        <f>((T3727-X3727)*2)/38.7</f>
        <v>8.13737602894143</v>
      </c>
      <c r="AK3727">
        <f t="shared" si="425"/>
        <v>188690.821</v>
      </c>
    </row>
    <row r="3728" spans="1:37">
      <c r="A3728" t="s">
        <v>3794</v>
      </c>
      <c r="B3728">
        <v>31</v>
      </c>
      <c r="C3728" t="s">
        <v>44</v>
      </c>
      <c r="D3728" t="s">
        <v>45</v>
      </c>
      <c r="E3728">
        <v>1388</v>
      </c>
      <c r="F3728">
        <v>82</v>
      </c>
      <c r="G3728">
        <v>2</v>
      </c>
      <c r="H3728">
        <v>1604.53</v>
      </c>
      <c r="I3728">
        <v>2931.75</v>
      </c>
      <c r="J3728">
        <v>12</v>
      </c>
      <c r="K3728">
        <v>0</v>
      </c>
      <c r="L3728">
        <v>11.2</v>
      </c>
      <c r="M3728">
        <v>18.3</v>
      </c>
      <c r="N3728" t="s">
        <v>46</v>
      </c>
      <c r="O3728" t="s">
        <v>53</v>
      </c>
      <c r="P3728" t="s">
        <v>68</v>
      </c>
      <c r="R3728">
        <f>SUMIF(A3728:A8727,"C03727",I3728:I8727)</f>
        <v>2931.75</v>
      </c>
      <c r="S3728" s="1">
        <v>4665.84</v>
      </c>
      <c r="T3728">
        <f t="shared" si="422"/>
        <v>244.3125</v>
      </c>
      <c r="U3728">
        <f t="shared" si="421"/>
        <v>219.6</v>
      </c>
      <c r="V3728">
        <f t="shared" si="423"/>
        <v>18.3</v>
      </c>
      <c r="W3728">
        <f t="shared" si="426"/>
        <v>1512.42666666667</v>
      </c>
      <c r="X3728">
        <f t="shared" si="424"/>
        <v>0.865050824852137</v>
      </c>
      <c r="AH3728" t="str">
        <f t="shared" si="427"/>
        <v>3rd Quality</v>
      </c>
      <c r="AJ3728">
        <f>((T3728-X3728)*2)/11.2</f>
        <v>43.4727587812764</v>
      </c>
      <c r="AK3728">
        <f t="shared" si="425"/>
        <v>339105.75</v>
      </c>
    </row>
    <row r="3729" spans="1:37">
      <c r="A3729" t="s">
        <v>3795</v>
      </c>
      <c r="B3729">
        <v>46</v>
      </c>
      <c r="C3729" t="s">
        <v>44</v>
      </c>
      <c r="D3729" t="s">
        <v>45</v>
      </c>
      <c r="E3729">
        <v>594</v>
      </c>
      <c r="F3729">
        <v>17</v>
      </c>
      <c r="G3729">
        <v>5</v>
      </c>
      <c r="H3729">
        <v>590.85</v>
      </c>
      <c r="I3729">
        <v>2682.95</v>
      </c>
      <c r="J3729">
        <v>52</v>
      </c>
      <c r="K3729">
        <v>1</v>
      </c>
      <c r="L3729">
        <v>32</v>
      </c>
      <c r="M3729">
        <v>26.4</v>
      </c>
      <c r="N3729" t="s">
        <v>81</v>
      </c>
      <c r="O3729" t="s">
        <v>53</v>
      </c>
      <c r="P3729" t="s">
        <v>48</v>
      </c>
      <c r="R3729">
        <f>SUMIF(A3729:A8728,"C03728",I3729:I8728)</f>
        <v>2682.95</v>
      </c>
      <c r="S3729" s="1">
        <v>2068.59</v>
      </c>
      <c r="T3729">
        <f t="shared" si="422"/>
        <v>51.5951923076923</v>
      </c>
      <c r="U3729">
        <f t="shared" si="421"/>
        <v>1372.8</v>
      </c>
      <c r="V3729">
        <f>U3729*1</f>
        <v>1372.8</v>
      </c>
      <c r="W3729">
        <f t="shared" si="426"/>
        <v>1091.6</v>
      </c>
      <c r="X3729">
        <f t="shared" si="424"/>
        <v>1.00533130236101</v>
      </c>
      <c r="AH3729" t="str">
        <f t="shared" si="427"/>
        <v>3rd Quality</v>
      </c>
      <c r="AJ3729">
        <f>((T3729-X3729)*2)/32</f>
        <v>3.16186631283321</v>
      </c>
      <c r="AK3729">
        <f t="shared" si="425"/>
        <v>30647.5442307692</v>
      </c>
    </row>
    <row r="3730" spans="1:37">
      <c r="A3730" t="s">
        <v>3796</v>
      </c>
      <c r="B3730">
        <v>35</v>
      </c>
      <c r="C3730" t="s">
        <v>50</v>
      </c>
      <c r="D3730" t="s">
        <v>51</v>
      </c>
      <c r="E3730">
        <v>1365</v>
      </c>
      <c r="F3730">
        <v>85</v>
      </c>
      <c r="G3730">
        <v>1</v>
      </c>
      <c r="H3730">
        <v>826.28</v>
      </c>
      <c r="I3730">
        <v>748.91</v>
      </c>
      <c r="J3730">
        <v>12</v>
      </c>
      <c r="K3730">
        <v>0</v>
      </c>
      <c r="L3730">
        <v>19.6</v>
      </c>
      <c r="M3730">
        <v>18.2</v>
      </c>
      <c r="N3730" t="s">
        <v>81</v>
      </c>
      <c r="O3730" t="s">
        <v>47</v>
      </c>
      <c r="P3730" t="s">
        <v>68</v>
      </c>
      <c r="R3730">
        <f>SUMIF(A3730:A8729,"C03729",I3730:I8729)</f>
        <v>748.91</v>
      </c>
      <c r="S3730" s="1">
        <v>3085.35</v>
      </c>
      <c r="T3730">
        <f t="shared" si="422"/>
        <v>62.4091666666667</v>
      </c>
      <c r="U3730">
        <f t="shared" si="421"/>
        <v>218.4</v>
      </c>
      <c r="V3730">
        <f t="shared" si="423"/>
        <v>18.2</v>
      </c>
      <c r="W3730">
        <f t="shared" si="426"/>
        <v>525.396666666667</v>
      </c>
      <c r="X3730">
        <f t="shared" si="424"/>
        <v>1.65198237885463</v>
      </c>
      <c r="AH3730" t="str">
        <f t="shared" si="427"/>
        <v>3rd Quality</v>
      </c>
      <c r="AJ3730">
        <f>((T3730-X3730)*2)/19.6</f>
        <v>6.1997126824298</v>
      </c>
      <c r="AK3730">
        <f t="shared" si="425"/>
        <v>85188.5125</v>
      </c>
    </row>
    <row r="3731" spans="1:37">
      <c r="A3731" t="s">
        <v>3797</v>
      </c>
      <c r="B3731">
        <v>25</v>
      </c>
      <c r="C3731" t="s">
        <v>44</v>
      </c>
      <c r="D3731" t="s">
        <v>60</v>
      </c>
      <c r="E3731">
        <v>1203</v>
      </c>
      <c r="F3731">
        <v>48</v>
      </c>
      <c r="G3731">
        <v>6</v>
      </c>
      <c r="H3731">
        <v>860.66</v>
      </c>
      <c r="I3731">
        <v>4665.84</v>
      </c>
      <c r="J3731">
        <v>30</v>
      </c>
      <c r="K3731">
        <v>0</v>
      </c>
      <c r="L3731">
        <v>18.5</v>
      </c>
      <c r="M3731">
        <v>15</v>
      </c>
      <c r="N3731" t="s">
        <v>57</v>
      </c>
      <c r="O3731" t="s">
        <v>47</v>
      </c>
      <c r="P3731" t="s">
        <v>58</v>
      </c>
      <c r="R3731">
        <f>SUMIF(A3731:A8730,"C03730",I3731:I8730)</f>
        <v>4665.84</v>
      </c>
      <c r="S3731" s="1">
        <v>57215.21</v>
      </c>
      <c r="T3731">
        <f t="shared" si="422"/>
        <v>155.528</v>
      </c>
      <c r="U3731">
        <f t="shared" si="421"/>
        <v>450</v>
      </c>
      <c r="V3731">
        <f t="shared" si="423"/>
        <v>37.5</v>
      </c>
      <c r="W3731">
        <f t="shared" si="426"/>
        <v>1842.5</v>
      </c>
      <c r="X3731">
        <f t="shared" si="424"/>
        <v>1.39776450630911</v>
      </c>
      <c r="AH3731" t="str">
        <f t="shared" si="427"/>
        <v>3rd Quality</v>
      </c>
      <c r="AJ3731">
        <f>((T3731-X3731)*2)/18.5</f>
        <v>16.6627281614801</v>
      </c>
      <c r="AK3731">
        <f t="shared" si="425"/>
        <v>187100.184</v>
      </c>
    </row>
    <row r="3732" spans="1:37">
      <c r="A3732" t="s">
        <v>3798</v>
      </c>
      <c r="B3732">
        <v>28</v>
      </c>
      <c r="C3732" t="s">
        <v>44</v>
      </c>
      <c r="D3732" t="s">
        <v>45</v>
      </c>
      <c r="E3732">
        <v>399</v>
      </c>
      <c r="F3732">
        <v>143</v>
      </c>
      <c r="G3732">
        <v>1</v>
      </c>
      <c r="H3732">
        <v>2253.5</v>
      </c>
      <c r="I3732">
        <v>2068.59</v>
      </c>
      <c r="J3732">
        <v>10</v>
      </c>
      <c r="K3732">
        <v>0</v>
      </c>
      <c r="L3732">
        <v>14.6</v>
      </c>
      <c r="M3732">
        <v>25.3</v>
      </c>
      <c r="N3732" t="s">
        <v>52</v>
      </c>
      <c r="O3732" t="s">
        <v>53</v>
      </c>
      <c r="P3732" t="s">
        <v>58</v>
      </c>
      <c r="R3732">
        <f>SUMIF(A3732:A8731,"C03731",I3732:I8731)</f>
        <v>2068.59</v>
      </c>
      <c r="S3732" s="1">
        <v>52264.6</v>
      </c>
      <c r="T3732">
        <f t="shared" si="422"/>
        <v>206.859</v>
      </c>
      <c r="U3732">
        <f t="shared" si="421"/>
        <v>253</v>
      </c>
      <c r="V3732">
        <f t="shared" si="423"/>
        <v>21.0833333333333</v>
      </c>
      <c r="W3732">
        <f t="shared" si="426"/>
        <v>1441.03</v>
      </c>
      <c r="X3732">
        <f t="shared" si="424"/>
        <v>0.177057909917905</v>
      </c>
      <c r="AH3732" t="str">
        <f t="shared" si="427"/>
        <v>3rd Quality</v>
      </c>
      <c r="AJ3732">
        <f>((T3732-X3732)*2)/14.6</f>
        <v>28.3125948068606</v>
      </c>
      <c r="AK3732">
        <f t="shared" si="425"/>
        <v>82536.741</v>
      </c>
    </row>
    <row r="3733" spans="1:37">
      <c r="A3733" t="s">
        <v>3799</v>
      </c>
      <c r="B3733">
        <v>38</v>
      </c>
      <c r="C3733" t="s">
        <v>44</v>
      </c>
      <c r="D3733" t="s">
        <v>60</v>
      </c>
      <c r="E3733">
        <v>823</v>
      </c>
      <c r="F3733">
        <v>193</v>
      </c>
      <c r="G3733">
        <v>1</v>
      </c>
      <c r="H3733">
        <v>3363.27</v>
      </c>
      <c r="I3733">
        <v>3085.35</v>
      </c>
      <c r="J3733">
        <v>13</v>
      </c>
      <c r="K3733">
        <v>0</v>
      </c>
      <c r="L3733">
        <v>19.8</v>
      </c>
      <c r="M3733">
        <v>37.5</v>
      </c>
      <c r="N3733" t="s">
        <v>61</v>
      </c>
      <c r="O3733" t="s">
        <v>53</v>
      </c>
      <c r="P3733" t="s">
        <v>68</v>
      </c>
      <c r="R3733">
        <f>SUMIF(A3733:A8732,"C03732",I3733:I8732)</f>
        <v>3085.35</v>
      </c>
      <c r="S3733" s="1">
        <v>64799.46</v>
      </c>
      <c r="T3733">
        <f t="shared" si="422"/>
        <v>237.334615384615</v>
      </c>
      <c r="U3733">
        <f t="shared" si="421"/>
        <v>487.5</v>
      </c>
      <c r="V3733">
        <f t="shared" si="423"/>
        <v>40.625</v>
      </c>
      <c r="W3733">
        <f t="shared" si="426"/>
        <v>2149.87333333333</v>
      </c>
      <c r="X3733">
        <f t="shared" si="424"/>
        <v>0.244702328388741</v>
      </c>
      <c r="AH3733" t="str">
        <f t="shared" si="427"/>
        <v>3rd Quality</v>
      </c>
      <c r="AJ3733">
        <f>((T3733-X3733)*2)/19.8</f>
        <v>23.9484760662855</v>
      </c>
      <c r="AK3733">
        <f t="shared" si="425"/>
        <v>195326.388461538</v>
      </c>
    </row>
    <row r="3734" spans="1:37">
      <c r="A3734" t="s">
        <v>3800</v>
      </c>
      <c r="B3734">
        <v>18</v>
      </c>
      <c r="C3734" t="s">
        <v>50</v>
      </c>
      <c r="D3734" t="s">
        <v>60</v>
      </c>
      <c r="E3734">
        <v>646</v>
      </c>
      <c r="F3734">
        <v>17</v>
      </c>
      <c r="G3734">
        <v>5</v>
      </c>
      <c r="H3734">
        <v>12448.37</v>
      </c>
      <c r="I3734">
        <v>57215.21</v>
      </c>
      <c r="J3734">
        <v>47</v>
      </c>
      <c r="K3734">
        <v>0</v>
      </c>
      <c r="L3734">
        <v>8.7</v>
      </c>
      <c r="M3734">
        <v>20</v>
      </c>
      <c r="N3734" t="s">
        <v>61</v>
      </c>
      <c r="O3734" t="s">
        <v>53</v>
      </c>
      <c r="P3734" t="s">
        <v>58</v>
      </c>
      <c r="R3734">
        <f>SUMIF(A3734:A8733,"C03733",I3734:I8733)</f>
        <v>57215.21</v>
      </c>
      <c r="S3734" s="1">
        <v>2605.9</v>
      </c>
      <c r="T3734">
        <f t="shared" si="422"/>
        <v>1217.34489361702</v>
      </c>
      <c r="U3734">
        <f t="shared" si="421"/>
        <v>940</v>
      </c>
      <c r="V3734">
        <f t="shared" si="423"/>
        <v>78.3333333333333</v>
      </c>
      <c r="W3734">
        <f t="shared" si="426"/>
        <v>23221.5266666667</v>
      </c>
      <c r="X3734">
        <f t="shared" si="424"/>
        <v>0.0518943444001102</v>
      </c>
      <c r="AH3734" t="str">
        <f t="shared" si="427"/>
        <v>2nd Quality</v>
      </c>
      <c r="AJ3734">
        <f>((T3734-X3734)*2)/8.7</f>
        <v>279.837471097154</v>
      </c>
      <c r="AK3734">
        <f t="shared" si="425"/>
        <v>786404.801276596</v>
      </c>
    </row>
    <row r="3735" spans="1:37">
      <c r="A3735" t="s">
        <v>3801</v>
      </c>
      <c r="B3735">
        <v>48</v>
      </c>
      <c r="C3735" t="s">
        <v>44</v>
      </c>
      <c r="D3735" t="s">
        <v>45</v>
      </c>
      <c r="E3735">
        <v>458</v>
      </c>
      <c r="F3735">
        <v>82</v>
      </c>
      <c r="G3735">
        <v>4</v>
      </c>
      <c r="H3735">
        <v>14269.68</v>
      </c>
      <c r="I3735">
        <v>52264.6</v>
      </c>
      <c r="J3735">
        <v>32</v>
      </c>
      <c r="K3735">
        <v>0</v>
      </c>
      <c r="L3735">
        <v>15.1</v>
      </c>
      <c r="M3735">
        <v>16.4</v>
      </c>
      <c r="N3735" t="s">
        <v>81</v>
      </c>
      <c r="O3735" t="s">
        <v>47</v>
      </c>
      <c r="P3735" t="s">
        <v>68</v>
      </c>
      <c r="R3735">
        <f>SUMIF(A3735:A8734,"C03734",I3735:I8734)</f>
        <v>52264.6</v>
      </c>
      <c r="S3735" s="1">
        <v>15944.88</v>
      </c>
      <c r="T3735">
        <f t="shared" si="422"/>
        <v>1633.26875</v>
      </c>
      <c r="U3735">
        <f t="shared" si="421"/>
        <v>524.8</v>
      </c>
      <c r="V3735">
        <f t="shared" si="423"/>
        <v>43.7333333333333</v>
      </c>
      <c r="W3735">
        <f t="shared" si="426"/>
        <v>22178.4266666667</v>
      </c>
      <c r="X3735">
        <f t="shared" si="424"/>
        <v>0.0320960245779863</v>
      </c>
      <c r="AH3735" t="str">
        <f t="shared" si="427"/>
        <v>3rd Quality</v>
      </c>
      <c r="AJ3735">
        <f>((T3735-X3735)*2)/15.1</f>
        <v>216.322735625884</v>
      </c>
      <c r="AK3735">
        <f t="shared" si="425"/>
        <v>748037.0875</v>
      </c>
    </row>
    <row r="3736" spans="1:37">
      <c r="A3736" t="s">
        <v>3802</v>
      </c>
      <c r="B3736">
        <v>34</v>
      </c>
      <c r="C3736" t="s">
        <v>101</v>
      </c>
      <c r="D3736" t="s">
        <v>60</v>
      </c>
      <c r="E3736">
        <v>1377</v>
      </c>
      <c r="F3736">
        <v>5</v>
      </c>
      <c r="G3736">
        <v>21</v>
      </c>
      <c r="H3736">
        <v>3178.83</v>
      </c>
      <c r="I3736">
        <v>64799.46</v>
      </c>
      <c r="J3736">
        <v>171</v>
      </c>
      <c r="K3736">
        <v>2</v>
      </c>
      <c r="L3736">
        <v>3.6</v>
      </c>
      <c r="M3736">
        <v>10.4</v>
      </c>
      <c r="N3736" t="s">
        <v>78</v>
      </c>
      <c r="O3736" t="s">
        <v>53</v>
      </c>
      <c r="P3736" t="s">
        <v>58</v>
      </c>
      <c r="R3736">
        <f>SUMIF(A3736:A8735,"C03735",I3736:I8735)</f>
        <v>64799.46</v>
      </c>
      <c r="S3736" s="1">
        <v>1435.06</v>
      </c>
      <c r="T3736">
        <f t="shared" si="422"/>
        <v>378.944210526316</v>
      </c>
      <c r="U3736">
        <f t="shared" si="421"/>
        <v>1778.4</v>
      </c>
      <c r="V3736">
        <f>U3736*2</f>
        <v>3556.8</v>
      </c>
      <c r="W3736">
        <f t="shared" si="426"/>
        <v>22659.7633333333</v>
      </c>
      <c r="X3736">
        <f t="shared" si="424"/>
        <v>0.433178244825927</v>
      </c>
      <c r="AH3736" t="str">
        <f t="shared" si="427"/>
        <v>2nd Quality</v>
      </c>
      <c r="AJ3736">
        <f>((T3736-X3736)*2)/3.6</f>
        <v>210.28390682305</v>
      </c>
      <c r="AK3736">
        <f t="shared" si="425"/>
        <v>521806.177894737</v>
      </c>
    </row>
    <row r="3737" spans="1:37">
      <c r="A3737" t="s">
        <v>3803</v>
      </c>
      <c r="B3737">
        <v>39</v>
      </c>
      <c r="C3737" t="s">
        <v>50</v>
      </c>
      <c r="D3737" t="s">
        <v>60</v>
      </c>
      <c r="E3737">
        <v>1272</v>
      </c>
      <c r="F3737">
        <v>185</v>
      </c>
      <c r="G3737">
        <v>1</v>
      </c>
      <c r="H3737">
        <v>2769.48</v>
      </c>
      <c r="I3737">
        <v>2605.9</v>
      </c>
      <c r="J3737">
        <v>14</v>
      </c>
      <c r="K3737">
        <v>0</v>
      </c>
      <c r="L3737">
        <v>23.5</v>
      </c>
      <c r="M3737">
        <v>30.4</v>
      </c>
      <c r="N3737" t="s">
        <v>63</v>
      </c>
      <c r="O3737" t="s">
        <v>47</v>
      </c>
      <c r="P3737" t="s">
        <v>58</v>
      </c>
      <c r="R3737">
        <f>SUMIF(A3737:A8736,"C03736",I3737:I8736)</f>
        <v>2605.9</v>
      </c>
      <c r="S3737" s="1">
        <v>6677.71</v>
      </c>
      <c r="T3737">
        <f t="shared" si="422"/>
        <v>186.135714285714</v>
      </c>
      <c r="U3737">
        <f t="shared" si="421"/>
        <v>425.6</v>
      </c>
      <c r="V3737">
        <f t="shared" si="423"/>
        <v>35.4666666666667</v>
      </c>
      <c r="W3737">
        <f t="shared" si="426"/>
        <v>1792.12666666667</v>
      </c>
      <c r="X3737">
        <f t="shared" si="424"/>
        <v>0.459291997053599</v>
      </c>
      <c r="AH3737" t="str">
        <f t="shared" si="427"/>
        <v>3rd Quality</v>
      </c>
      <c r="AJ3737">
        <f>((T3737-X3737)*2)/23.5</f>
        <v>15.8022487054179</v>
      </c>
      <c r="AK3737">
        <f t="shared" si="425"/>
        <v>236764.628571429</v>
      </c>
    </row>
    <row r="3738" spans="1:37">
      <c r="A3738" t="s">
        <v>3804</v>
      </c>
      <c r="B3738">
        <v>30</v>
      </c>
      <c r="C3738" t="s">
        <v>50</v>
      </c>
      <c r="D3738" t="s">
        <v>45</v>
      </c>
      <c r="E3738">
        <v>1323</v>
      </c>
      <c r="F3738">
        <v>32</v>
      </c>
      <c r="G3738">
        <v>12</v>
      </c>
      <c r="H3738">
        <v>1355.72</v>
      </c>
      <c r="I3738">
        <v>15944.88</v>
      </c>
      <c r="J3738">
        <v>77</v>
      </c>
      <c r="K3738">
        <v>0</v>
      </c>
      <c r="L3738">
        <v>10.4</v>
      </c>
      <c r="M3738">
        <v>10.7</v>
      </c>
      <c r="N3738" t="s">
        <v>46</v>
      </c>
      <c r="O3738" t="s">
        <v>47</v>
      </c>
      <c r="P3738" t="s">
        <v>58</v>
      </c>
      <c r="R3738">
        <f>SUMIF(A3738:A8737,"C03737",I3738:I8737)</f>
        <v>15944.88</v>
      </c>
      <c r="S3738" s="1">
        <v>17843.55</v>
      </c>
      <c r="T3738">
        <f t="shared" si="422"/>
        <v>207.076363636364</v>
      </c>
      <c r="U3738">
        <f t="shared" si="421"/>
        <v>823.9</v>
      </c>
      <c r="V3738">
        <f t="shared" si="423"/>
        <v>68.6583333333333</v>
      </c>
      <c r="W3738">
        <f t="shared" si="426"/>
        <v>5767.2</v>
      </c>
      <c r="X3738">
        <f t="shared" si="424"/>
        <v>0.975865222907385</v>
      </c>
      <c r="AH3738" t="str">
        <f t="shared" si="427"/>
        <v>3rd Quality</v>
      </c>
      <c r="AJ3738">
        <f>((T3738-X3738)*2)/10.4</f>
        <v>39.634711233357</v>
      </c>
      <c r="AK3738">
        <f t="shared" si="425"/>
        <v>273962.029090909</v>
      </c>
    </row>
    <row r="3739" spans="1:37">
      <c r="A3739" t="s">
        <v>3805</v>
      </c>
      <c r="B3739">
        <v>32</v>
      </c>
      <c r="C3739" t="s">
        <v>44</v>
      </c>
      <c r="D3739" t="s">
        <v>45</v>
      </c>
      <c r="E3739">
        <v>1062</v>
      </c>
      <c r="F3739">
        <v>99</v>
      </c>
      <c r="G3739">
        <v>1</v>
      </c>
      <c r="H3739">
        <v>1311.16</v>
      </c>
      <c r="I3739">
        <v>1435.06</v>
      </c>
      <c r="J3739">
        <v>12</v>
      </c>
      <c r="K3739">
        <v>0</v>
      </c>
      <c r="L3739">
        <v>22.2</v>
      </c>
      <c r="M3739">
        <v>32.2</v>
      </c>
      <c r="N3739" t="s">
        <v>63</v>
      </c>
      <c r="O3739" t="s">
        <v>47</v>
      </c>
      <c r="P3739" t="s">
        <v>58</v>
      </c>
      <c r="R3739">
        <f>SUMIF(A3739:A8738,"C03738",I3739:I8738)</f>
        <v>1435.06</v>
      </c>
      <c r="S3739" s="1">
        <v>39181.8</v>
      </c>
      <c r="T3739">
        <f t="shared" si="422"/>
        <v>119.588333333333</v>
      </c>
      <c r="U3739">
        <f t="shared" si="421"/>
        <v>386.4</v>
      </c>
      <c r="V3739">
        <f t="shared" si="423"/>
        <v>32.2</v>
      </c>
      <c r="W3739">
        <f t="shared" si="426"/>
        <v>915.74</v>
      </c>
      <c r="X3739">
        <f t="shared" si="424"/>
        <v>0.809969797736356</v>
      </c>
      <c r="AH3739" t="str">
        <f t="shared" si="427"/>
        <v>3rd Quality</v>
      </c>
      <c r="AJ3739">
        <f>((T3739-X3739)*2)/22.2</f>
        <v>10.7007534716754</v>
      </c>
      <c r="AK3739">
        <f t="shared" si="425"/>
        <v>127002.81</v>
      </c>
    </row>
    <row r="3740" spans="1:37">
      <c r="A3740" t="s">
        <v>3806</v>
      </c>
      <c r="B3740">
        <v>36</v>
      </c>
      <c r="C3740" t="s">
        <v>56</v>
      </c>
      <c r="D3740" t="s">
        <v>45</v>
      </c>
      <c r="E3740">
        <v>1165</v>
      </c>
      <c r="F3740">
        <v>68</v>
      </c>
      <c r="G3740">
        <v>6</v>
      </c>
      <c r="H3740">
        <v>1153.95</v>
      </c>
      <c r="I3740">
        <v>6677.71</v>
      </c>
      <c r="J3740">
        <v>46</v>
      </c>
      <c r="K3740">
        <v>0</v>
      </c>
      <c r="L3740">
        <v>27.2</v>
      </c>
      <c r="M3740">
        <v>18.8</v>
      </c>
      <c r="N3740" t="s">
        <v>63</v>
      </c>
      <c r="O3740" t="s">
        <v>47</v>
      </c>
      <c r="P3740" t="s">
        <v>66</v>
      </c>
      <c r="R3740">
        <f>SUMIF(A3740:A8739,"C03739",I3740:I8739)</f>
        <v>6677.71</v>
      </c>
      <c r="S3740" s="1">
        <v>139220.86</v>
      </c>
      <c r="T3740">
        <f t="shared" si="422"/>
        <v>145.167608695652</v>
      </c>
      <c r="U3740">
        <f t="shared" si="421"/>
        <v>864.8</v>
      </c>
      <c r="V3740">
        <f t="shared" si="423"/>
        <v>72.0666666666667</v>
      </c>
      <c r="W3740">
        <f t="shared" si="426"/>
        <v>2610.88666666667</v>
      </c>
      <c r="X3740">
        <f t="shared" si="424"/>
        <v>1.00957580484423</v>
      </c>
      <c r="AH3740" t="str">
        <f t="shared" si="427"/>
        <v>3rd Quality</v>
      </c>
      <c r="AJ3740">
        <f>((T3740-X3740)*2)/27.2</f>
        <v>10.5998553596182</v>
      </c>
      <c r="AK3740">
        <f t="shared" si="425"/>
        <v>169120.264130435</v>
      </c>
    </row>
    <row r="3741" spans="1:37">
      <c r="A3741" t="s">
        <v>3807</v>
      </c>
      <c r="B3741">
        <v>38</v>
      </c>
      <c r="C3741" t="s">
        <v>50</v>
      </c>
      <c r="D3741" t="s">
        <v>60</v>
      </c>
      <c r="E3741">
        <v>1037</v>
      </c>
      <c r="F3741">
        <v>65</v>
      </c>
      <c r="G3741">
        <v>12</v>
      </c>
      <c r="H3741">
        <v>1567.28</v>
      </c>
      <c r="I3741">
        <v>17843.55</v>
      </c>
      <c r="J3741">
        <v>80</v>
      </c>
      <c r="K3741">
        <v>3</v>
      </c>
      <c r="L3741">
        <v>14.3</v>
      </c>
      <c r="M3741">
        <v>34.9</v>
      </c>
      <c r="N3741" t="s">
        <v>57</v>
      </c>
      <c r="O3741" t="s">
        <v>47</v>
      </c>
      <c r="P3741" t="s">
        <v>58</v>
      </c>
      <c r="R3741">
        <f>SUMIF(A3741:A8740,"C03740",I3741:I8740)</f>
        <v>17843.55</v>
      </c>
      <c r="S3741" s="1">
        <v>1784.65</v>
      </c>
      <c r="T3741">
        <f t="shared" si="422"/>
        <v>223.044375</v>
      </c>
      <c r="U3741">
        <f t="shared" si="421"/>
        <v>2792</v>
      </c>
      <c r="V3741">
        <f>U3741*3</f>
        <v>8376</v>
      </c>
      <c r="W3741">
        <f t="shared" si="426"/>
        <v>6470.61</v>
      </c>
      <c r="X3741">
        <f t="shared" si="424"/>
        <v>0.661655862385789</v>
      </c>
      <c r="AH3741" t="str">
        <f t="shared" si="427"/>
        <v>2nd Quality</v>
      </c>
      <c r="AJ3741">
        <f>((T3741-X3741)*2)/14.3</f>
        <v>31.1024782010649</v>
      </c>
      <c r="AK3741">
        <f t="shared" si="425"/>
        <v>231297.016875</v>
      </c>
    </row>
    <row r="3742" spans="1:37">
      <c r="A3742" t="s">
        <v>3808</v>
      </c>
      <c r="B3742">
        <v>52</v>
      </c>
      <c r="C3742" t="s">
        <v>44</v>
      </c>
      <c r="D3742" t="s">
        <v>60</v>
      </c>
      <c r="E3742">
        <v>420</v>
      </c>
      <c r="F3742">
        <v>19</v>
      </c>
      <c r="G3742">
        <v>20</v>
      </c>
      <c r="H3742">
        <v>1781.89</v>
      </c>
      <c r="I3742">
        <v>39181.8</v>
      </c>
      <c r="J3742">
        <v>127</v>
      </c>
      <c r="K3742">
        <v>2</v>
      </c>
      <c r="L3742">
        <v>12.8</v>
      </c>
      <c r="M3742">
        <v>37</v>
      </c>
      <c r="N3742" t="s">
        <v>78</v>
      </c>
      <c r="O3742" t="s">
        <v>53</v>
      </c>
      <c r="P3742" t="s">
        <v>58</v>
      </c>
      <c r="R3742">
        <f>SUMIF(A3742:A8741,"C03741",I3742:I8741)</f>
        <v>39181.8</v>
      </c>
      <c r="S3742" s="1">
        <v>51045.69</v>
      </c>
      <c r="T3742">
        <f t="shared" si="422"/>
        <v>308.51811023622</v>
      </c>
      <c r="U3742">
        <f t="shared" si="421"/>
        <v>4699</v>
      </c>
      <c r="V3742">
        <f>U3742*2</f>
        <v>9398</v>
      </c>
      <c r="W3742">
        <f t="shared" si="426"/>
        <v>13654.8966666667</v>
      </c>
      <c r="X3742">
        <f t="shared" si="424"/>
        <v>0.235704785368345</v>
      </c>
      <c r="AH3742" t="str">
        <f t="shared" si="427"/>
        <v>3rd Quality</v>
      </c>
      <c r="AJ3742">
        <f>((T3742-X3742)*2)/12.8</f>
        <v>48.1691258516956</v>
      </c>
      <c r="AK3742">
        <f t="shared" si="425"/>
        <v>129577.606299213</v>
      </c>
    </row>
    <row r="3743" spans="1:37">
      <c r="A3743" t="s">
        <v>3809</v>
      </c>
      <c r="B3743">
        <v>39</v>
      </c>
      <c r="C3743" t="s">
        <v>50</v>
      </c>
      <c r="D3743" t="s">
        <v>60</v>
      </c>
      <c r="E3743">
        <v>533</v>
      </c>
      <c r="F3743">
        <v>6</v>
      </c>
      <c r="G3743">
        <v>30</v>
      </c>
      <c r="H3743">
        <v>4848.27</v>
      </c>
      <c r="I3743">
        <v>139220.86</v>
      </c>
      <c r="J3743">
        <v>183</v>
      </c>
      <c r="K3743">
        <v>3</v>
      </c>
      <c r="L3743">
        <v>4.4</v>
      </c>
      <c r="M3743">
        <v>46.4</v>
      </c>
      <c r="N3743" t="s">
        <v>52</v>
      </c>
      <c r="O3743" t="s">
        <v>47</v>
      </c>
      <c r="P3743" t="s">
        <v>58</v>
      </c>
      <c r="R3743">
        <f>SUMIF(A3743:A8742,"C03742",I3743:I8742)</f>
        <v>139220.86</v>
      </c>
      <c r="S3743" s="1">
        <v>68322.47</v>
      </c>
      <c r="T3743">
        <f t="shared" si="422"/>
        <v>760.769726775956</v>
      </c>
      <c r="U3743">
        <f t="shared" si="421"/>
        <v>8491.2</v>
      </c>
      <c r="V3743">
        <f>U3743*3</f>
        <v>25473.6</v>
      </c>
      <c r="W3743">
        <f t="shared" si="426"/>
        <v>48023.3766666667</v>
      </c>
      <c r="X3743">
        <f t="shared" si="424"/>
        <v>0.109936121544386</v>
      </c>
      <c r="AH3743" t="str">
        <f t="shared" si="427"/>
        <v>2nd Quality</v>
      </c>
      <c r="AJ3743">
        <f>((T3743-X3743)*2)/4.4</f>
        <v>345.75445029746</v>
      </c>
      <c r="AK3743">
        <f t="shared" si="425"/>
        <v>405490.264371585</v>
      </c>
    </row>
    <row r="3744" spans="1:37">
      <c r="A3744" t="s">
        <v>3810</v>
      </c>
      <c r="B3744">
        <v>38</v>
      </c>
      <c r="C3744" t="s">
        <v>50</v>
      </c>
      <c r="D3744" t="s">
        <v>51</v>
      </c>
      <c r="E3744">
        <v>1339</v>
      </c>
      <c r="F3744">
        <v>188</v>
      </c>
      <c r="G3744">
        <v>2</v>
      </c>
      <c r="H3744">
        <v>981.35</v>
      </c>
      <c r="I3744">
        <v>1784.65</v>
      </c>
      <c r="J3744">
        <v>22</v>
      </c>
      <c r="K3744">
        <v>0</v>
      </c>
      <c r="L3744">
        <v>36</v>
      </c>
      <c r="M3744">
        <v>28.8</v>
      </c>
      <c r="N3744" t="s">
        <v>52</v>
      </c>
      <c r="O3744" t="s">
        <v>47</v>
      </c>
      <c r="P3744" t="s">
        <v>68</v>
      </c>
      <c r="R3744">
        <f>SUMIF(A3744:A8743,"C03743",I3744:I8743)</f>
        <v>1784.65</v>
      </c>
      <c r="S3744" s="1">
        <v>4109.11</v>
      </c>
      <c r="T3744">
        <f t="shared" si="422"/>
        <v>81.1204545454545</v>
      </c>
      <c r="U3744">
        <f t="shared" si="421"/>
        <v>633.6</v>
      </c>
      <c r="V3744">
        <f t="shared" si="423"/>
        <v>52.8</v>
      </c>
      <c r="W3744">
        <f t="shared" si="426"/>
        <v>922.333333333333</v>
      </c>
      <c r="X3744">
        <f t="shared" si="424"/>
        <v>1.36444693534417</v>
      </c>
      <c r="AH3744" t="str">
        <f t="shared" si="427"/>
        <v>3rd Quality</v>
      </c>
      <c r="AJ3744">
        <f>((T3744-X3744)*2)/36</f>
        <v>4.4308893116728</v>
      </c>
      <c r="AK3744">
        <f t="shared" si="425"/>
        <v>108620.288636364</v>
      </c>
    </row>
    <row r="3745" spans="1:37">
      <c r="A3745" t="s">
        <v>3811</v>
      </c>
      <c r="B3745">
        <v>31</v>
      </c>
      <c r="C3745" t="s">
        <v>101</v>
      </c>
      <c r="D3745" t="s">
        <v>60</v>
      </c>
      <c r="E3745">
        <v>1050</v>
      </c>
      <c r="F3745">
        <v>17</v>
      </c>
      <c r="G3745">
        <v>4</v>
      </c>
      <c r="H3745">
        <v>12407.12</v>
      </c>
      <c r="I3745">
        <v>51045.69</v>
      </c>
      <c r="J3745">
        <v>35</v>
      </c>
      <c r="K3745">
        <v>1</v>
      </c>
      <c r="L3745">
        <v>12.1</v>
      </c>
      <c r="M3745">
        <v>26.6</v>
      </c>
      <c r="N3745" t="s">
        <v>61</v>
      </c>
      <c r="O3745" t="s">
        <v>47</v>
      </c>
      <c r="P3745" t="s">
        <v>58</v>
      </c>
      <c r="R3745">
        <f>SUMIF(A3745:A8744,"C03744",I3745:I8744)</f>
        <v>51045.69</v>
      </c>
      <c r="S3745" s="1">
        <v>11776.72</v>
      </c>
      <c r="T3745">
        <f t="shared" si="422"/>
        <v>1458.44828571429</v>
      </c>
      <c r="U3745">
        <f t="shared" si="421"/>
        <v>931</v>
      </c>
      <c r="V3745">
        <f>U3745*1</f>
        <v>931</v>
      </c>
      <c r="W3745">
        <f t="shared" si="426"/>
        <v>21151.27</v>
      </c>
      <c r="X3745">
        <f t="shared" si="424"/>
        <v>0.0846288260289253</v>
      </c>
      <c r="AH3745" t="str">
        <f t="shared" si="427"/>
        <v>1st Quality</v>
      </c>
      <c r="AJ3745">
        <f>((T3745-X3745)*2)/12.1</f>
        <v>241.051844113762</v>
      </c>
      <c r="AK3745">
        <f t="shared" si="425"/>
        <v>1531370.7</v>
      </c>
    </row>
    <row r="3746" spans="1:37">
      <c r="A3746" t="s">
        <v>3812</v>
      </c>
      <c r="B3746">
        <v>42</v>
      </c>
      <c r="C3746" t="s">
        <v>50</v>
      </c>
      <c r="D3746" t="s">
        <v>60</v>
      </c>
      <c r="E3746">
        <v>723</v>
      </c>
      <c r="F3746">
        <v>9</v>
      </c>
      <c r="G3746">
        <v>20</v>
      </c>
      <c r="H3746">
        <v>3604.91</v>
      </c>
      <c r="I3746">
        <v>68322.47</v>
      </c>
      <c r="J3746">
        <v>92</v>
      </c>
      <c r="K3746">
        <v>0</v>
      </c>
      <c r="L3746">
        <v>4.3</v>
      </c>
      <c r="M3746">
        <v>26.1</v>
      </c>
      <c r="N3746" t="s">
        <v>81</v>
      </c>
      <c r="O3746" t="s">
        <v>47</v>
      </c>
      <c r="P3746" t="s">
        <v>66</v>
      </c>
      <c r="R3746">
        <f>SUMIF(A3746:A8745,"C03745",I3746:I8745)</f>
        <v>68322.47</v>
      </c>
      <c r="S3746" s="1">
        <v>1442.17</v>
      </c>
      <c r="T3746">
        <f t="shared" si="422"/>
        <v>742.635543478261</v>
      </c>
      <c r="U3746">
        <f t="shared" ref="U3746:U3809" si="428">J3746*M3746</f>
        <v>2401.2</v>
      </c>
      <c r="V3746">
        <f t="shared" si="423"/>
        <v>200.1</v>
      </c>
      <c r="W3746">
        <f t="shared" si="426"/>
        <v>23976.1266666667</v>
      </c>
      <c r="X3746">
        <f t="shared" si="424"/>
        <v>0.200559792061383</v>
      </c>
      <c r="AH3746" t="str">
        <f t="shared" si="427"/>
        <v>2nd Quality</v>
      </c>
      <c r="AJ3746">
        <f>((T3746-X3746)*2)/4.3</f>
        <v>345.318597063349</v>
      </c>
      <c r="AK3746">
        <f t="shared" si="425"/>
        <v>536925.497934783</v>
      </c>
    </row>
    <row r="3747" spans="1:37">
      <c r="A3747" t="s">
        <v>3813</v>
      </c>
      <c r="B3747">
        <v>29</v>
      </c>
      <c r="C3747" t="s">
        <v>44</v>
      </c>
      <c r="D3747" t="s">
        <v>45</v>
      </c>
      <c r="E3747">
        <v>1239</v>
      </c>
      <c r="F3747">
        <v>90</v>
      </c>
      <c r="G3747">
        <v>4</v>
      </c>
      <c r="H3747">
        <v>1022.38</v>
      </c>
      <c r="I3747">
        <v>4109.11</v>
      </c>
      <c r="J3747">
        <v>32</v>
      </c>
      <c r="K3747">
        <v>0</v>
      </c>
      <c r="L3747">
        <v>26.5</v>
      </c>
      <c r="M3747">
        <v>14.8</v>
      </c>
      <c r="N3747" t="s">
        <v>46</v>
      </c>
      <c r="O3747" t="s">
        <v>53</v>
      </c>
      <c r="P3747" t="s">
        <v>58</v>
      </c>
      <c r="R3747">
        <f>SUMIF(A3747:A8746,"C03746",I3747:I8746)</f>
        <v>4109.11</v>
      </c>
      <c r="S3747" s="1">
        <v>22516.33</v>
      </c>
      <c r="T3747">
        <f t="shared" si="422"/>
        <v>128.4096875</v>
      </c>
      <c r="U3747">
        <f t="shared" si="428"/>
        <v>473.6</v>
      </c>
      <c r="V3747">
        <f t="shared" si="423"/>
        <v>39.4666666666667</v>
      </c>
      <c r="W3747">
        <f t="shared" si="426"/>
        <v>1710.83</v>
      </c>
      <c r="X3747">
        <f t="shared" si="424"/>
        <v>1.2118781666308</v>
      </c>
      <c r="AH3747" t="str">
        <f t="shared" si="427"/>
        <v>3rd Quality</v>
      </c>
      <c r="AJ3747">
        <f>((T3747-X3747)*2)/26.5</f>
        <v>9.59983466666937</v>
      </c>
      <c r="AK3747">
        <f t="shared" si="425"/>
        <v>159099.6028125</v>
      </c>
    </row>
    <row r="3748" spans="1:37">
      <c r="A3748" t="s">
        <v>3814</v>
      </c>
      <c r="B3748">
        <v>39</v>
      </c>
      <c r="C3748" t="s">
        <v>44</v>
      </c>
      <c r="D3748" t="s">
        <v>51</v>
      </c>
      <c r="E3748">
        <v>946</v>
      </c>
      <c r="F3748">
        <v>19</v>
      </c>
      <c r="G3748">
        <v>5</v>
      </c>
      <c r="H3748">
        <v>2213.01</v>
      </c>
      <c r="I3748">
        <v>11776.72</v>
      </c>
      <c r="J3748">
        <v>47</v>
      </c>
      <c r="K3748">
        <v>0</v>
      </c>
      <c r="L3748">
        <v>21.4</v>
      </c>
      <c r="M3748">
        <v>26.5</v>
      </c>
      <c r="N3748" t="s">
        <v>81</v>
      </c>
      <c r="O3748" t="s">
        <v>75</v>
      </c>
      <c r="P3748" t="s">
        <v>68</v>
      </c>
      <c r="R3748">
        <f>SUMIF(A3748:A8747,"C03747",I3748:I8747)</f>
        <v>11776.72</v>
      </c>
      <c r="S3748" s="1">
        <v>48147.29</v>
      </c>
      <c r="T3748">
        <f t="shared" si="422"/>
        <v>250.568510638298</v>
      </c>
      <c r="U3748">
        <f t="shared" si="428"/>
        <v>1245.5</v>
      </c>
      <c r="V3748">
        <f t="shared" si="423"/>
        <v>103.791666666667</v>
      </c>
      <c r="W3748">
        <f t="shared" si="426"/>
        <v>4663.57666666667</v>
      </c>
      <c r="X3748">
        <f t="shared" si="424"/>
        <v>0.427472085530567</v>
      </c>
      <c r="AH3748" t="str">
        <f t="shared" si="427"/>
        <v>3rd Quality</v>
      </c>
      <c r="AJ3748">
        <f>((T3748-X3748)*2)/21.4</f>
        <v>23.3776671544642</v>
      </c>
      <c r="AK3748">
        <f t="shared" si="425"/>
        <v>237037.81106383</v>
      </c>
    </row>
    <row r="3749" spans="1:37">
      <c r="A3749" t="s">
        <v>3815</v>
      </c>
      <c r="B3749">
        <v>34</v>
      </c>
      <c r="C3749" t="s">
        <v>50</v>
      </c>
      <c r="D3749" t="s">
        <v>45</v>
      </c>
      <c r="E3749">
        <v>1457</v>
      </c>
      <c r="F3749">
        <v>51</v>
      </c>
      <c r="G3749">
        <v>1</v>
      </c>
      <c r="H3749">
        <v>1419.83</v>
      </c>
      <c r="I3749">
        <v>1442.17</v>
      </c>
      <c r="J3749">
        <v>17</v>
      </c>
      <c r="K3749">
        <v>0</v>
      </c>
      <c r="L3749">
        <v>26.5</v>
      </c>
      <c r="M3749">
        <v>11.5</v>
      </c>
      <c r="N3749" t="s">
        <v>78</v>
      </c>
      <c r="O3749" t="s">
        <v>47</v>
      </c>
      <c r="P3749" t="s">
        <v>48</v>
      </c>
      <c r="R3749">
        <f>SUMIF(A3749:A8748,"C03748",I3749:I8748)</f>
        <v>1442.17</v>
      </c>
      <c r="S3749" s="1">
        <v>102681.93</v>
      </c>
      <c r="T3749">
        <f t="shared" si="422"/>
        <v>84.8335294117647</v>
      </c>
      <c r="U3749">
        <f t="shared" si="428"/>
        <v>195.5</v>
      </c>
      <c r="V3749">
        <f t="shared" si="423"/>
        <v>16.2916666666667</v>
      </c>
      <c r="W3749">
        <f t="shared" si="426"/>
        <v>954.333333333333</v>
      </c>
      <c r="X3749">
        <f t="shared" si="424"/>
        <v>1.02617919046646</v>
      </c>
      <c r="AH3749" t="str">
        <f t="shared" si="427"/>
        <v>3rd Quality</v>
      </c>
      <c r="AJ3749">
        <f>((T3749-X3749)*2)/26.5</f>
        <v>6.32508303556968</v>
      </c>
      <c r="AK3749">
        <f t="shared" si="425"/>
        <v>123602.452352941</v>
      </c>
    </row>
    <row r="3750" spans="1:37">
      <c r="A3750" t="s">
        <v>3816</v>
      </c>
      <c r="B3750">
        <v>21</v>
      </c>
      <c r="C3750" t="s">
        <v>50</v>
      </c>
      <c r="D3750" t="s">
        <v>60</v>
      </c>
      <c r="E3750">
        <v>912</v>
      </c>
      <c r="F3750">
        <v>37</v>
      </c>
      <c r="G3750">
        <v>13</v>
      </c>
      <c r="H3750">
        <v>1612.53</v>
      </c>
      <c r="I3750">
        <v>22516.33</v>
      </c>
      <c r="J3750">
        <v>65</v>
      </c>
      <c r="K3750">
        <v>0</v>
      </c>
      <c r="L3750">
        <v>15.4</v>
      </c>
      <c r="M3750">
        <v>33.8</v>
      </c>
      <c r="N3750" t="s">
        <v>78</v>
      </c>
      <c r="O3750" t="s">
        <v>47</v>
      </c>
      <c r="P3750" t="s">
        <v>68</v>
      </c>
      <c r="R3750">
        <f>SUMIF(A3750:A8749,"C03749",I3750:I8749)</f>
        <v>22516.33</v>
      </c>
      <c r="S3750" s="1">
        <v>40750.59</v>
      </c>
      <c r="T3750">
        <f t="shared" si="422"/>
        <v>346.405076923077</v>
      </c>
      <c r="U3750">
        <f t="shared" si="428"/>
        <v>2197</v>
      </c>
      <c r="V3750">
        <f t="shared" si="423"/>
        <v>183.083333333333</v>
      </c>
      <c r="W3750">
        <f t="shared" si="426"/>
        <v>8043.28666666667</v>
      </c>
      <c r="X3750">
        <f t="shared" si="424"/>
        <v>0.565570873100035</v>
      </c>
      <c r="AH3750" t="str">
        <f t="shared" si="427"/>
        <v>2nd Quality</v>
      </c>
      <c r="AJ3750">
        <f>((T3750-X3750)*2)/15.4</f>
        <v>44.9142215649321</v>
      </c>
      <c r="AK3750">
        <f t="shared" si="425"/>
        <v>315921.430153846</v>
      </c>
    </row>
    <row r="3751" spans="1:37">
      <c r="A3751" t="s">
        <v>3817</v>
      </c>
      <c r="B3751">
        <v>41</v>
      </c>
      <c r="C3751" t="s">
        <v>44</v>
      </c>
      <c r="D3751" t="s">
        <v>45</v>
      </c>
      <c r="E3751">
        <v>1101</v>
      </c>
      <c r="F3751">
        <v>3</v>
      </c>
      <c r="G3751">
        <v>21</v>
      </c>
      <c r="H3751">
        <v>2381.49</v>
      </c>
      <c r="I3751">
        <v>48147.29</v>
      </c>
      <c r="J3751">
        <v>176</v>
      </c>
      <c r="K3751">
        <v>3</v>
      </c>
      <c r="L3751">
        <v>0</v>
      </c>
      <c r="M3751">
        <v>49.1</v>
      </c>
      <c r="N3751" t="s">
        <v>81</v>
      </c>
      <c r="O3751" t="s">
        <v>47</v>
      </c>
      <c r="P3751" t="s">
        <v>58</v>
      </c>
      <c r="R3751">
        <f>SUMIF(A3751:A8750,"C03750",I3751:I8750)</f>
        <v>48147.29</v>
      </c>
      <c r="S3751" s="1">
        <v>11437.12</v>
      </c>
      <c r="T3751">
        <f t="shared" ref="T3751:T3814" si="429">I3751/J3751</f>
        <v>273.564147727273</v>
      </c>
      <c r="U3751">
        <f t="shared" si="428"/>
        <v>8641.6</v>
      </c>
      <c r="V3751">
        <f>U3751*3</f>
        <v>25924.8</v>
      </c>
      <c r="W3751">
        <f t="shared" si="426"/>
        <v>16843.26</v>
      </c>
      <c r="X3751">
        <f t="shared" si="424"/>
        <v>0.462315609135457</v>
      </c>
      <c r="AH3751" t="str">
        <f t="shared" si="427"/>
        <v>2nd Quality</v>
      </c>
      <c r="AJ3751">
        <f>((T3751-X3751)*2)</f>
        <v>546.203664236275</v>
      </c>
      <c r="AK3751">
        <f t="shared" si="425"/>
        <v>301194.126647727</v>
      </c>
    </row>
    <row r="3752" spans="1:37">
      <c r="A3752" t="s">
        <v>3818</v>
      </c>
      <c r="B3752">
        <v>25</v>
      </c>
      <c r="C3752" t="s">
        <v>56</v>
      </c>
      <c r="D3752" t="s">
        <v>45</v>
      </c>
      <c r="E3752">
        <v>1442</v>
      </c>
      <c r="F3752">
        <v>26</v>
      </c>
      <c r="G3752">
        <v>28</v>
      </c>
      <c r="H3752">
        <v>3984.01</v>
      </c>
      <c r="I3752">
        <v>102681.93</v>
      </c>
      <c r="J3752">
        <v>124</v>
      </c>
      <c r="K3752">
        <v>3</v>
      </c>
      <c r="L3752">
        <v>6</v>
      </c>
      <c r="M3752">
        <v>51.6</v>
      </c>
      <c r="N3752" t="s">
        <v>57</v>
      </c>
      <c r="O3752" t="s">
        <v>47</v>
      </c>
      <c r="P3752" t="s">
        <v>66</v>
      </c>
      <c r="R3752">
        <f>SUMIF(A3752:A8751,"C03751",I3752:I8751)</f>
        <v>102681.93</v>
      </c>
      <c r="S3752" s="1">
        <v>926.45</v>
      </c>
      <c r="T3752">
        <f t="shared" si="429"/>
        <v>828.080080645161</v>
      </c>
      <c r="U3752">
        <f t="shared" si="428"/>
        <v>6398.4</v>
      </c>
      <c r="V3752">
        <f>U3752*3</f>
        <v>19195.2</v>
      </c>
      <c r="W3752">
        <f t="shared" si="426"/>
        <v>35555.6466666667</v>
      </c>
      <c r="X3752">
        <f t="shared" si="424"/>
        <v>0.361946882663447</v>
      </c>
      <c r="AH3752" t="str">
        <f t="shared" si="427"/>
        <v>1st Quality</v>
      </c>
      <c r="AJ3752">
        <f>((T3752-X3752)*2)/6</f>
        <v>275.906044587499</v>
      </c>
      <c r="AK3752">
        <f t="shared" si="425"/>
        <v>1194091.47629032</v>
      </c>
    </row>
    <row r="3753" spans="1:37">
      <c r="A3753" t="s">
        <v>3819</v>
      </c>
      <c r="B3753">
        <v>61</v>
      </c>
      <c r="C3753" t="s">
        <v>50</v>
      </c>
      <c r="D3753" t="s">
        <v>60</v>
      </c>
      <c r="E3753">
        <v>841</v>
      </c>
      <c r="F3753">
        <v>19</v>
      </c>
      <c r="G3753">
        <v>4</v>
      </c>
      <c r="H3753">
        <v>10451.87</v>
      </c>
      <c r="I3753">
        <v>40750.59</v>
      </c>
      <c r="J3753">
        <v>37</v>
      </c>
      <c r="K3753">
        <v>1</v>
      </c>
      <c r="L3753">
        <v>0</v>
      </c>
      <c r="M3753">
        <v>14.6</v>
      </c>
      <c r="N3753" t="s">
        <v>46</v>
      </c>
      <c r="O3753" t="s">
        <v>47</v>
      </c>
      <c r="P3753" t="s">
        <v>58</v>
      </c>
      <c r="R3753">
        <f>SUMIF(A3753:A8752,"C03752",I3753:I8752)</f>
        <v>40750.59</v>
      </c>
      <c r="S3753" s="1">
        <v>14773.08</v>
      </c>
      <c r="T3753">
        <f t="shared" si="429"/>
        <v>1101.3672972973</v>
      </c>
      <c r="U3753">
        <f t="shared" si="428"/>
        <v>540.2</v>
      </c>
      <c r="V3753">
        <f>U3753*1</f>
        <v>540.2</v>
      </c>
      <c r="W3753">
        <f t="shared" si="426"/>
        <v>17067.82</v>
      </c>
      <c r="X3753">
        <f t="shared" si="424"/>
        <v>0.0804640700659308</v>
      </c>
      <c r="AH3753" t="str">
        <f t="shared" si="427"/>
        <v>3rd Quality</v>
      </c>
      <c r="AJ3753">
        <f>((T3753-X3753)*2)</f>
        <v>2202.57366645447</v>
      </c>
      <c r="AK3753">
        <f t="shared" si="425"/>
        <v>926249.897027027</v>
      </c>
    </row>
    <row r="3754" spans="1:37">
      <c r="A3754" t="s">
        <v>3820</v>
      </c>
      <c r="B3754">
        <v>38</v>
      </c>
      <c r="C3754" t="s">
        <v>44</v>
      </c>
      <c r="D3754" t="s">
        <v>51</v>
      </c>
      <c r="E3754">
        <v>1382</v>
      </c>
      <c r="F3754">
        <v>58</v>
      </c>
      <c r="G3754">
        <v>11</v>
      </c>
      <c r="H3754">
        <v>1062.19</v>
      </c>
      <c r="I3754">
        <v>11437.12</v>
      </c>
      <c r="J3754">
        <v>61</v>
      </c>
      <c r="K3754">
        <v>3</v>
      </c>
      <c r="L3754">
        <v>11.3</v>
      </c>
      <c r="M3754">
        <v>21.8</v>
      </c>
      <c r="N3754" t="s">
        <v>78</v>
      </c>
      <c r="O3754" t="s">
        <v>47</v>
      </c>
      <c r="P3754" t="s">
        <v>68</v>
      </c>
      <c r="R3754">
        <f>SUMIF(A3754:A8753,"C03753",I3754:I8753)</f>
        <v>11437.12</v>
      </c>
      <c r="S3754" s="1">
        <v>8926.96</v>
      </c>
      <c r="T3754">
        <f t="shared" si="429"/>
        <v>187.493770491803</v>
      </c>
      <c r="U3754">
        <f t="shared" si="428"/>
        <v>1329.8</v>
      </c>
      <c r="V3754">
        <f>U3754*3</f>
        <v>3989.4</v>
      </c>
      <c r="W3754">
        <f t="shared" si="426"/>
        <v>4166.77</v>
      </c>
      <c r="X3754">
        <f t="shared" si="424"/>
        <v>1.30108549317919</v>
      </c>
      <c r="AH3754" t="str">
        <f t="shared" si="427"/>
        <v>3rd Quality</v>
      </c>
      <c r="AJ3754">
        <f>((T3754-X3754)*2)/11.3</f>
        <v>32.9544575218803</v>
      </c>
      <c r="AK3754">
        <f t="shared" si="425"/>
        <v>259116.390819672</v>
      </c>
    </row>
    <row r="3755" spans="1:37">
      <c r="A3755" t="s">
        <v>3821</v>
      </c>
      <c r="B3755">
        <v>39</v>
      </c>
      <c r="C3755" t="s">
        <v>50</v>
      </c>
      <c r="D3755" t="s">
        <v>45</v>
      </c>
      <c r="E3755">
        <v>1263</v>
      </c>
      <c r="F3755">
        <v>147</v>
      </c>
      <c r="G3755">
        <v>1</v>
      </c>
      <c r="H3755">
        <v>880.8</v>
      </c>
      <c r="I3755">
        <v>926.45</v>
      </c>
      <c r="J3755">
        <v>10</v>
      </c>
      <c r="K3755">
        <v>1</v>
      </c>
      <c r="L3755">
        <v>28.7</v>
      </c>
      <c r="M3755">
        <v>22.6</v>
      </c>
      <c r="N3755" t="s">
        <v>61</v>
      </c>
      <c r="O3755" t="s">
        <v>53</v>
      </c>
      <c r="P3755" t="s">
        <v>66</v>
      </c>
      <c r="R3755">
        <f>SUMIF(A3755:A8754,"C03754",I3755:I8754)</f>
        <v>926.45</v>
      </c>
      <c r="S3755" s="1">
        <v>11928.28</v>
      </c>
      <c r="T3755">
        <f t="shared" si="429"/>
        <v>92.645</v>
      </c>
      <c r="U3755">
        <f t="shared" si="428"/>
        <v>226</v>
      </c>
      <c r="V3755">
        <f>U3755*1</f>
        <v>226</v>
      </c>
      <c r="W3755">
        <f t="shared" si="426"/>
        <v>602.75</v>
      </c>
      <c r="X3755">
        <f t="shared" si="424"/>
        <v>1.43392370572207</v>
      </c>
      <c r="AH3755" t="str">
        <f t="shared" si="427"/>
        <v>3rd Quality</v>
      </c>
      <c r="AJ3755">
        <f>((T3755-X3755)*2)/28.7</f>
        <v>6.35617256406118</v>
      </c>
      <c r="AK3755">
        <f t="shared" si="425"/>
        <v>117010.635</v>
      </c>
    </row>
    <row r="3756" spans="1:37">
      <c r="A3756" t="s">
        <v>3822</v>
      </c>
      <c r="B3756">
        <v>18</v>
      </c>
      <c r="C3756" t="s">
        <v>44</v>
      </c>
      <c r="D3756" t="s">
        <v>51</v>
      </c>
      <c r="E3756">
        <v>409</v>
      </c>
      <c r="F3756">
        <v>19</v>
      </c>
      <c r="G3756">
        <v>13</v>
      </c>
      <c r="H3756">
        <v>1087.62</v>
      </c>
      <c r="I3756">
        <v>14773.08</v>
      </c>
      <c r="J3756">
        <v>30</v>
      </c>
      <c r="K3756">
        <v>1</v>
      </c>
      <c r="L3756">
        <v>13.8</v>
      </c>
      <c r="M3756">
        <v>16.6</v>
      </c>
      <c r="N3756" t="s">
        <v>81</v>
      </c>
      <c r="O3756" t="s">
        <v>47</v>
      </c>
      <c r="P3756" t="s">
        <v>48</v>
      </c>
      <c r="R3756">
        <f>SUMIF(A3756:A8755,"C03755",I3756:I8755)</f>
        <v>14773.08</v>
      </c>
      <c r="S3756" s="1">
        <v>8486.66</v>
      </c>
      <c r="T3756">
        <f t="shared" si="429"/>
        <v>492.436</v>
      </c>
      <c r="U3756">
        <f t="shared" si="428"/>
        <v>498</v>
      </c>
      <c r="V3756">
        <f>U3756*1</f>
        <v>498</v>
      </c>
      <c r="W3756">
        <f t="shared" si="426"/>
        <v>5287.23333333333</v>
      </c>
      <c r="X3756">
        <f t="shared" si="424"/>
        <v>0.376050458799949</v>
      </c>
      <c r="AH3756" t="str">
        <f t="shared" si="427"/>
        <v>3rd Quality</v>
      </c>
      <c r="AJ3756">
        <f>((T3756-X3756)*2)/13.8</f>
        <v>71.3130361653913</v>
      </c>
      <c r="AK3756">
        <f t="shared" si="425"/>
        <v>201406.324</v>
      </c>
    </row>
    <row r="3757" spans="1:37">
      <c r="A3757" t="s">
        <v>3823</v>
      </c>
      <c r="B3757">
        <v>55</v>
      </c>
      <c r="C3757" t="s">
        <v>44</v>
      </c>
      <c r="D3757" t="s">
        <v>45</v>
      </c>
      <c r="E3757">
        <v>424</v>
      </c>
      <c r="F3757">
        <v>24</v>
      </c>
      <c r="G3757">
        <v>8</v>
      </c>
      <c r="H3757">
        <v>1169.37</v>
      </c>
      <c r="I3757">
        <v>8926.96</v>
      </c>
      <c r="J3757">
        <v>75</v>
      </c>
      <c r="K3757">
        <v>0</v>
      </c>
      <c r="L3757">
        <v>24.4</v>
      </c>
      <c r="M3757">
        <v>28.5</v>
      </c>
      <c r="N3757" t="s">
        <v>52</v>
      </c>
      <c r="O3757" t="s">
        <v>53</v>
      </c>
      <c r="P3757" t="s">
        <v>68</v>
      </c>
      <c r="R3757">
        <f>SUMIF(A3757:A8756,"C03756",I3757:I8756)</f>
        <v>8926.96</v>
      </c>
      <c r="S3757" s="1">
        <v>917.05</v>
      </c>
      <c r="T3757">
        <f t="shared" si="429"/>
        <v>119.026133333333</v>
      </c>
      <c r="U3757">
        <f t="shared" si="428"/>
        <v>2137.5</v>
      </c>
      <c r="V3757">
        <f t="shared" si="423"/>
        <v>178.125</v>
      </c>
      <c r="W3757">
        <f t="shared" si="426"/>
        <v>3365.77666666667</v>
      </c>
      <c r="X3757">
        <f t="shared" si="424"/>
        <v>0.362588402302094</v>
      </c>
      <c r="AH3757" t="str">
        <f t="shared" si="427"/>
        <v>3rd Quality</v>
      </c>
      <c r="AJ3757">
        <f>((T3757-X3757)*2)/24.4</f>
        <v>9.72652007631401</v>
      </c>
      <c r="AK3757">
        <f t="shared" si="425"/>
        <v>50467.0805333333</v>
      </c>
    </row>
    <row r="3758" spans="1:37">
      <c r="A3758" t="s">
        <v>3824</v>
      </c>
      <c r="B3758">
        <v>22</v>
      </c>
      <c r="C3758" t="s">
        <v>50</v>
      </c>
      <c r="D3758" t="s">
        <v>45</v>
      </c>
      <c r="E3758">
        <v>470</v>
      </c>
      <c r="F3758">
        <v>23</v>
      </c>
      <c r="G3758">
        <v>7</v>
      </c>
      <c r="H3758">
        <v>1544.86</v>
      </c>
      <c r="I3758">
        <v>11928.28</v>
      </c>
      <c r="J3758">
        <v>29</v>
      </c>
      <c r="K3758">
        <v>2</v>
      </c>
      <c r="L3758">
        <v>13.6</v>
      </c>
      <c r="M3758">
        <v>46.1</v>
      </c>
      <c r="N3758" t="s">
        <v>57</v>
      </c>
      <c r="O3758" t="s">
        <v>47</v>
      </c>
      <c r="P3758" t="s">
        <v>58</v>
      </c>
      <c r="R3758">
        <f>SUMIF(A3758:A8757,"C03757",I3758:I8757)</f>
        <v>11928.28</v>
      </c>
      <c r="S3758" s="1">
        <v>85036.35</v>
      </c>
      <c r="T3758">
        <f t="shared" si="429"/>
        <v>411.32</v>
      </c>
      <c r="U3758">
        <f t="shared" si="428"/>
        <v>1336.9</v>
      </c>
      <c r="V3758">
        <f>U3758*2</f>
        <v>2673.8</v>
      </c>
      <c r="W3758">
        <f t="shared" si="426"/>
        <v>4491.38</v>
      </c>
      <c r="X3758">
        <f t="shared" si="424"/>
        <v>0.304234687932887</v>
      </c>
      <c r="AH3758" t="str">
        <f t="shared" si="427"/>
        <v>3rd Quality</v>
      </c>
      <c r="AJ3758">
        <f>((T3758-X3758)*2)/13.6</f>
        <v>60.4434948988334</v>
      </c>
      <c r="AK3758">
        <f t="shared" si="425"/>
        <v>193320.4</v>
      </c>
    </row>
    <row r="3759" spans="1:37">
      <c r="A3759" t="s">
        <v>3825</v>
      </c>
      <c r="B3759">
        <v>18</v>
      </c>
      <c r="C3759" t="s">
        <v>50</v>
      </c>
      <c r="D3759" t="s">
        <v>60</v>
      </c>
      <c r="E3759">
        <v>827</v>
      </c>
      <c r="F3759">
        <v>41</v>
      </c>
      <c r="G3759">
        <v>6</v>
      </c>
      <c r="H3759">
        <v>1494.96</v>
      </c>
      <c r="I3759">
        <v>8486.66</v>
      </c>
      <c r="J3759">
        <v>50</v>
      </c>
      <c r="K3759">
        <v>0</v>
      </c>
      <c r="L3759">
        <v>42.7</v>
      </c>
      <c r="M3759">
        <v>11</v>
      </c>
      <c r="N3759" t="s">
        <v>46</v>
      </c>
      <c r="O3759" t="s">
        <v>47</v>
      </c>
      <c r="P3759" t="s">
        <v>58</v>
      </c>
      <c r="R3759">
        <f>SUMIF(A3759:A8758,"C03758",I3759:I8758)</f>
        <v>8486.66</v>
      </c>
      <c r="S3759" s="1">
        <v>1578.09</v>
      </c>
      <c r="T3759">
        <f t="shared" si="429"/>
        <v>169.7332</v>
      </c>
      <c r="U3759">
        <f t="shared" si="428"/>
        <v>550</v>
      </c>
      <c r="V3759">
        <f t="shared" si="423"/>
        <v>45.8333333333333</v>
      </c>
      <c r="W3759">
        <f t="shared" si="426"/>
        <v>3327.54</v>
      </c>
      <c r="X3759">
        <f t="shared" si="424"/>
        <v>0.553192058650399</v>
      </c>
      <c r="AH3759" t="str">
        <f t="shared" si="427"/>
        <v>3rd Quality</v>
      </c>
      <c r="AJ3759">
        <f>((T3759-X3759)*2)/42.7</f>
        <v>7.92412215181965</v>
      </c>
      <c r="AK3759">
        <f t="shared" si="425"/>
        <v>140369.3564</v>
      </c>
    </row>
    <row r="3760" spans="1:37">
      <c r="A3760" t="s">
        <v>3826</v>
      </c>
      <c r="B3760">
        <v>35</v>
      </c>
      <c r="C3760" t="s">
        <v>50</v>
      </c>
      <c r="D3760" t="s">
        <v>45</v>
      </c>
      <c r="E3760">
        <v>1254</v>
      </c>
      <c r="F3760">
        <v>365</v>
      </c>
      <c r="G3760">
        <v>1</v>
      </c>
      <c r="H3760">
        <v>819.42</v>
      </c>
      <c r="I3760">
        <v>917.05</v>
      </c>
      <c r="J3760">
        <v>17</v>
      </c>
      <c r="K3760">
        <v>0</v>
      </c>
      <c r="L3760">
        <v>24.4</v>
      </c>
      <c r="M3760">
        <v>23.6</v>
      </c>
      <c r="N3760" t="s">
        <v>61</v>
      </c>
      <c r="O3760" t="s">
        <v>47</v>
      </c>
      <c r="P3760" t="s">
        <v>68</v>
      </c>
      <c r="R3760">
        <f>SUMIF(A3760:A8759,"C03759",I3760:I8759)</f>
        <v>917.05</v>
      </c>
      <c r="S3760" s="1">
        <v>5933.12</v>
      </c>
      <c r="T3760">
        <f t="shared" si="429"/>
        <v>53.9441176470588</v>
      </c>
      <c r="U3760">
        <f t="shared" si="428"/>
        <v>401.2</v>
      </c>
      <c r="V3760">
        <f t="shared" si="423"/>
        <v>33.4333333333333</v>
      </c>
      <c r="W3760">
        <f t="shared" si="426"/>
        <v>579.156666666667</v>
      </c>
      <c r="X3760">
        <f t="shared" si="424"/>
        <v>1.53035073588636</v>
      </c>
      <c r="AH3760" t="str">
        <f t="shared" si="427"/>
        <v>3rd Quality</v>
      </c>
      <c r="AJ3760">
        <f>((T3760-X3760)*2)/24.4</f>
        <v>4.29621040255512</v>
      </c>
      <c r="AK3760">
        <f t="shared" si="425"/>
        <v>67645.9235294118</v>
      </c>
    </row>
    <row r="3761" spans="1:37">
      <c r="A3761" t="s">
        <v>3827</v>
      </c>
      <c r="B3761">
        <v>18</v>
      </c>
      <c r="C3761" t="s">
        <v>44</v>
      </c>
      <c r="D3761" t="s">
        <v>45</v>
      </c>
      <c r="E3761">
        <v>1168</v>
      </c>
      <c r="F3761">
        <v>11</v>
      </c>
      <c r="G3761">
        <v>26</v>
      </c>
      <c r="H3761">
        <v>3683.77</v>
      </c>
      <c r="I3761">
        <v>85036.35</v>
      </c>
      <c r="J3761">
        <v>166</v>
      </c>
      <c r="K3761">
        <v>2</v>
      </c>
      <c r="L3761">
        <v>3.9</v>
      </c>
      <c r="M3761">
        <v>35.5</v>
      </c>
      <c r="N3761" t="s">
        <v>57</v>
      </c>
      <c r="O3761" t="s">
        <v>47</v>
      </c>
      <c r="P3761" t="s">
        <v>58</v>
      </c>
      <c r="R3761">
        <f>SUMIF(A3761:A8760,"C03760",I3761:I8760)</f>
        <v>85036.35</v>
      </c>
      <c r="S3761" s="1">
        <v>51063.15</v>
      </c>
      <c r="T3761">
        <f t="shared" si="429"/>
        <v>512.267168674699</v>
      </c>
      <c r="U3761">
        <f t="shared" si="428"/>
        <v>5893</v>
      </c>
      <c r="V3761">
        <f>U3761*2</f>
        <v>11786</v>
      </c>
      <c r="W3761">
        <f t="shared" si="426"/>
        <v>29573.7066666667</v>
      </c>
      <c r="X3761">
        <f t="shared" si="424"/>
        <v>0.317066483520958</v>
      </c>
      <c r="AH3761" t="str">
        <f t="shared" si="427"/>
        <v>1st Quality</v>
      </c>
      <c r="AJ3761">
        <f>((T3761-X3761)*2)/3.9</f>
        <v>262.538513944194</v>
      </c>
      <c r="AK3761">
        <f t="shared" si="425"/>
        <v>598328.053012048</v>
      </c>
    </row>
    <row r="3762" spans="1:37">
      <c r="A3762" t="s">
        <v>3828</v>
      </c>
      <c r="B3762">
        <v>35</v>
      </c>
      <c r="C3762" t="s">
        <v>50</v>
      </c>
      <c r="D3762" t="s">
        <v>45</v>
      </c>
      <c r="E3762">
        <v>1175</v>
      </c>
      <c r="F3762">
        <v>131</v>
      </c>
      <c r="G3762">
        <v>1</v>
      </c>
      <c r="H3762">
        <v>1514.92</v>
      </c>
      <c r="I3762">
        <v>1578.09</v>
      </c>
      <c r="J3762">
        <v>12</v>
      </c>
      <c r="K3762">
        <v>0</v>
      </c>
      <c r="L3762">
        <v>11.6</v>
      </c>
      <c r="M3762">
        <v>3.4</v>
      </c>
      <c r="N3762" t="s">
        <v>52</v>
      </c>
      <c r="O3762" t="s">
        <v>47</v>
      </c>
      <c r="P3762" t="s">
        <v>58</v>
      </c>
      <c r="R3762">
        <f>SUMIF(A3762:A8761,"C03761",I3762:I8761)</f>
        <v>1578.09</v>
      </c>
      <c r="S3762" s="1">
        <v>7079.02</v>
      </c>
      <c r="T3762">
        <f t="shared" si="429"/>
        <v>131.5075</v>
      </c>
      <c r="U3762">
        <f t="shared" si="428"/>
        <v>40.8</v>
      </c>
      <c r="V3762">
        <f t="shared" si="423"/>
        <v>3.4</v>
      </c>
      <c r="W3762">
        <f t="shared" si="426"/>
        <v>1031.33666666667</v>
      </c>
      <c r="X3762">
        <f t="shared" si="424"/>
        <v>0.775618514509017</v>
      </c>
      <c r="AH3762" t="str">
        <f t="shared" si="427"/>
        <v>3rd Quality</v>
      </c>
      <c r="AJ3762">
        <f>((T3762-X3762)*2)/11.6</f>
        <v>22.539979566464</v>
      </c>
      <c r="AK3762">
        <f t="shared" si="425"/>
        <v>154521.3125</v>
      </c>
    </row>
    <row r="3763" spans="1:37">
      <c r="A3763" t="s">
        <v>3829</v>
      </c>
      <c r="B3763">
        <v>30</v>
      </c>
      <c r="C3763" t="s">
        <v>50</v>
      </c>
      <c r="D3763" t="s">
        <v>45</v>
      </c>
      <c r="E3763">
        <v>762</v>
      </c>
      <c r="F3763">
        <v>43</v>
      </c>
      <c r="G3763">
        <v>5</v>
      </c>
      <c r="H3763">
        <v>1153.35</v>
      </c>
      <c r="I3763">
        <v>5933.12</v>
      </c>
      <c r="J3763">
        <v>37</v>
      </c>
      <c r="K3763">
        <v>0</v>
      </c>
      <c r="L3763">
        <v>20.7</v>
      </c>
      <c r="M3763">
        <v>37.3</v>
      </c>
      <c r="N3763" t="s">
        <v>46</v>
      </c>
      <c r="O3763" t="s">
        <v>53</v>
      </c>
      <c r="P3763" t="s">
        <v>58</v>
      </c>
      <c r="R3763">
        <f>SUMIF(A3763:A8762,"C03762",I3763:I8762)</f>
        <v>5933.12</v>
      </c>
      <c r="S3763" s="1">
        <v>50928.23</v>
      </c>
      <c r="T3763">
        <f t="shared" si="429"/>
        <v>160.354594594595</v>
      </c>
      <c r="U3763">
        <f t="shared" si="428"/>
        <v>1380.1</v>
      </c>
      <c r="V3763">
        <f t="shared" si="423"/>
        <v>115.008333333333</v>
      </c>
      <c r="W3763">
        <f t="shared" si="426"/>
        <v>2362.49</v>
      </c>
      <c r="X3763">
        <f t="shared" si="424"/>
        <v>0.660684094160489</v>
      </c>
      <c r="AH3763" t="str">
        <f t="shared" si="427"/>
        <v>3rd Quality</v>
      </c>
      <c r="AJ3763">
        <f>((T3763-X3763)*2)/20.7</f>
        <v>15.4293633333753</v>
      </c>
      <c r="AK3763">
        <f t="shared" si="425"/>
        <v>122190.201081081</v>
      </c>
    </row>
    <row r="3764" spans="1:37">
      <c r="A3764" t="s">
        <v>3830</v>
      </c>
      <c r="B3764">
        <v>18</v>
      </c>
      <c r="C3764" t="s">
        <v>44</v>
      </c>
      <c r="D3764" t="s">
        <v>51</v>
      </c>
      <c r="E3764">
        <v>418</v>
      </c>
      <c r="F3764">
        <v>3</v>
      </c>
      <c r="G3764">
        <v>24</v>
      </c>
      <c r="H3764">
        <v>2085.13</v>
      </c>
      <c r="I3764">
        <v>51063.15</v>
      </c>
      <c r="J3764">
        <v>175</v>
      </c>
      <c r="K3764">
        <v>0</v>
      </c>
      <c r="L3764">
        <v>14.2</v>
      </c>
      <c r="M3764">
        <v>67.6</v>
      </c>
      <c r="N3764" t="s">
        <v>46</v>
      </c>
      <c r="O3764" t="s">
        <v>75</v>
      </c>
      <c r="P3764" t="s">
        <v>58</v>
      </c>
      <c r="R3764">
        <f>SUMIF(A3764:A8763,"C03763",I3764:I8763)</f>
        <v>51063.15</v>
      </c>
      <c r="S3764" s="1">
        <v>1415.46</v>
      </c>
      <c r="T3764">
        <f t="shared" si="429"/>
        <v>291.789428571429</v>
      </c>
      <c r="U3764">
        <f t="shared" si="428"/>
        <v>11830</v>
      </c>
      <c r="V3764">
        <f t="shared" si="423"/>
        <v>985.833333333333</v>
      </c>
      <c r="W3764">
        <f t="shared" si="426"/>
        <v>17716.4266666667</v>
      </c>
      <c r="X3764">
        <f t="shared" si="424"/>
        <v>0.200467117158163</v>
      </c>
      <c r="AH3764" t="str">
        <f t="shared" si="427"/>
        <v>3rd Quality</v>
      </c>
      <c r="AJ3764">
        <f>((T3764-X3764)*2)/14.2</f>
        <v>41.0688678104607</v>
      </c>
      <c r="AK3764">
        <f t="shared" si="425"/>
        <v>121967.981142857</v>
      </c>
    </row>
    <row r="3765" spans="1:37">
      <c r="A3765" t="s">
        <v>3831</v>
      </c>
      <c r="B3765">
        <v>30</v>
      </c>
      <c r="C3765" t="s">
        <v>50</v>
      </c>
      <c r="D3765" t="s">
        <v>45</v>
      </c>
      <c r="E3765">
        <v>434</v>
      </c>
      <c r="F3765">
        <v>17</v>
      </c>
      <c r="G3765">
        <v>5</v>
      </c>
      <c r="H3765">
        <v>1326.91</v>
      </c>
      <c r="I3765">
        <v>7079.02</v>
      </c>
      <c r="J3765">
        <v>31</v>
      </c>
      <c r="K3765">
        <v>0</v>
      </c>
      <c r="L3765">
        <v>18.9</v>
      </c>
      <c r="M3765">
        <v>12</v>
      </c>
      <c r="N3765" t="s">
        <v>57</v>
      </c>
      <c r="O3765" t="s">
        <v>75</v>
      </c>
      <c r="P3765" t="s">
        <v>58</v>
      </c>
      <c r="R3765">
        <f>SUMIF(A3765:A8764,"C03764",I3765:I8764)</f>
        <v>7079.02</v>
      </c>
      <c r="S3765" s="1">
        <v>21316.86</v>
      </c>
      <c r="T3765">
        <f t="shared" si="429"/>
        <v>228.355483870968</v>
      </c>
      <c r="U3765">
        <f t="shared" si="428"/>
        <v>372</v>
      </c>
      <c r="V3765">
        <f t="shared" si="423"/>
        <v>31</v>
      </c>
      <c r="W3765">
        <f t="shared" si="426"/>
        <v>2802.31</v>
      </c>
      <c r="X3765">
        <f t="shared" si="424"/>
        <v>0.327075687122714</v>
      </c>
      <c r="AH3765" t="str">
        <f t="shared" si="427"/>
        <v>3rd Quality</v>
      </c>
      <c r="AJ3765">
        <f>((T3765-X3765)*2)/18.9</f>
        <v>24.1299902840048</v>
      </c>
      <c r="AK3765">
        <f t="shared" si="425"/>
        <v>99106.28</v>
      </c>
    </row>
    <row r="3766" spans="1:37">
      <c r="A3766" t="s">
        <v>3832</v>
      </c>
      <c r="B3766">
        <v>36</v>
      </c>
      <c r="C3766" t="s">
        <v>44</v>
      </c>
      <c r="D3766" t="s">
        <v>51</v>
      </c>
      <c r="E3766">
        <v>520</v>
      </c>
      <c r="F3766">
        <v>27</v>
      </c>
      <c r="G3766">
        <v>19</v>
      </c>
      <c r="H3766">
        <v>2623.22</v>
      </c>
      <c r="I3766">
        <v>50928.23</v>
      </c>
      <c r="J3766">
        <v>122</v>
      </c>
      <c r="K3766">
        <v>0</v>
      </c>
      <c r="L3766">
        <v>0.9</v>
      </c>
      <c r="M3766">
        <v>38.8</v>
      </c>
      <c r="N3766" t="s">
        <v>78</v>
      </c>
      <c r="O3766" t="s">
        <v>75</v>
      </c>
      <c r="P3766" t="s">
        <v>58</v>
      </c>
      <c r="R3766">
        <f>SUMIF(A3766:A8765,"C03765",I3766:I8765)</f>
        <v>50928.23</v>
      </c>
      <c r="S3766" s="1">
        <v>12983.89</v>
      </c>
      <c r="T3766">
        <f t="shared" si="429"/>
        <v>417.444508196721</v>
      </c>
      <c r="U3766">
        <f t="shared" si="428"/>
        <v>4733.6</v>
      </c>
      <c r="V3766">
        <f t="shared" ref="V3766:V3829" si="430">U3766/12</f>
        <v>394.466666666667</v>
      </c>
      <c r="W3766">
        <f t="shared" si="426"/>
        <v>17850.8166666667</v>
      </c>
      <c r="X3766">
        <f t="shared" si="424"/>
        <v>0.198229656681483</v>
      </c>
      <c r="AH3766" t="str">
        <f t="shared" si="427"/>
        <v>2nd Quality</v>
      </c>
      <c r="AJ3766">
        <f>((T3766-X3766)*2)/0.9</f>
        <v>927.213952311199</v>
      </c>
      <c r="AK3766">
        <f t="shared" si="425"/>
        <v>217071.144262295</v>
      </c>
    </row>
    <row r="3767" spans="1:37">
      <c r="A3767" t="s">
        <v>3833</v>
      </c>
      <c r="B3767">
        <v>47</v>
      </c>
      <c r="C3767" t="s">
        <v>50</v>
      </c>
      <c r="D3767" t="s">
        <v>60</v>
      </c>
      <c r="E3767">
        <v>491</v>
      </c>
      <c r="F3767">
        <v>74</v>
      </c>
      <c r="G3767">
        <v>1</v>
      </c>
      <c r="H3767">
        <v>1379.08</v>
      </c>
      <c r="I3767">
        <v>1415.46</v>
      </c>
      <c r="J3767">
        <v>9</v>
      </c>
      <c r="K3767">
        <v>0</v>
      </c>
      <c r="L3767">
        <v>18.8</v>
      </c>
      <c r="M3767">
        <v>55.3</v>
      </c>
      <c r="N3767" t="s">
        <v>57</v>
      </c>
      <c r="O3767" t="s">
        <v>47</v>
      </c>
      <c r="P3767" t="s">
        <v>58</v>
      </c>
      <c r="R3767">
        <f>SUMIF(A3767:A8766,"C03766",I3767:I8766)</f>
        <v>1415.46</v>
      </c>
      <c r="S3767" s="1">
        <v>2314.54</v>
      </c>
      <c r="T3767">
        <f t="shared" si="429"/>
        <v>157.273333333333</v>
      </c>
      <c r="U3767">
        <f t="shared" si="428"/>
        <v>497.7</v>
      </c>
      <c r="V3767">
        <f t="shared" si="430"/>
        <v>41.475</v>
      </c>
      <c r="W3767">
        <f t="shared" si="426"/>
        <v>931.846666666667</v>
      </c>
      <c r="X3767">
        <f t="shared" si="424"/>
        <v>0.356034457754445</v>
      </c>
      <c r="AH3767" t="str">
        <f t="shared" si="427"/>
        <v>3rd Quality</v>
      </c>
      <c r="AJ3767">
        <f>((T3767-X3767)*2)/18.8</f>
        <v>16.6933296676147</v>
      </c>
      <c r="AK3767">
        <f t="shared" si="425"/>
        <v>77221.2066666667</v>
      </c>
    </row>
    <row r="3768" spans="1:37">
      <c r="A3768" t="s">
        <v>3834</v>
      </c>
      <c r="B3768">
        <v>24</v>
      </c>
      <c r="C3768" t="s">
        <v>50</v>
      </c>
      <c r="D3768" t="s">
        <v>60</v>
      </c>
      <c r="E3768">
        <v>1402</v>
      </c>
      <c r="F3768">
        <v>14</v>
      </c>
      <c r="G3768">
        <v>4</v>
      </c>
      <c r="H3768">
        <v>4886.65</v>
      </c>
      <c r="I3768">
        <v>21316.86</v>
      </c>
      <c r="J3768">
        <v>33</v>
      </c>
      <c r="K3768">
        <v>1</v>
      </c>
      <c r="L3768">
        <v>5.9</v>
      </c>
      <c r="M3768">
        <v>27.7</v>
      </c>
      <c r="N3768" t="s">
        <v>81</v>
      </c>
      <c r="O3768" t="s">
        <v>47</v>
      </c>
      <c r="P3768" t="s">
        <v>68</v>
      </c>
      <c r="R3768">
        <f>SUMIF(A3768:A8767,"C03767",I3768:I8767)</f>
        <v>21316.86</v>
      </c>
      <c r="S3768" s="1">
        <v>22029.43</v>
      </c>
      <c r="T3768">
        <f t="shared" si="429"/>
        <v>645.965454545455</v>
      </c>
      <c r="U3768">
        <f t="shared" si="428"/>
        <v>914.1</v>
      </c>
      <c r="V3768">
        <f>U3768*1</f>
        <v>914.1</v>
      </c>
      <c r="W3768">
        <f t="shared" si="426"/>
        <v>8734.83666666667</v>
      </c>
      <c r="X3768">
        <f t="shared" ref="X3768:X3831" si="431">E3768/H3768</f>
        <v>0.286904116316904</v>
      </c>
      <c r="AH3768" t="str">
        <f t="shared" si="427"/>
        <v>2nd Quality</v>
      </c>
      <c r="AJ3768">
        <f>((T3768-X3768)*2)/5.9</f>
        <v>218.874084891233</v>
      </c>
      <c r="AK3768">
        <f t="shared" si="425"/>
        <v>905643.567272727</v>
      </c>
    </row>
    <row r="3769" spans="1:37">
      <c r="A3769" t="s">
        <v>3835</v>
      </c>
      <c r="B3769">
        <v>46</v>
      </c>
      <c r="C3769" t="s">
        <v>50</v>
      </c>
      <c r="D3769" t="s">
        <v>45</v>
      </c>
      <c r="E3769">
        <v>552</v>
      </c>
      <c r="F3769">
        <v>11</v>
      </c>
      <c r="G3769">
        <v>15</v>
      </c>
      <c r="H3769">
        <v>935.96</v>
      </c>
      <c r="I3769">
        <v>12983.89</v>
      </c>
      <c r="J3769">
        <v>76</v>
      </c>
      <c r="K3769">
        <v>1</v>
      </c>
      <c r="L3769">
        <v>16.9</v>
      </c>
      <c r="M3769">
        <v>29.9</v>
      </c>
      <c r="N3769" t="s">
        <v>78</v>
      </c>
      <c r="O3769" t="s">
        <v>75</v>
      </c>
      <c r="P3769" t="s">
        <v>58</v>
      </c>
      <c r="R3769">
        <f>SUMIF(A3769:A8768,"C03768",I3769:I8768)</f>
        <v>12983.89</v>
      </c>
      <c r="S3769" s="1">
        <v>5065.03</v>
      </c>
      <c r="T3769">
        <f t="shared" si="429"/>
        <v>170.840657894737</v>
      </c>
      <c r="U3769">
        <f t="shared" si="428"/>
        <v>2272.4</v>
      </c>
      <c r="V3769">
        <f>U3769*1</f>
        <v>2272.4</v>
      </c>
      <c r="W3769">
        <f t="shared" si="426"/>
        <v>4640.28333333333</v>
      </c>
      <c r="X3769">
        <f t="shared" si="431"/>
        <v>0.589768793538185</v>
      </c>
      <c r="AH3769" t="str">
        <f t="shared" si="427"/>
        <v>3rd Quality</v>
      </c>
      <c r="AJ3769">
        <f>((T3769-X3769)*2)/16.9</f>
        <v>20.1480342131596</v>
      </c>
      <c r="AK3769">
        <f t="shared" si="425"/>
        <v>94304.0431578947</v>
      </c>
    </row>
    <row r="3770" spans="1:37">
      <c r="A3770" t="s">
        <v>3836</v>
      </c>
      <c r="B3770">
        <v>44</v>
      </c>
      <c r="C3770" t="s">
        <v>44</v>
      </c>
      <c r="D3770" t="s">
        <v>60</v>
      </c>
      <c r="E3770">
        <v>718</v>
      </c>
      <c r="F3770">
        <v>86</v>
      </c>
      <c r="G3770">
        <v>4</v>
      </c>
      <c r="H3770">
        <v>574.34</v>
      </c>
      <c r="I3770">
        <v>2314.54</v>
      </c>
      <c r="J3770">
        <v>23</v>
      </c>
      <c r="K3770">
        <v>0</v>
      </c>
      <c r="L3770">
        <v>31</v>
      </c>
      <c r="M3770">
        <v>36.6</v>
      </c>
      <c r="N3770" t="s">
        <v>78</v>
      </c>
      <c r="O3770" t="s">
        <v>47</v>
      </c>
      <c r="P3770" t="s">
        <v>48</v>
      </c>
      <c r="R3770">
        <f>SUMIF(A3770:A8769,"C03769",I3770:I8769)</f>
        <v>2314.54</v>
      </c>
      <c r="S3770" s="1">
        <v>1919.6</v>
      </c>
      <c r="T3770">
        <f t="shared" si="429"/>
        <v>100.632173913043</v>
      </c>
      <c r="U3770">
        <f t="shared" si="428"/>
        <v>841.8</v>
      </c>
      <c r="V3770">
        <f t="shared" si="430"/>
        <v>70.15</v>
      </c>
      <c r="W3770">
        <f t="shared" si="426"/>
        <v>963.293333333333</v>
      </c>
      <c r="X3770">
        <f t="shared" si="431"/>
        <v>1.2501305846711</v>
      </c>
      <c r="AH3770" t="str">
        <f t="shared" si="427"/>
        <v>3rd Quality</v>
      </c>
      <c r="AJ3770">
        <f>((T3770-X3770)*2)/31</f>
        <v>6.4117447308627</v>
      </c>
      <c r="AK3770">
        <f t="shared" si="425"/>
        <v>72253.9008695652</v>
      </c>
    </row>
    <row r="3771" spans="1:37">
      <c r="A3771" t="s">
        <v>3837</v>
      </c>
      <c r="B3771">
        <v>29</v>
      </c>
      <c r="C3771" t="s">
        <v>44</v>
      </c>
      <c r="D3771" t="s">
        <v>45</v>
      </c>
      <c r="E3771">
        <v>1276</v>
      </c>
      <c r="F3771">
        <v>9</v>
      </c>
      <c r="G3771">
        <v>2</v>
      </c>
      <c r="H3771">
        <v>10481.18</v>
      </c>
      <c r="I3771">
        <v>22029.43</v>
      </c>
      <c r="J3771">
        <v>23</v>
      </c>
      <c r="K3771">
        <v>0</v>
      </c>
      <c r="L3771">
        <v>0</v>
      </c>
      <c r="M3771">
        <v>17.8</v>
      </c>
      <c r="N3771" t="s">
        <v>57</v>
      </c>
      <c r="O3771" t="s">
        <v>47</v>
      </c>
      <c r="P3771" t="s">
        <v>48</v>
      </c>
      <c r="R3771">
        <f>SUMIF(A3771:A8770,"C03770",I3771:I8770)</f>
        <v>22029.43</v>
      </c>
      <c r="S3771" s="1">
        <v>1021.62</v>
      </c>
      <c r="T3771">
        <f t="shared" si="429"/>
        <v>957.801304347826</v>
      </c>
      <c r="U3771">
        <f t="shared" si="428"/>
        <v>409.4</v>
      </c>
      <c r="V3771">
        <f t="shared" si="430"/>
        <v>34.1166666666667</v>
      </c>
      <c r="W3771">
        <f t="shared" si="426"/>
        <v>10837.2033333333</v>
      </c>
      <c r="X3771">
        <f t="shared" si="431"/>
        <v>0.121742017597255</v>
      </c>
      <c r="AH3771" t="str">
        <f t="shared" si="427"/>
        <v>2nd Quality</v>
      </c>
      <c r="AJ3771">
        <f>((T3771-X3771)*2)</f>
        <v>1915.35912466046</v>
      </c>
      <c r="AK3771">
        <f t="shared" si="425"/>
        <v>1222154.46434783</v>
      </c>
    </row>
    <row r="3772" spans="1:37">
      <c r="A3772" t="s">
        <v>3838</v>
      </c>
      <c r="B3772">
        <v>26</v>
      </c>
      <c r="C3772" t="s">
        <v>44</v>
      </c>
      <c r="D3772" t="s">
        <v>60</v>
      </c>
      <c r="E3772">
        <v>596</v>
      </c>
      <c r="F3772">
        <v>365</v>
      </c>
      <c r="G3772">
        <v>2</v>
      </c>
      <c r="H3772">
        <v>2654.93</v>
      </c>
      <c r="I3772">
        <v>5065.03</v>
      </c>
      <c r="J3772">
        <v>21</v>
      </c>
      <c r="K3772">
        <v>2</v>
      </c>
      <c r="L3772">
        <v>20.3</v>
      </c>
      <c r="M3772">
        <v>17.5</v>
      </c>
      <c r="N3772" t="s">
        <v>52</v>
      </c>
      <c r="O3772" t="s">
        <v>75</v>
      </c>
      <c r="P3772" t="s">
        <v>58</v>
      </c>
      <c r="R3772">
        <f>SUMIF(A3772:A8771,"C03771",I3772:I8771)</f>
        <v>5065.03</v>
      </c>
      <c r="S3772" s="1">
        <v>6128.5</v>
      </c>
      <c r="T3772">
        <f t="shared" si="429"/>
        <v>241.191904761905</v>
      </c>
      <c r="U3772">
        <f t="shared" si="428"/>
        <v>367.5</v>
      </c>
      <c r="V3772">
        <f>U3772*2</f>
        <v>735</v>
      </c>
      <c r="W3772">
        <f t="shared" si="426"/>
        <v>2573.65333333333</v>
      </c>
      <c r="X3772">
        <f t="shared" si="431"/>
        <v>0.22448802793294</v>
      </c>
      <c r="AH3772" t="str">
        <f t="shared" si="427"/>
        <v>3rd Quality</v>
      </c>
      <c r="AJ3772">
        <f>((T3772-X3772)*2)/20.3</f>
        <v>23.7406321905391</v>
      </c>
      <c r="AK3772">
        <f t="shared" si="425"/>
        <v>143750.375238095</v>
      </c>
    </row>
    <row r="3773" spans="1:37">
      <c r="A3773" t="s">
        <v>3839</v>
      </c>
      <c r="B3773">
        <v>22</v>
      </c>
      <c r="C3773" t="s">
        <v>50</v>
      </c>
      <c r="D3773" t="s">
        <v>45</v>
      </c>
      <c r="E3773">
        <v>1156</v>
      </c>
      <c r="F3773">
        <v>327</v>
      </c>
      <c r="G3773">
        <v>1</v>
      </c>
      <c r="H3773">
        <v>2058.16</v>
      </c>
      <c r="I3773">
        <v>1919.6</v>
      </c>
      <c r="J3773">
        <v>15</v>
      </c>
      <c r="K3773">
        <v>0</v>
      </c>
      <c r="L3773">
        <v>14.8</v>
      </c>
      <c r="M3773">
        <v>42.4</v>
      </c>
      <c r="N3773" t="s">
        <v>57</v>
      </c>
      <c r="O3773" t="s">
        <v>53</v>
      </c>
      <c r="P3773" t="s">
        <v>68</v>
      </c>
      <c r="R3773">
        <f>SUMIF(A3773:A8772,"C03772",I3773:I8772)</f>
        <v>1919.6</v>
      </c>
      <c r="S3773" s="1">
        <v>3249.56</v>
      </c>
      <c r="T3773">
        <f t="shared" si="429"/>
        <v>127.973333333333</v>
      </c>
      <c r="U3773">
        <f t="shared" si="428"/>
        <v>636</v>
      </c>
      <c r="V3773">
        <f t="shared" si="430"/>
        <v>53</v>
      </c>
      <c r="W3773">
        <f t="shared" si="426"/>
        <v>1326.25333333333</v>
      </c>
      <c r="X3773">
        <f t="shared" si="431"/>
        <v>0.56166673144945</v>
      </c>
      <c r="AH3773" t="str">
        <f t="shared" si="427"/>
        <v>3rd Quality</v>
      </c>
      <c r="AJ3773">
        <f>((T3773-X3773)*2)/14.8</f>
        <v>17.2177927840383</v>
      </c>
      <c r="AK3773">
        <f t="shared" si="425"/>
        <v>147937.173333333</v>
      </c>
    </row>
    <row r="3774" spans="1:37">
      <c r="A3774" t="s">
        <v>3840</v>
      </c>
      <c r="B3774">
        <v>35</v>
      </c>
      <c r="C3774" t="s">
        <v>44</v>
      </c>
      <c r="D3774" t="s">
        <v>45</v>
      </c>
      <c r="E3774">
        <v>877</v>
      </c>
      <c r="F3774">
        <v>56</v>
      </c>
      <c r="G3774">
        <v>2</v>
      </c>
      <c r="H3774">
        <v>560.75</v>
      </c>
      <c r="I3774">
        <v>1021.62</v>
      </c>
      <c r="J3774">
        <v>21</v>
      </c>
      <c r="K3774">
        <v>0</v>
      </c>
      <c r="L3774">
        <v>16.7</v>
      </c>
      <c r="M3774">
        <v>13.8</v>
      </c>
      <c r="N3774" t="s">
        <v>78</v>
      </c>
      <c r="O3774" t="s">
        <v>75</v>
      </c>
      <c r="P3774" t="s">
        <v>58</v>
      </c>
      <c r="R3774">
        <f>SUMIF(A3774:A8773,"C03773",I3774:I8773)</f>
        <v>1021.62</v>
      </c>
      <c r="S3774" s="1">
        <v>35518.72</v>
      </c>
      <c r="T3774">
        <f t="shared" si="429"/>
        <v>48.6485714285714</v>
      </c>
      <c r="U3774">
        <f t="shared" si="428"/>
        <v>289.8</v>
      </c>
      <c r="V3774">
        <f t="shared" si="430"/>
        <v>24.15</v>
      </c>
      <c r="W3774">
        <f t="shared" si="426"/>
        <v>527.79</v>
      </c>
      <c r="X3774">
        <f t="shared" si="431"/>
        <v>1.56397681676326</v>
      </c>
      <c r="AH3774" t="str">
        <f t="shared" si="427"/>
        <v>3rd Quality</v>
      </c>
      <c r="AJ3774">
        <f>((T3774-X3774)*2)/16.7</f>
        <v>5.63887360620457</v>
      </c>
      <c r="AK3774">
        <f t="shared" si="425"/>
        <v>42664.7971428571</v>
      </c>
    </row>
    <row r="3775" spans="1:37">
      <c r="A3775" t="s">
        <v>3841</v>
      </c>
      <c r="B3775">
        <v>27</v>
      </c>
      <c r="C3775" t="s">
        <v>50</v>
      </c>
      <c r="D3775" t="s">
        <v>60</v>
      </c>
      <c r="E3775">
        <v>1203</v>
      </c>
      <c r="F3775">
        <v>285</v>
      </c>
      <c r="G3775">
        <v>9</v>
      </c>
      <c r="H3775">
        <v>722.07</v>
      </c>
      <c r="I3775">
        <v>6128.5</v>
      </c>
      <c r="J3775">
        <v>34</v>
      </c>
      <c r="K3775">
        <v>1</v>
      </c>
      <c r="L3775">
        <v>31.5</v>
      </c>
      <c r="M3775">
        <v>26.9</v>
      </c>
      <c r="N3775" t="s">
        <v>57</v>
      </c>
      <c r="O3775" t="s">
        <v>53</v>
      </c>
      <c r="P3775" t="s">
        <v>58</v>
      </c>
      <c r="R3775">
        <f>SUMIF(A3775:A8774,"C03774",I3775:I8774)</f>
        <v>6128.5</v>
      </c>
      <c r="S3775" s="1">
        <v>660.07</v>
      </c>
      <c r="T3775">
        <f t="shared" si="429"/>
        <v>180.25</v>
      </c>
      <c r="U3775">
        <f t="shared" si="428"/>
        <v>914.6</v>
      </c>
      <c r="V3775">
        <f>U3775*1</f>
        <v>914.6</v>
      </c>
      <c r="W3775">
        <f t="shared" si="426"/>
        <v>2283.85666666667</v>
      </c>
      <c r="X3775">
        <f t="shared" si="431"/>
        <v>1.66604345839046</v>
      </c>
      <c r="AH3775" t="str">
        <f t="shared" si="427"/>
        <v>3rd Quality</v>
      </c>
      <c r="AJ3775">
        <f>((T3775-X3775)*2)/31.5</f>
        <v>11.3386639074038</v>
      </c>
      <c r="AK3775">
        <f t="shared" si="425"/>
        <v>216840.75</v>
      </c>
    </row>
    <row r="3776" spans="1:37">
      <c r="A3776" t="s">
        <v>3842</v>
      </c>
      <c r="B3776">
        <v>31</v>
      </c>
      <c r="C3776" t="s">
        <v>50</v>
      </c>
      <c r="D3776" t="s">
        <v>60</v>
      </c>
      <c r="E3776">
        <v>698</v>
      </c>
      <c r="F3776">
        <v>62</v>
      </c>
      <c r="G3776">
        <v>5</v>
      </c>
      <c r="H3776">
        <v>625</v>
      </c>
      <c r="I3776">
        <v>3249.56</v>
      </c>
      <c r="J3776">
        <v>47</v>
      </c>
      <c r="K3776">
        <v>2</v>
      </c>
      <c r="L3776">
        <v>32.5</v>
      </c>
      <c r="M3776">
        <v>39.1</v>
      </c>
      <c r="N3776" t="s">
        <v>63</v>
      </c>
      <c r="O3776" t="s">
        <v>75</v>
      </c>
      <c r="P3776" t="s">
        <v>58</v>
      </c>
      <c r="R3776">
        <f>SUMIF(A3776:A8775,"C03775",I3776:I8775)</f>
        <v>3249.56</v>
      </c>
      <c r="S3776" s="1">
        <v>31733.53</v>
      </c>
      <c r="T3776">
        <f t="shared" si="429"/>
        <v>69.1395744680851</v>
      </c>
      <c r="U3776">
        <f t="shared" si="428"/>
        <v>1837.7</v>
      </c>
      <c r="V3776">
        <f>U3776*2</f>
        <v>3675.4</v>
      </c>
      <c r="W3776">
        <f t="shared" si="426"/>
        <v>1291.85333333333</v>
      </c>
      <c r="X3776">
        <f t="shared" si="431"/>
        <v>1.1168</v>
      </c>
      <c r="AH3776" t="str">
        <f t="shared" si="427"/>
        <v>3rd Quality</v>
      </c>
      <c r="AJ3776">
        <f>((T3776-X3776)*2)/32.5</f>
        <v>4.1860168903437</v>
      </c>
      <c r="AK3776">
        <f t="shared" si="425"/>
        <v>48259.4229787234</v>
      </c>
    </row>
    <row r="3777" spans="1:37">
      <c r="A3777" t="s">
        <v>3843</v>
      </c>
      <c r="B3777">
        <v>38</v>
      </c>
      <c r="C3777" t="s">
        <v>44</v>
      </c>
      <c r="D3777" t="s">
        <v>51</v>
      </c>
      <c r="E3777">
        <v>1362</v>
      </c>
      <c r="F3777">
        <v>23</v>
      </c>
      <c r="G3777">
        <v>3</v>
      </c>
      <c r="H3777">
        <v>11521.67</v>
      </c>
      <c r="I3777">
        <v>35518.72</v>
      </c>
      <c r="J3777">
        <v>32</v>
      </c>
      <c r="K3777">
        <v>0</v>
      </c>
      <c r="L3777">
        <v>0.4</v>
      </c>
      <c r="M3777">
        <v>23.5</v>
      </c>
      <c r="N3777" t="s">
        <v>61</v>
      </c>
      <c r="O3777" t="s">
        <v>47</v>
      </c>
      <c r="P3777" t="s">
        <v>58</v>
      </c>
      <c r="R3777">
        <f>SUMIF(A3777:A8776,"C03776",I3777:I8776)</f>
        <v>35518.72</v>
      </c>
      <c r="S3777" s="1">
        <v>988.57</v>
      </c>
      <c r="T3777">
        <f t="shared" si="429"/>
        <v>1109.96</v>
      </c>
      <c r="U3777">
        <f t="shared" si="428"/>
        <v>752</v>
      </c>
      <c r="V3777">
        <f t="shared" si="430"/>
        <v>62.6666666666667</v>
      </c>
      <c r="W3777">
        <f t="shared" si="426"/>
        <v>15680.4633333333</v>
      </c>
      <c r="X3777">
        <f t="shared" si="431"/>
        <v>0.118212030026897</v>
      </c>
      <c r="AH3777" t="str">
        <f t="shared" si="427"/>
        <v>2nd Quality</v>
      </c>
      <c r="AJ3777">
        <f>((T3777-X3777)*2)/0.4</f>
        <v>5549.20893984987</v>
      </c>
      <c r="AK3777">
        <f t="shared" si="425"/>
        <v>1511765.52</v>
      </c>
    </row>
    <row r="3778" spans="1:37">
      <c r="A3778" t="s">
        <v>3844</v>
      </c>
      <c r="B3778">
        <v>43</v>
      </c>
      <c r="C3778" t="s">
        <v>56</v>
      </c>
      <c r="D3778" t="s">
        <v>45</v>
      </c>
      <c r="E3778">
        <v>1167</v>
      </c>
      <c r="F3778">
        <v>47</v>
      </c>
      <c r="G3778">
        <v>1</v>
      </c>
      <c r="H3778">
        <v>716.52</v>
      </c>
      <c r="I3778">
        <v>660.07</v>
      </c>
      <c r="J3778">
        <v>9</v>
      </c>
      <c r="K3778">
        <v>0</v>
      </c>
      <c r="L3778">
        <v>33.5</v>
      </c>
      <c r="M3778">
        <v>6.1</v>
      </c>
      <c r="N3778" t="s">
        <v>52</v>
      </c>
      <c r="O3778" t="s">
        <v>53</v>
      </c>
      <c r="P3778" t="s">
        <v>58</v>
      </c>
      <c r="R3778">
        <f>SUMIF(A3778:A8777,"C03777",I3778:I8777)</f>
        <v>660.07</v>
      </c>
      <c r="S3778" s="1">
        <v>6069.81</v>
      </c>
      <c r="T3778">
        <f t="shared" si="429"/>
        <v>73.3411111111111</v>
      </c>
      <c r="U3778">
        <f t="shared" si="428"/>
        <v>54.9</v>
      </c>
      <c r="V3778">
        <f t="shared" si="430"/>
        <v>4.575</v>
      </c>
      <c r="W3778">
        <f t="shared" si="426"/>
        <v>459.196666666667</v>
      </c>
      <c r="X3778">
        <f t="shared" si="431"/>
        <v>1.62870540947915</v>
      </c>
      <c r="AH3778" t="str">
        <f t="shared" si="427"/>
        <v>3rd Quality</v>
      </c>
      <c r="AJ3778">
        <f>((T3778-X3778)*2)/33.5</f>
        <v>4.28133765382877</v>
      </c>
      <c r="AK3778">
        <f t="shared" si="425"/>
        <v>85589.0766666667</v>
      </c>
    </row>
    <row r="3779" spans="1:37">
      <c r="A3779" t="s">
        <v>3845</v>
      </c>
      <c r="B3779">
        <v>35</v>
      </c>
      <c r="C3779" t="s">
        <v>56</v>
      </c>
      <c r="D3779" t="s">
        <v>60</v>
      </c>
      <c r="E3779">
        <v>700</v>
      </c>
      <c r="F3779">
        <v>15</v>
      </c>
      <c r="G3779">
        <v>17</v>
      </c>
      <c r="H3779">
        <v>1870.65</v>
      </c>
      <c r="I3779">
        <v>31733.53</v>
      </c>
      <c r="J3779">
        <v>106</v>
      </c>
      <c r="K3779">
        <v>1</v>
      </c>
      <c r="L3779">
        <v>0</v>
      </c>
      <c r="M3779">
        <v>43</v>
      </c>
      <c r="N3779" t="s">
        <v>81</v>
      </c>
      <c r="O3779" t="s">
        <v>47</v>
      </c>
      <c r="P3779" t="s">
        <v>58</v>
      </c>
      <c r="R3779">
        <f>SUMIF(A3779:A8778,"C03778",I3779:I8778)</f>
        <v>31733.53</v>
      </c>
      <c r="S3779" s="1">
        <v>59864.94</v>
      </c>
      <c r="T3779">
        <f t="shared" si="429"/>
        <v>299.372924528302</v>
      </c>
      <c r="U3779">
        <f t="shared" si="428"/>
        <v>4558</v>
      </c>
      <c r="V3779">
        <f>U3779*1</f>
        <v>4558</v>
      </c>
      <c r="W3779">
        <f t="shared" si="426"/>
        <v>11201.7266666667</v>
      </c>
      <c r="X3779">
        <f t="shared" si="431"/>
        <v>0.374201480768717</v>
      </c>
      <c r="AH3779" t="str">
        <f t="shared" si="427"/>
        <v>2nd Quality</v>
      </c>
      <c r="AJ3779">
        <f>((T3779-X3779)*2)</f>
        <v>597.997446095067</v>
      </c>
      <c r="AK3779">
        <f t="shared" ref="AK3779:AK3842" si="432">I3779/J3779*E3779</f>
        <v>209561.047169811</v>
      </c>
    </row>
    <row r="3780" spans="1:37">
      <c r="A3780" t="s">
        <v>3846</v>
      </c>
      <c r="B3780">
        <v>24</v>
      </c>
      <c r="C3780" t="s">
        <v>50</v>
      </c>
      <c r="D3780" t="s">
        <v>45</v>
      </c>
      <c r="E3780">
        <v>1096</v>
      </c>
      <c r="F3780">
        <v>34</v>
      </c>
      <c r="G3780">
        <v>1</v>
      </c>
      <c r="H3780">
        <v>1061.49</v>
      </c>
      <c r="I3780">
        <v>988.57</v>
      </c>
      <c r="J3780">
        <v>13</v>
      </c>
      <c r="K3780">
        <v>0</v>
      </c>
      <c r="L3780">
        <v>12.9</v>
      </c>
      <c r="M3780">
        <v>18</v>
      </c>
      <c r="N3780" t="s">
        <v>61</v>
      </c>
      <c r="O3780" t="s">
        <v>47</v>
      </c>
      <c r="P3780" t="s">
        <v>66</v>
      </c>
      <c r="R3780">
        <f>SUMIF(A3780:A8779,"C03779",I3780:I8779)</f>
        <v>988.57</v>
      </c>
      <c r="S3780" s="1">
        <v>4100.15</v>
      </c>
      <c r="T3780">
        <f t="shared" si="429"/>
        <v>76.0438461538462</v>
      </c>
      <c r="U3780">
        <f t="shared" si="428"/>
        <v>234</v>
      </c>
      <c r="V3780">
        <f t="shared" si="430"/>
        <v>19.5</v>
      </c>
      <c r="W3780">
        <f t="shared" si="426"/>
        <v>683.686666666667</v>
      </c>
      <c r="X3780">
        <f t="shared" si="431"/>
        <v>1.03251090448332</v>
      </c>
      <c r="AH3780" t="str">
        <f t="shared" si="427"/>
        <v>3rd Quality</v>
      </c>
      <c r="AJ3780">
        <f>((T3780-X3780)*2)/12.9</f>
        <v>11.6296643797462</v>
      </c>
      <c r="AK3780">
        <f t="shared" si="432"/>
        <v>83344.0553846154</v>
      </c>
    </row>
    <row r="3781" spans="1:37">
      <c r="A3781" t="s">
        <v>3847</v>
      </c>
      <c r="B3781">
        <v>24</v>
      </c>
      <c r="C3781" t="s">
        <v>44</v>
      </c>
      <c r="D3781" t="s">
        <v>45</v>
      </c>
      <c r="E3781">
        <v>1180</v>
      </c>
      <c r="F3781">
        <v>131</v>
      </c>
      <c r="G3781">
        <v>2</v>
      </c>
      <c r="H3781">
        <v>2747.43</v>
      </c>
      <c r="I3781">
        <v>6069.81</v>
      </c>
      <c r="J3781">
        <v>17</v>
      </c>
      <c r="K3781">
        <v>0</v>
      </c>
      <c r="L3781">
        <v>15.8</v>
      </c>
      <c r="M3781">
        <v>49.9</v>
      </c>
      <c r="N3781" t="s">
        <v>78</v>
      </c>
      <c r="O3781" t="s">
        <v>75</v>
      </c>
      <c r="P3781" t="s">
        <v>48</v>
      </c>
      <c r="R3781">
        <f>SUMIF(A3781:A8780,"C03780",I3781:I8780)</f>
        <v>6069.81</v>
      </c>
      <c r="S3781" s="1">
        <v>910.69</v>
      </c>
      <c r="T3781">
        <f t="shared" si="429"/>
        <v>357.047647058824</v>
      </c>
      <c r="U3781">
        <f t="shared" si="428"/>
        <v>848.3</v>
      </c>
      <c r="V3781">
        <f t="shared" si="430"/>
        <v>70.6916666666667</v>
      </c>
      <c r="W3781">
        <f t="shared" si="426"/>
        <v>2939.41333333333</v>
      </c>
      <c r="X3781">
        <f t="shared" si="431"/>
        <v>0.429492289157504</v>
      </c>
      <c r="AH3781" t="str">
        <f t="shared" si="427"/>
        <v>3rd Quality</v>
      </c>
      <c r="AJ3781">
        <f>((T3781-X3781)*2)/15.8</f>
        <v>45.1415385784388</v>
      </c>
      <c r="AK3781">
        <f t="shared" si="432"/>
        <v>421316.223529412</v>
      </c>
    </row>
    <row r="3782" spans="1:37">
      <c r="A3782" t="s">
        <v>3848</v>
      </c>
      <c r="B3782">
        <v>20</v>
      </c>
      <c r="C3782" t="s">
        <v>44</v>
      </c>
      <c r="D3782" t="s">
        <v>60</v>
      </c>
      <c r="E3782">
        <v>1446</v>
      </c>
      <c r="F3782">
        <v>5</v>
      </c>
      <c r="G3782">
        <v>19</v>
      </c>
      <c r="H3782">
        <v>2989.95</v>
      </c>
      <c r="I3782">
        <v>59864.94</v>
      </c>
      <c r="J3782">
        <v>141</v>
      </c>
      <c r="K3782">
        <v>0</v>
      </c>
      <c r="L3782">
        <v>2.8</v>
      </c>
      <c r="M3782">
        <v>38.4</v>
      </c>
      <c r="N3782" t="s">
        <v>63</v>
      </c>
      <c r="O3782" t="s">
        <v>53</v>
      </c>
      <c r="P3782" t="s">
        <v>66</v>
      </c>
      <c r="R3782">
        <f>SUMIF(A3782:A8781,"C03781",I3782:I8781)</f>
        <v>59864.94</v>
      </c>
      <c r="S3782" s="1">
        <v>6026.48</v>
      </c>
      <c r="T3782">
        <f t="shared" si="429"/>
        <v>424.574042553192</v>
      </c>
      <c r="U3782">
        <f t="shared" si="428"/>
        <v>5414.4</v>
      </c>
      <c r="V3782">
        <f t="shared" si="430"/>
        <v>451.2</v>
      </c>
      <c r="W3782">
        <f t="shared" si="426"/>
        <v>20951.9633333333</v>
      </c>
      <c r="X3782">
        <f t="shared" si="431"/>
        <v>0.48362012742688</v>
      </c>
      <c r="AH3782" t="str">
        <f t="shared" si="427"/>
        <v>1st Quality</v>
      </c>
      <c r="AJ3782">
        <f>((T3782-X3782)*2)/2.8</f>
        <v>302.921730304118</v>
      </c>
      <c r="AK3782">
        <f t="shared" si="432"/>
        <v>613934.065531915</v>
      </c>
    </row>
    <row r="3783" spans="1:37">
      <c r="A3783" t="s">
        <v>3849</v>
      </c>
      <c r="B3783">
        <v>48</v>
      </c>
      <c r="C3783" t="s">
        <v>50</v>
      </c>
      <c r="D3783" t="s">
        <v>51</v>
      </c>
      <c r="E3783">
        <v>767</v>
      </c>
      <c r="F3783">
        <v>105</v>
      </c>
      <c r="G3783">
        <v>5</v>
      </c>
      <c r="H3783">
        <v>889.79</v>
      </c>
      <c r="I3783">
        <v>4100.15</v>
      </c>
      <c r="J3783">
        <v>20</v>
      </c>
      <c r="K3783">
        <v>0</v>
      </c>
      <c r="L3783">
        <v>20.3</v>
      </c>
      <c r="M3783">
        <v>15.1</v>
      </c>
      <c r="N3783" t="s">
        <v>57</v>
      </c>
      <c r="O3783" t="s">
        <v>47</v>
      </c>
      <c r="P3783" t="s">
        <v>68</v>
      </c>
      <c r="R3783">
        <f>SUMIF(A3783:A8782,"C03782",I3783:I8782)</f>
        <v>4100.15</v>
      </c>
      <c r="S3783" s="1">
        <v>14308.72</v>
      </c>
      <c r="T3783">
        <f t="shared" si="429"/>
        <v>205.0075</v>
      </c>
      <c r="U3783">
        <f t="shared" si="428"/>
        <v>302</v>
      </c>
      <c r="V3783">
        <f t="shared" si="430"/>
        <v>25.1666666666667</v>
      </c>
      <c r="W3783">
        <f t="shared" si="426"/>
        <v>1663.64666666667</v>
      </c>
      <c r="X3783">
        <f t="shared" si="431"/>
        <v>0.8620011463379</v>
      </c>
      <c r="AH3783" t="str">
        <f t="shared" si="427"/>
        <v>3rd Quality</v>
      </c>
      <c r="AJ3783">
        <f>((T3783-X3783)*2)/20.3</f>
        <v>20.1128570299174</v>
      </c>
      <c r="AK3783">
        <f t="shared" si="432"/>
        <v>157240.7525</v>
      </c>
    </row>
    <row r="3784" spans="1:37">
      <c r="A3784" t="s">
        <v>3850</v>
      </c>
      <c r="B3784">
        <v>32</v>
      </c>
      <c r="C3784" t="s">
        <v>50</v>
      </c>
      <c r="D3784" t="s">
        <v>51</v>
      </c>
      <c r="E3784">
        <v>1436</v>
      </c>
      <c r="F3784">
        <v>57</v>
      </c>
      <c r="G3784">
        <v>1</v>
      </c>
      <c r="H3784">
        <v>959.09</v>
      </c>
      <c r="I3784">
        <v>910.69</v>
      </c>
      <c r="J3784">
        <v>15</v>
      </c>
      <c r="K3784">
        <v>0</v>
      </c>
      <c r="L3784">
        <v>21</v>
      </c>
      <c r="M3784">
        <v>31.7</v>
      </c>
      <c r="N3784" t="s">
        <v>63</v>
      </c>
      <c r="O3784" t="s">
        <v>53</v>
      </c>
      <c r="P3784" t="s">
        <v>58</v>
      </c>
      <c r="R3784">
        <f>SUMIF(A3784:A8783,"C03783",I3784:I8783)</f>
        <v>910.69</v>
      </c>
      <c r="S3784" s="1">
        <v>3227.14</v>
      </c>
      <c r="T3784">
        <f t="shared" si="429"/>
        <v>60.7126666666667</v>
      </c>
      <c r="U3784">
        <f t="shared" si="428"/>
        <v>475.5</v>
      </c>
      <c r="V3784">
        <f t="shared" si="430"/>
        <v>39.625</v>
      </c>
      <c r="W3784">
        <f t="shared" si="426"/>
        <v>623.593333333333</v>
      </c>
      <c r="X3784">
        <f t="shared" si="431"/>
        <v>1.4972526040309</v>
      </c>
      <c r="AH3784" t="str">
        <f t="shared" si="427"/>
        <v>3rd Quality</v>
      </c>
      <c r="AJ3784">
        <f>((T3784-X3784)*2)/21</f>
        <v>5.63956324406055</v>
      </c>
      <c r="AK3784">
        <f t="shared" si="432"/>
        <v>87183.3893333333</v>
      </c>
    </row>
    <row r="3785" spans="1:37">
      <c r="A3785" t="s">
        <v>3851</v>
      </c>
      <c r="B3785">
        <v>45</v>
      </c>
      <c r="C3785" t="s">
        <v>101</v>
      </c>
      <c r="D3785" t="s">
        <v>60</v>
      </c>
      <c r="E3785">
        <v>1227</v>
      </c>
      <c r="F3785">
        <v>30</v>
      </c>
      <c r="G3785">
        <v>9</v>
      </c>
      <c r="H3785">
        <v>617.3</v>
      </c>
      <c r="I3785">
        <v>6026.48</v>
      </c>
      <c r="J3785">
        <v>64</v>
      </c>
      <c r="K3785">
        <v>0</v>
      </c>
      <c r="L3785">
        <v>23.5</v>
      </c>
      <c r="M3785">
        <v>17.5</v>
      </c>
      <c r="N3785" t="s">
        <v>63</v>
      </c>
      <c r="O3785" t="s">
        <v>47</v>
      </c>
      <c r="P3785" t="s">
        <v>58</v>
      </c>
      <c r="R3785">
        <f>SUMIF(A3785:A8784,"C03784",I3785:I8784)</f>
        <v>6026.48</v>
      </c>
      <c r="S3785" s="1">
        <v>1547.99</v>
      </c>
      <c r="T3785">
        <f t="shared" si="429"/>
        <v>94.16375</v>
      </c>
      <c r="U3785">
        <f t="shared" si="428"/>
        <v>1120</v>
      </c>
      <c r="V3785">
        <f t="shared" si="430"/>
        <v>93.3333333333333</v>
      </c>
      <c r="W3785">
        <f t="shared" ref="W3785:W3848" si="433">(H3785+I3785+1)/3</f>
        <v>2214.92666666667</v>
      </c>
      <c r="X3785">
        <f t="shared" si="431"/>
        <v>1.98768832010368</v>
      </c>
      <c r="AH3785" t="str">
        <f t="shared" si="427"/>
        <v>3rd Quality</v>
      </c>
      <c r="AJ3785">
        <f>((T3785-X3785)*2)/23.5</f>
        <v>7.84477120679969</v>
      </c>
      <c r="AK3785">
        <f t="shared" si="432"/>
        <v>115538.92125</v>
      </c>
    </row>
    <row r="3786" spans="1:37">
      <c r="A3786" t="s">
        <v>3852</v>
      </c>
      <c r="B3786">
        <v>50</v>
      </c>
      <c r="C3786" t="s">
        <v>50</v>
      </c>
      <c r="D3786" t="s">
        <v>45</v>
      </c>
      <c r="E3786">
        <v>847</v>
      </c>
      <c r="F3786">
        <v>62</v>
      </c>
      <c r="G3786">
        <v>3</v>
      </c>
      <c r="H3786">
        <v>4705.07</v>
      </c>
      <c r="I3786">
        <v>14308.72</v>
      </c>
      <c r="J3786">
        <v>39</v>
      </c>
      <c r="K3786">
        <v>0</v>
      </c>
      <c r="L3786">
        <v>17.5</v>
      </c>
      <c r="M3786">
        <v>32.1</v>
      </c>
      <c r="N3786" t="s">
        <v>52</v>
      </c>
      <c r="O3786" t="s">
        <v>75</v>
      </c>
      <c r="P3786" t="s">
        <v>68</v>
      </c>
      <c r="R3786">
        <f>SUMIF(A3786:A8785,"C03785",I3786:I8785)</f>
        <v>14308.72</v>
      </c>
      <c r="S3786" s="1">
        <v>92009.35</v>
      </c>
      <c r="T3786">
        <f t="shared" si="429"/>
        <v>366.890256410256</v>
      </c>
      <c r="U3786">
        <f t="shared" si="428"/>
        <v>1251.9</v>
      </c>
      <c r="V3786">
        <f t="shared" si="430"/>
        <v>104.325</v>
      </c>
      <c r="W3786">
        <f t="shared" si="433"/>
        <v>6338.26333333333</v>
      </c>
      <c r="X3786">
        <f t="shared" si="431"/>
        <v>0.180018575706631</v>
      </c>
      <c r="AH3786" t="str">
        <f t="shared" si="427"/>
        <v>3rd Quality</v>
      </c>
      <c r="AJ3786">
        <f>((T3786-X3786)*2)/17.5</f>
        <v>41.9097414668056</v>
      </c>
      <c r="AK3786">
        <f t="shared" si="432"/>
        <v>310756.047179487</v>
      </c>
    </row>
    <row r="3787" spans="1:37">
      <c r="A3787" t="s">
        <v>3853</v>
      </c>
      <c r="B3787">
        <v>20</v>
      </c>
      <c r="C3787" t="s">
        <v>44</v>
      </c>
      <c r="D3787" t="s">
        <v>51</v>
      </c>
      <c r="E3787">
        <v>1129</v>
      </c>
      <c r="F3787">
        <v>67</v>
      </c>
      <c r="G3787">
        <v>2</v>
      </c>
      <c r="H3787">
        <v>1671.35</v>
      </c>
      <c r="I3787">
        <v>3227.14</v>
      </c>
      <c r="J3787">
        <v>21</v>
      </c>
      <c r="K3787">
        <v>1</v>
      </c>
      <c r="L3787">
        <v>19.9</v>
      </c>
      <c r="M3787">
        <v>11.6</v>
      </c>
      <c r="N3787" t="s">
        <v>46</v>
      </c>
      <c r="O3787" t="s">
        <v>47</v>
      </c>
      <c r="P3787" t="s">
        <v>58</v>
      </c>
      <c r="R3787">
        <f>SUMIF(A3787:A8786,"C03786",I3787:I8786)</f>
        <v>3227.14</v>
      </c>
      <c r="S3787" s="1">
        <v>27519.55</v>
      </c>
      <c r="T3787">
        <f t="shared" si="429"/>
        <v>153.673333333333</v>
      </c>
      <c r="U3787">
        <f t="shared" si="428"/>
        <v>243.6</v>
      </c>
      <c r="V3787">
        <f>U3787*1</f>
        <v>243.6</v>
      </c>
      <c r="W3787">
        <f t="shared" si="433"/>
        <v>1633.16333333333</v>
      </c>
      <c r="X3787">
        <f t="shared" si="431"/>
        <v>0.675501839830077</v>
      </c>
      <c r="AH3787" t="str">
        <f t="shared" si="427"/>
        <v>3rd Quality</v>
      </c>
      <c r="AJ3787">
        <f>((T3787-X3787)*2)/19.9</f>
        <v>15.3766664817591</v>
      </c>
      <c r="AK3787">
        <f t="shared" si="432"/>
        <v>173497.193333333</v>
      </c>
    </row>
    <row r="3788" spans="1:37">
      <c r="A3788" t="s">
        <v>3854</v>
      </c>
      <c r="B3788">
        <v>54</v>
      </c>
      <c r="C3788" t="s">
        <v>44</v>
      </c>
      <c r="D3788" t="s">
        <v>45</v>
      </c>
      <c r="E3788">
        <v>986</v>
      </c>
      <c r="F3788">
        <v>320</v>
      </c>
      <c r="G3788">
        <v>1</v>
      </c>
      <c r="H3788">
        <v>1512.27</v>
      </c>
      <c r="I3788">
        <v>1547.99</v>
      </c>
      <c r="J3788">
        <v>15</v>
      </c>
      <c r="K3788">
        <v>0</v>
      </c>
      <c r="L3788">
        <v>20.9</v>
      </c>
      <c r="M3788">
        <v>1.9</v>
      </c>
      <c r="N3788" t="s">
        <v>57</v>
      </c>
      <c r="O3788" t="s">
        <v>47</v>
      </c>
      <c r="P3788" t="s">
        <v>58</v>
      </c>
      <c r="R3788">
        <f>SUMIF(A3788:A8787,"C03787",I3788:I8787)</f>
        <v>1547.99</v>
      </c>
      <c r="S3788" s="1">
        <v>6740.46</v>
      </c>
      <c r="T3788">
        <f t="shared" si="429"/>
        <v>103.199333333333</v>
      </c>
      <c r="U3788">
        <f t="shared" si="428"/>
        <v>28.5</v>
      </c>
      <c r="V3788">
        <f t="shared" si="430"/>
        <v>2.375</v>
      </c>
      <c r="W3788">
        <f t="shared" si="433"/>
        <v>1020.42</v>
      </c>
      <c r="X3788">
        <f t="shared" si="431"/>
        <v>0.651999973549697</v>
      </c>
      <c r="AH3788" t="str">
        <f t="shared" si="427"/>
        <v>3rd Quality</v>
      </c>
      <c r="AJ3788">
        <f>((T3788-X3788)*2)/20.9</f>
        <v>9.81314194830462</v>
      </c>
      <c r="AK3788">
        <f t="shared" si="432"/>
        <v>101754.542666667</v>
      </c>
    </row>
    <row r="3789" spans="1:37">
      <c r="A3789" t="s">
        <v>3855</v>
      </c>
      <c r="B3789">
        <v>44</v>
      </c>
      <c r="C3789" t="s">
        <v>44</v>
      </c>
      <c r="D3789" t="s">
        <v>51</v>
      </c>
      <c r="E3789">
        <v>1449</v>
      </c>
      <c r="F3789">
        <v>18</v>
      </c>
      <c r="G3789">
        <v>24</v>
      </c>
      <c r="H3789">
        <v>3938.18</v>
      </c>
      <c r="I3789">
        <v>92009.35</v>
      </c>
      <c r="J3789">
        <v>78</v>
      </c>
      <c r="K3789">
        <v>2</v>
      </c>
      <c r="L3789">
        <v>2.9</v>
      </c>
      <c r="M3789">
        <v>67.6</v>
      </c>
      <c r="N3789" t="s">
        <v>63</v>
      </c>
      <c r="O3789" t="s">
        <v>53</v>
      </c>
      <c r="P3789" t="s">
        <v>58</v>
      </c>
      <c r="R3789">
        <f>SUMIF(A3789:A8788,"C03788",I3789:I8788)</f>
        <v>92009.35</v>
      </c>
      <c r="S3789" s="1">
        <v>22454.53</v>
      </c>
      <c r="T3789">
        <f t="shared" si="429"/>
        <v>1179.60705128205</v>
      </c>
      <c r="U3789">
        <f t="shared" si="428"/>
        <v>5272.8</v>
      </c>
      <c r="V3789">
        <f>U3789*2</f>
        <v>10545.6</v>
      </c>
      <c r="W3789">
        <f t="shared" si="433"/>
        <v>31982.8433333333</v>
      </c>
      <c r="X3789">
        <f t="shared" si="431"/>
        <v>0.367936457957737</v>
      </c>
      <c r="AH3789" t="str">
        <f t="shared" si="427"/>
        <v>3rd Quality</v>
      </c>
      <c r="AJ3789">
        <f>((T3789-X3789)*2)/2.9</f>
        <v>813.268355051098</v>
      </c>
      <c r="AK3789">
        <f t="shared" si="432"/>
        <v>1709250.61730769</v>
      </c>
    </row>
    <row r="3790" spans="1:37">
      <c r="A3790" t="s">
        <v>3856</v>
      </c>
      <c r="B3790">
        <v>42</v>
      </c>
      <c r="C3790" t="s">
        <v>44</v>
      </c>
      <c r="D3790" t="s">
        <v>51</v>
      </c>
      <c r="E3790">
        <v>436</v>
      </c>
      <c r="F3790">
        <v>29</v>
      </c>
      <c r="G3790">
        <v>20</v>
      </c>
      <c r="H3790">
        <v>1252.32</v>
      </c>
      <c r="I3790">
        <v>27519.55</v>
      </c>
      <c r="J3790">
        <v>171</v>
      </c>
      <c r="K3790">
        <v>4</v>
      </c>
      <c r="L3790">
        <v>7</v>
      </c>
      <c r="M3790">
        <v>17</v>
      </c>
      <c r="N3790" t="s">
        <v>46</v>
      </c>
      <c r="O3790" t="s">
        <v>75</v>
      </c>
      <c r="P3790" t="s">
        <v>68</v>
      </c>
      <c r="R3790">
        <f>SUMIF(A3790:A8789,"C03789",I3790:I8789)</f>
        <v>27519.55</v>
      </c>
      <c r="S3790" s="1">
        <v>11206.56</v>
      </c>
      <c r="T3790">
        <f t="shared" si="429"/>
        <v>160.933040935673</v>
      </c>
      <c r="U3790">
        <f t="shared" si="428"/>
        <v>2907</v>
      </c>
      <c r="V3790">
        <f>U3790*4</f>
        <v>11628</v>
      </c>
      <c r="W3790">
        <f t="shared" si="433"/>
        <v>9590.95666666667</v>
      </c>
      <c r="X3790">
        <f t="shared" si="431"/>
        <v>0.34815382649802</v>
      </c>
      <c r="AH3790" t="str">
        <f t="shared" ref="AH3790:AH3853" si="434">IF(AND(W3790&gt;=12550,B3790&lt;=33,E3790&gt;=915),"1st Quality",IF(AND(W3790&gt;=6275,B3790&lt;=43,E3790&gt;=457),"2nd Quality","3rd Quality"))</f>
        <v>3rd Quality</v>
      </c>
      <c r="AJ3790">
        <f>((T3790-X3790)*2)/7</f>
        <v>45.8813963169071</v>
      </c>
      <c r="AK3790">
        <f t="shared" si="432"/>
        <v>70166.8058479532</v>
      </c>
    </row>
    <row r="3791" spans="1:37">
      <c r="A3791" t="s">
        <v>3857</v>
      </c>
      <c r="B3791">
        <v>42</v>
      </c>
      <c r="C3791" t="s">
        <v>50</v>
      </c>
      <c r="D3791" t="s">
        <v>60</v>
      </c>
      <c r="E3791">
        <v>1195</v>
      </c>
      <c r="F3791">
        <v>10</v>
      </c>
      <c r="G3791">
        <v>5</v>
      </c>
      <c r="H3791">
        <v>1237.18</v>
      </c>
      <c r="I3791">
        <v>6740.46</v>
      </c>
      <c r="J3791">
        <v>33</v>
      </c>
      <c r="K3791">
        <v>0</v>
      </c>
      <c r="L3791">
        <v>42.8</v>
      </c>
      <c r="M3791">
        <v>36.4</v>
      </c>
      <c r="N3791" t="s">
        <v>57</v>
      </c>
      <c r="O3791" t="s">
        <v>47</v>
      </c>
      <c r="P3791" t="s">
        <v>48</v>
      </c>
      <c r="R3791">
        <f>SUMIF(A3791:A8790,"C03790",I3791:I8790)</f>
        <v>6740.46</v>
      </c>
      <c r="S3791" s="1">
        <v>70877.15</v>
      </c>
      <c r="T3791">
        <f t="shared" si="429"/>
        <v>204.256363636364</v>
      </c>
      <c r="U3791">
        <f t="shared" si="428"/>
        <v>1201.2</v>
      </c>
      <c r="V3791">
        <f t="shared" si="430"/>
        <v>100.1</v>
      </c>
      <c r="W3791">
        <f t="shared" si="433"/>
        <v>2659.54666666667</v>
      </c>
      <c r="X3791">
        <f t="shared" si="431"/>
        <v>0.965906335375612</v>
      </c>
      <c r="AH3791" t="str">
        <f t="shared" si="434"/>
        <v>3rd Quality</v>
      </c>
      <c r="AJ3791">
        <f>((T3791-X3791)*2)/42.8</f>
        <v>9.49955407948544</v>
      </c>
      <c r="AK3791">
        <f t="shared" si="432"/>
        <v>244086.354545455</v>
      </c>
    </row>
    <row r="3792" spans="1:37">
      <c r="A3792" t="s">
        <v>3858</v>
      </c>
      <c r="B3792">
        <v>44</v>
      </c>
      <c r="C3792" t="s">
        <v>50</v>
      </c>
      <c r="D3792" t="s">
        <v>45</v>
      </c>
      <c r="E3792">
        <v>1279</v>
      </c>
      <c r="F3792">
        <v>53</v>
      </c>
      <c r="G3792">
        <v>13</v>
      </c>
      <c r="H3792">
        <v>1880.55</v>
      </c>
      <c r="I3792">
        <v>22454.53</v>
      </c>
      <c r="J3792">
        <v>58</v>
      </c>
      <c r="K3792">
        <v>1</v>
      </c>
      <c r="L3792">
        <v>25.4</v>
      </c>
      <c r="M3792">
        <v>24.9</v>
      </c>
      <c r="N3792" t="s">
        <v>46</v>
      </c>
      <c r="O3792" t="s">
        <v>75</v>
      </c>
      <c r="P3792" t="s">
        <v>48</v>
      </c>
      <c r="R3792">
        <f>SUMIF(A3792:A8791,"C03791",I3792:I8791)</f>
        <v>22454.53</v>
      </c>
      <c r="S3792" s="1">
        <v>30196.12</v>
      </c>
      <c r="T3792">
        <f t="shared" si="429"/>
        <v>387.147068965517</v>
      </c>
      <c r="U3792">
        <f t="shared" si="428"/>
        <v>1444.2</v>
      </c>
      <c r="V3792">
        <f>U3792*1</f>
        <v>1444.2</v>
      </c>
      <c r="W3792">
        <f t="shared" si="433"/>
        <v>8112.02666666667</v>
      </c>
      <c r="X3792">
        <f t="shared" si="431"/>
        <v>0.680120177607615</v>
      </c>
      <c r="AH3792" t="str">
        <f t="shared" si="434"/>
        <v>3rd Quality</v>
      </c>
      <c r="AJ3792">
        <f>((T3792-X3792)*2)/25.4</f>
        <v>30.4304684084968</v>
      </c>
      <c r="AK3792">
        <f t="shared" si="432"/>
        <v>495161.101206897</v>
      </c>
    </row>
    <row r="3793" spans="1:37">
      <c r="A3793" t="s">
        <v>3859</v>
      </c>
      <c r="B3793">
        <v>35</v>
      </c>
      <c r="C3793" t="s">
        <v>44</v>
      </c>
      <c r="D3793" t="s">
        <v>60</v>
      </c>
      <c r="E3793">
        <v>376</v>
      </c>
      <c r="F3793">
        <v>73</v>
      </c>
      <c r="G3793">
        <v>9</v>
      </c>
      <c r="H3793">
        <v>1194.31</v>
      </c>
      <c r="I3793">
        <v>11206.56</v>
      </c>
      <c r="J3793">
        <v>33</v>
      </c>
      <c r="K3793">
        <v>2</v>
      </c>
      <c r="L3793">
        <v>33.2</v>
      </c>
      <c r="M3793">
        <v>19.9</v>
      </c>
      <c r="N3793" t="s">
        <v>46</v>
      </c>
      <c r="O3793" t="s">
        <v>47</v>
      </c>
      <c r="P3793" t="s">
        <v>66</v>
      </c>
      <c r="R3793">
        <f>SUMIF(A3793:A8792,"C03792",I3793:I8792)</f>
        <v>11206.56</v>
      </c>
      <c r="S3793" s="1">
        <v>71361</v>
      </c>
      <c r="T3793">
        <f t="shared" si="429"/>
        <v>339.592727272727</v>
      </c>
      <c r="U3793">
        <f t="shared" si="428"/>
        <v>656.7</v>
      </c>
      <c r="V3793">
        <f>U3793*2</f>
        <v>1313.4</v>
      </c>
      <c r="W3793">
        <f t="shared" si="433"/>
        <v>4133.95666666667</v>
      </c>
      <c r="X3793">
        <f t="shared" si="431"/>
        <v>0.314826133918329</v>
      </c>
      <c r="AH3793" t="str">
        <f t="shared" si="434"/>
        <v>3rd Quality</v>
      </c>
      <c r="AJ3793">
        <f>((T3793-X3793)*2)/33.2</f>
        <v>20.4384277794463</v>
      </c>
      <c r="AK3793">
        <f t="shared" si="432"/>
        <v>127686.865454545</v>
      </c>
    </row>
    <row r="3794" spans="1:37">
      <c r="A3794" t="s">
        <v>3860</v>
      </c>
      <c r="B3794">
        <v>22</v>
      </c>
      <c r="C3794" t="s">
        <v>44</v>
      </c>
      <c r="D3794" t="s">
        <v>60</v>
      </c>
      <c r="E3794">
        <v>925</v>
      </c>
      <c r="F3794">
        <v>29</v>
      </c>
      <c r="G3794">
        <v>30</v>
      </c>
      <c r="H3794">
        <v>2185.5</v>
      </c>
      <c r="I3794">
        <v>70877.15</v>
      </c>
      <c r="J3794">
        <v>159</v>
      </c>
      <c r="K3794">
        <v>2</v>
      </c>
      <c r="L3794">
        <v>0.7</v>
      </c>
      <c r="M3794">
        <v>24.6</v>
      </c>
      <c r="N3794" t="s">
        <v>81</v>
      </c>
      <c r="O3794" t="s">
        <v>53</v>
      </c>
      <c r="P3794" t="s">
        <v>58</v>
      </c>
      <c r="R3794">
        <f>SUMIF(A3794:A8793,"C03793",I3794:I8793)</f>
        <v>70877.15</v>
      </c>
      <c r="S3794" s="1">
        <v>32559.67</v>
      </c>
      <c r="T3794">
        <f t="shared" si="429"/>
        <v>445.768238993711</v>
      </c>
      <c r="U3794">
        <f t="shared" si="428"/>
        <v>3911.4</v>
      </c>
      <c r="V3794">
        <f>U3794*2</f>
        <v>7822.8</v>
      </c>
      <c r="W3794">
        <f t="shared" si="433"/>
        <v>24354.55</v>
      </c>
      <c r="X3794">
        <f t="shared" si="431"/>
        <v>0.423244108899565</v>
      </c>
      <c r="AH3794" t="str">
        <f t="shared" si="434"/>
        <v>1st Quality</v>
      </c>
      <c r="AJ3794">
        <f>((T3794-X3794)*2)/0.7</f>
        <v>1272.41427109946</v>
      </c>
      <c r="AK3794">
        <f t="shared" si="432"/>
        <v>412335.621069182</v>
      </c>
    </row>
    <row r="3795" spans="1:37">
      <c r="A3795" t="s">
        <v>3861</v>
      </c>
      <c r="B3795">
        <v>35</v>
      </c>
      <c r="C3795" t="s">
        <v>44</v>
      </c>
      <c r="D3795" t="s">
        <v>45</v>
      </c>
      <c r="E3795">
        <v>1133</v>
      </c>
      <c r="F3795">
        <v>10</v>
      </c>
      <c r="G3795">
        <v>21</v>
      </c>
      <c r="H3795">
        <v>1544.98</v>
      </c>
      <c r="I3795">
        <v>30196.12</v>
      </c>
      <c r="J3795">
        <v>111</v>
      </c>
      <c r="K3795">
        <v>3</v>
      </c>
      <c r="L3795">
        <v>16</v>
      </c>
      <c r="M3795">
        <v>43.2</v>
      </c>
      <c r="N3795" t="s">
        <v>78</v>
      </c>
      <c r="O3795" t="s">
        <v>75</v>
      </c>
      <c r="P3795" t="s">
        <v>68</v>
      </c>
      <c r="R3795">
        <f>SUMIF(A3795:A8794,"C03794",I3795:I8794)</f>
        <v>30196.12</v>
      </c>
      <c r="S3795" s="1">
        <v>15394.58</v>
      </c>
      <c r="T3795">
        <f t="shared" si="429"/>
        <v>272.037117117117</v>
      </c>
      <c r="U3795">
        <f t="shared" si="428"/>
        <v>4795.2</v>
      </c>
      <c r="V3795">
        <f>U3795*3</f>
        <v>14385.6</v>
      </c>
      <c r="W3795">
        <f t="shared" si="433"/>
        <v>10580.7</v>
      </c>
      <c r="X3795">
        <f t="shared" si="431"/>
        <v>0.733342826444355</v>
      </c>
      <c r="AH3795" t="str">
        <f t="shared" si="434"/>
        <v>2nd Quality</v>
      </c>
      <c r="AJ3795">
        <f>((T3795-X3795)*2)/16</f>
        <v>33.9129717863341</v>
      </c>
      <c r="AK3795">
        <f t="shared" si="432"/>
        <v>308218.053693694</v>
      </c>
    </row>
    <row r="3796" spans="1:37">
      <c r="A3796" t="s">
        <v>3862</v>
      </c>
      <c r="B3796">
        <v>18</v>
      </c>
      <c r="C3796" t="s">
        <v>50</v>
      </c>
      <c r="D3796" t="s">
        <v>45</v>
      </c>
      <c r="E3796">
        <v>1297</v>
      </c>
      <c r="F3796">
        <v>5</v>
      </c>
      <c r="G3796">
        <v>4</v>
      </c>
      <c r="H3796">
        <v>16379.79</v>
      </c>
      <c r="I3796">
        <v>71361</v>
      </c>
      <c r="J3796">
        <v>16</v>
      </c>
      <c r="K3796">
        <v>2</v>
      </c>
      <c r="L3796">
        <v>8</v>
      </c>
      <c r="M3796">
        <v>44.2</v>
      </c>
      <c r="N3796" t="s">
        <v>81</v>
      </c>
      <c r="O3796" t="s">
        <v>53</v>
      </c>
      <c r="P3796" t="s">
        <v>68</v>
      </c>
      <c r="R3796">
        <f>SUMIF(A3796:A8795,"C03795",I3796:I8795)</f>
        <v>71361</v>
      </c>
      <c r="S3796" s="1">
        <v>1993.49</v>
      </c>
      <c r="T3796">
        <f t="shared" si="429"/>
        <v>4460.0625</v>
      </c>
      <c r="U3796">
        <f t="shared" si="428"/>
        <v>707.2</v>
      </c>
      <c r="V3796">
        <f>U3796*2</f>
        <v>1414.4</v>
      </c>
      <c r="W3796">
        <f t="shared" si="433"/>
        <v>29247.2633333333</v>
      </c>
      <c r="X3796">
        <f t="shared" si="431"/>
        <v>0.0791829443478824</v>
      </c>
      <c r="AH3796" t="str">
        <f t="shared" si="434"/>
        <v>1st Quality</v>
      </c>
      <c r="AJ3796">
        <f>((T3796-X3796)*2)/8</f>
        <v>1114.99582926391</v>
      </c>
      <c r="AK3796">
        <f t="shared" si="432"/>
        <v>5784701.0625</v>
      </c>
    </row>
    <row r="3797" spans="1:37">
      <c r="A3797" t="s">
        <v>3863</v>
      </c>
      <c r="B3797">
        <v>23</v>
      </c>
      <c r="C3797" t="s">
        <v>50</v>
      </c>
      <c r="D3797" t="s">
        <v>45</v>
      </c>
      <c r="E3797">
        <v>480</v>
      </c>
      <c r="F3797">
        <v>43</v>
      </c>
      <c r="G3797">
        <v>5</v>
      </c>
      <c r="H3797">
        <v>6640.13</v>
      </c>
      <c r="I3797">
        <v>32559.67</v>
      </c>
      <c r="J3797">
        <v>38</v>
      </c>
      <c r="K3797">
        <v>0</v>
      </c>
      <c r="L3797">
        <v>13.4</v>
      </c>
      <c r="M3797">
        <v>12.7</v>
      </c>
      <c r="N3797" t="s">
        <v>81</v>
      </c>
      <c r="O3797" t="s">
        <v>47</v>
      </c>
      <c r="P3797" t="s">
        <v>66</v>
      </c>
      <c r="R3797">
        <f>SUMIF(A3797:A8796,"C03796",I3797:I8796)</f>
        <v>32559.67</v>
      </c>
      <c r="S3797" s="1">
        <v>7215.22</v>
      </c>
      <c r="T3797">
        <f t="shared" si="429"/>
        <v>856.833421052631</v>
      </c>
      <c r="U3797">
        <f t="shared" si="428"/>
        <v>482.6</v>
      </c>
      <c r="V3797">
        <f t="shared" si="430"/>
        <v>40.2166666666667</v>
      </c>
      <c r="W3797">
        <f t="shared" si="433"/>
        <v>13066.9333333333</v>
      </c>
      <c r="X3797">
        <f t="shared" si="431"/>
        <v>0.0722877413544614</v>
      </c>
      <c r="AH3797" t="str">
        <f t="shared" si="434"/>
        <v>2nd Quality</v>
      </c>
      <c r="AJ3797">
        <f>((T3797-X3797)*2)/13.4</f>
        <v>127.874796016608</v>
      </c>
      <c r="AK3797">
        <f t="shared" si="432"/>
        <v>411280.042105263</v>
      </c>
    </row>
    <row r="3798" spans="1:37">
      <c r="A3798" t="s">
        <v>3864</v>
      </c>
      <c r="B3798">
        <v>22</v>
      </c>
      <c r="C3798" t="s">
        <v>44</v>
      </c>
      <c r="D3798" t="s">
        <v>60</v>
      </c>
      <c r="E3798">
        <v>673</v>
      </c>
      <c r="F3798">
        <v>6</v>
      </c>
      <c r="G3798">
        <v>3</v>
      </c>
      <c r="H3798">
        <v>5379.78</v>
      </c>
      <c r="I3798">
        <v>15394.58</v>
      </c>
      <c r="J3798">
        <v>17</v>
      </c>
      <c r="K3798">
        <v>0</v>
      </c>
      <c r="L3798">
        <v>10.1</v>
      </c>
      <c r="M3798">
        <v>20.3</v>
      </c>
      <c r="N3798" t="s">
        <v>61</v>
      </c>
      <c r="O3798" t="s">
        <v>47</v>
      </c>
      <c r="P3798" t="s">
        <v>48</v>
      </c>
      <c r="R3798">
        <f>SUMIF(A3798:A8797,"C03797",I3798:I8797)</f>
        <v>15394.58</v>
      </c>
      <c r="S3798" s="1">
        <v>14811.15</v>
      </c>
      <c r="T3798">
        <f t="shared" si="429"/>
        <v>905.563529411765</v>
      </c>
      <c r="U3798">
        <f t="shared" si="428"/>
        <v>345.1</v>
      </c>
      <c r="V3798">
        <f t="shared" si="430"/>
        <v>28.7583333333333</v>
      </c>
      <c r="W3798">
        <f t="shared" si="433"/>
        <v>6925.12</v>
      </c>
      <c r="X3798">
        <f t="shared" si="431"/>
        <v>0.125098052336713</v>
      </c>
      <c r="AH3798" t="str">
        <f t="shared" si="434"/>
        <v>2nd Quality</v>
      </c>
      <c r="AJ3798">
        <f>((T3798-X3798)*2)/10.1</f>
        <v>179.294738883055</v>
      </c>
      <c r="AK3798">
        <f t="shared" si="432"/>
        <v>609444.255294118</v>
      </c>
    </row>
    <row r="3799" spans="1:37">
      <c r="A3799" t="s">
        <v>3865</v>
      </c>
      <c r="B3799">
        <v>27</v>
      </c>
      <c r="C3799" t="s">
        <v>44</v>
      </c>
      <c r="D3799" t="s">
        <v>60</v>
      </c>
      <c r="E3799">
        <v>965</v>
      </c>
      <c r="F3799">
        <v>123</v>
      </c>
      <c r="G3799">
        <v>2</v>
      </c>
      <c r="H3799">
        <v>893</v>
      </c>
      <c r="I3799">
        <v>1993.49</v>
      </c>
      <c r="J3799">
        <v>26</v>
      </c>
      <c r="K3799">
        <v>0</v>
      </c>
      <c r="L3799">
        <v>27.4</v>
      </c>
      <c r="M3799">
        <v>22.4</v>
      </c>
      <c r="N3799" t="s">
        <v>63</v>
      </c>
      <c r="O3799" t="s">
        <v>47</v>
      </c>
      <c r="P3799" t="s">
        <v>68</v>
      </c>
      <c r="R3799">
        <f>SUMIF(A3799:A8798,"C03798",I3799:I8798)</f>
        <v>1993.49</v>
      </c>
      <c r="S3799" s="1">
        <v>48214.83</v>
      </c>
      <c r="T3799">
        <f t="shared" si="429"/>
        <v>76.6726923076923</v>
      </c>
      <c r="U3799">
        <f t="shared" si="428"/>
        <v>582.4</v>
      </c>
      <c r="V3799">
        <f t="shared" si="430"/>
        <v>48.5333333333333</v>
      </c>
      <c r="W3799">
        <f t="shared" si="433"/>
        <v>962.496666666667</v>
      </c>
      <c r="X3799">
        <f t="shared" si="431"/>
        <v>1.08062709966405</v>
      </c>
      <c r="AH3799" t="str">
        <f t="shared" si="434"/>
        <v>3rd Quality</v>
      </c>
      <c r="AJ3799">
        <f>((T3799-X3799)*2)/27.4</f>
        <v>5.51766899328673</v>
      </c>
      <c r="AK3799">
        <f t="shared" si="432"/>
        <v>73989.1480769231</v>
      </c>
    </row>
    <row r="3800" spans="1:37">
      <c r="A3800" t="s">
        <v>3866</v>
      </c>
      <c r="B3800">
        <v>29</v>
      </c>
      <c r="C3800" t="s">
        <v>50</v>
      </c>
      <c r="D3800" t="s">
        <v>51</v>
      </c>
      <c r="E3800">
        <v>1071</v>
      </c>
      <c r="F3800">
        <v>59</v>
      </c>
      <c r="G3800">
        <v>9</v>
      </c>
      <c r="H3800">
        <v>767.08</v>
      </c>
      <c r="I3800">
        <v>7215.22</v>
      </c>
      <c r="J3800">
        <v>49</v>
      </c>
      <c r="K3800">
        <v>0</v>
      </c>
      <c r="L3800">
        <v>24</v>
      </c>
      <c r="M3800">
        <v>35.8</v>
      </c>
      <c r="N3800" t="s">
        <v>46</v>
      </c>
      <c r="O3800" t="s">
        <v>75</v>
      </c>
      <c r="P3800" t="s">
        <v>58</v>
      </c>
      <c r="R3800">
        <f>SUMIF(A3800:A8799,"C03799",I3800:I8799)</f>
        <v>7215.22</v>
      </c>
      <c r="S3800" s="1">
        <v>117551.52</v>
      </c>
      <c r="T3800">
        <f t="shared" si="429"/>
        <v>147.249387755102</v>
      </c>
      <c r="U3800">
        <f t="shared" si="428"/>
        <v>1754.2</v>
      </c>
      <c r="V3800">
        <f t="shared" si="430"/>
        <v>146.183333333333</v>
      </c>
      <c r="W3800">
        <f t="shared" si="433"/>
        <v>2661.1</v>
      </c>
      <c r="X3800">
        <f t="shared" si="431"/>
        <v>1.39620378578505</v>
      </c>
      <c r="AH3800" t="str">
        <f t="shared" si="434"/>
        <v>3rd Quality</v>
      </c>
      <c r="AJ3800">
        <f>((T3800-X3800)*2)/24</f>
        <v>12.1544319974431</v>
      </c>
      <c r="AK3800">
        <f t="shared" si="432"/>
        <v>157704.094285714</v>
      </c>
    </row>
    <row r="3801" spans="1:37">
      <c r="A3801" t="s">
        <v>3867</v>
      </c>
      <c r="B3801">
        <v>18</v>
      </c>
      <c r="C3801" t="s">
        <v>50</v>
      </c>
      <c r="D3801" t="s">
        <v>60</v>
      </c>
      <c r="E3801">
        <v>541</v>
      </c>
      <c r="F3801">
        <v>76</v>
      </c>
      <c r="G3801">
        <v>11</v>
      </c>
      <c r="H3801">
        <v>1417.75</v>
      </c>
      <c r="I3801">
        <v>14811.15</v>
      </c>
      <c r="J3801">
        <v>61</v>
      </c>
      <c r="K3801">
        <v>2</v>
      </c>
      <c r="L3801">
        <v>19.5</v>
      </c>
      <c r="M3801">
        <v>52</v>
      </c>
      <c r="N3801" t="s">
        <v>57</v>
      </c>
      <c r="O3801" t="s">
        <v>75</v>
      </c>
      <c r="P3801" t="s">
        <v>58</v>
      </c>
      <c r="R3801">
        <f>SUMIF(A3801:A8800,"C03800",I3801:I8800)</f>
        <v>14811.15</v>
      </c>
      <c r="S3801" s="1">
        <v>13647.76</v>
      </c>
      <c r="T3801">
        <f t="shared" si="429"/>
        <v>242.805737704918</v>
      </c>
      <c r="U3801">
        <f t="shared" si="428"/>
        <v>3172</v>
      </c>
      <c r="V3801">
        <f>U3801*2</f>
        <v>6344</v>
      </c>
      <c r="W3801">
        <f t="shared" si="433"/>
        <v>5409.96666666667</v>
      </c>
      <c r="X3801">
        <f t="shared" si="431"/>
        <v>0.381590548404162</v>
      </c>
      <c r="AH3801" t="str">
        <f t="shared" si="434"/>
        <v>3rd Quality</v>
      </c>
      <c r="AJ3801">
        <f>((T3801-X3801)*2)/19.5</f>
        <v>24.8640150929758</v>
      </c>
      <c r="AK3801">
        <f t="shared" si="432"/>
        <v>131357.904098361</v>
      </c>
    </row>
    <row r="3802" spans="1:37">
      <c r="A3802" t="s">
        <v>3868</v>
      </c>
      <c r="B3802">
        <v>25</v>
      </c>
      <c r="C3802" t="s">
        <v>101</v>
      </c>
      <c r="D3802" t="s">
        <v>60</v>
      </c>
      <c r="E3802">
        <v>1269</v>
      </c>
      <c r="F3802">
        <v>6</v>
      </c>
      <c r="G3802">
        <v>17</v>
      </c>
      <c r="H3802">
        <v>2816.1</v>
      </c>
      <c r="I3802">
        <v>48214.83</v>
      </c>
      <c r="J3802">
        <v>72</v>
      </c>
      <c r="K3802">
        <v>0</v>
      </c>
      <c r="L3802">
        <v>14.9</v>
      </c>
      <c r="M3802">
        <v>44.9</v>
      </c>
      <c r="N3802" t="s">
        <v>63</v>
      </c>
      <c r="O3802" t="s">
        <v>75</v>
      </c>
      <c r="P3802" t="s">
        <v>58</v>
      </c>
      <c r="R3802">
        <f>SUMIF(A3802:A8801,"C03801",I3802:I8801)</f>
        <v>48214.83</v>
      </c>
      <c r="S3802" s="1">
        <v>113181.42</v>
      </c>
      <c r="T3802">
        <f t="shared" si="429"/>
        <v>669.650416666667</v>
      </c>
      <c r="U3802">
        <f t="shared" si="428"/>
        <v>3232.8</v>
      </c>
      <c r="V3802">
        <f t="shared" si="430"/>
        <v>269.4</v>
      </c>
      <c r="W3802">
        <f t="shared" si="433"/>
        <v>17010.6433333333</v>
      </c>
      <c r="X3802">
        <f t="shared" si="431"/>
        <v>0.450623202301055</v>
      </c>
      <c r="AH3802" t="str">
        <f t="shared" si="434"/>
        <v>1st Quality</v>
      </c>
      <c r="AJ3802">
        <f>((T3802-X3802)*2)/14.9</f>
        <v>89.8254756328008</v>
      </c>
      <c r="AK3802">
        <f t="shared" si="432"/>
        <v>849786.37875</v>
      </c>
    </row>
    <row r="3803" spans="1:37">
      <c r="A3803" t="s">
        <v>3869</v>
      </c>
      <c r="B3803">
        <v>34</v>
      </c>
      <c r="C3803" t="s">
        <v>44</v>
      </c>
      <c r="D3803" t="s">
        <v>45</v>
      </c>
      <c r="E3803">
        <v>909</v>
      </c>
      <c r="F3803">
        <v>4</v>
      </c>
      <c r="G3803">
        <v>25</v>
      </c>
      <c r="H3803">
        <v>4545.55</v>
      </c>
      <c r="I3803">
        <v>117551.52</v>
      </c>
      <c r="J3803">
        <v>210</v>
      </c>
      <c r="K3803">
        <v>0</v>
      </c>
      <c r="L3803">
        <v>3.4</v>
      </c>
      <c r="M3803">
        <v>67.6</v>
      </c>
      <c r="N3803" t="s">
        <v>63</v>
      </c>
      <c r="O3803" t="s">
        <v>75</v>
      </c>
      <c r="P3803" t="s">
        <v>48</v>
      </c>
      <c r="R3803">
        <f>SUMIF(A3803:A8802,"C03802",I3803:I8802)</f>
        <v>117551.52</v>
      </c>
      <c r="S3803" s="1">
        <v>96059.52</v>
      </c>
      <c r="T3803">
        <f t="shared" si="429"/>
        <v>559.769142857143</v>
      </c>
      <c r="U3803">
        <f t="shared" si="428"/>
        <v>14196</v>
      </c>
      <c r="V3803">
        <f t="shared" si="430"/>
        <v>1183</v>
      </c>
      <c r="W3803">
        <f t="shared" si="433"/>
        <v>40699.3566666667</v>
      </c>
      <c r="X3803">
        <f t="shared" si="431"/>
        <v>0.199975800508189</v>
      </c>
      <c r="AH3803" t="str">
        <f t="shared" si="434"/>
        <v>2nd Quality</v>
      </c>
      <c r="AJ3803">
        <f>((T3803-X3803)*2)/3.4</f>
        <v>329.158333562726</v>
      </c>
      <c r="AK3803">
        <f t="shared" si="432"/>
        <v>508830.150857143</v>
      </c>
    </row>
    <row r="3804" spans="1:37">
      <c r="A3804" t="s">
        <v>3870</v>
      </c>
      <c r="B3804">
        <v>18</v>
      </c>
      <c r="C3804" t="s">
        <v>50</v>
      </c>
      <c r="D3804" t="s">
        <v>60</v>
      </c>
      <c r="E3804">
        <v>807</v>
      </c>
      <c r="F3804">
        <v>36</v>
      </c>
      <c r="G3804">
        <v>7</v>
      </c>
      <c r="H3804">
        <v>1855.31</v>
      </c>
      <c r="I3804">
        <v>13647.76</v>
      </c>
      <c r="J3804">
        <v>55</v>
      </c>
      <c r="K3804">
        <v>0</v>
      </c>
      <c r="L3804">
        <v>17.1</v>
      </c>
      <c r="M3804">
        <v>38</v>
      </c>
      <c r="N3804" t="s">
        <v>81</v>
      </c>
      <c r="O3804" t="s">
        <v>47</v>
      </c>
      <c r="P3804" t="s">
        <v>66</v>
      </c>
      <c r="R3804">
        <f>SUMIF(A3804:A8803,"C03803",I3804:I8803)</f>
        <v>13647.76</v>
      </c>
      <c r="S3804" s="1">
        <v>57542.81</v>
      </c>
      <c r="T3804">
        <f t="shared" si="429"/>
        <v>248.141090909091</v>
      </c>
      <c r="U3804">
        <f t="shared" si="428"/>
        <v>2090</v>
      </c>
      <c r="V3804">
        <f t="shared" si="430"/>
        <v>174.166666666667</v>
      </c>
      <c r="W3804">
        <f t="shared" si="433"/>
        <v>5168.02333333333</v>
      </c>
      <c r="X3804">
        <f t="shared" si="431"/>
        <v>0.434967741240008</v>
      </c>
      <c r="AH3804" t="str">
        <f t="shared" si="434"/>
        <v>3rd Quality</v>
      </c>
      <c r="AJ3804">
        <f>((T3804-X3804)*2)/17.1</f>
        <v>28.9714763939007</v>
      </c>
      <c r="AK3804">
        <f t="shared" si="432"/>
        <v>200249.860363636</v>
      </c>
    </row>
    <row r="3805" spans="1:37">
      <c r="A3805" t="s">
        <v>3871</v>
      </c>
      <c r="B3805">
        <v>27</v>
      </c>
      <c r="C3805" t="s">
        <v>50</v>
      </c>
      <c r="D3805" t="s">
        <v>60</v>
      </c>
      <c r="E3805">
        <v>1234</v>
      </c>
      <c r="F3805">
        <v>2</v>
      </c>
      <c r="G3805">
        <v>25</v>
      </c>
      <c r="H3805">
        <v>4866.69</v>
      </c>
      <c r="I3805">
        <v>113181.42</v>
      </c>
      <c r="J3805">
        <v>207</v>
      </c>
      <c r="K3805">
        <v>3</v>
      </c>
      <c r="L3805">
        <v>7.9</v>
      </c>
      <c r="M3805">
        <v>42.8</v>
      </c>
      <c r="N3805" t="s">
        <v>63</v>
      </c>
      <c r="O3805" t="s">
        <v>53</v>
      </c>
      <c r="P3805" t="s">
        <v>66</v>
      </c>
      <c r="R3805">
        <f>SUMIF(A3805:A8804,"C03804",I3805:I8804)</f>
        <v>113181.42</v>
      </c>
      <c r="S3805" s="1">
        <v>1229.93</v>
      </c>
      <c r="T3805">
        <f t="shared" si="429"/>
        <v>546.770144927536</v>
      </c>
      <c r="U3805">
        <f t="shared" si="428"/>
        <v>8859.6</v>
      </c>
      <c r="V3805">
        <f>U3805*3</f>
        <v>26578.8</v>
      </c>
      <c r="W3805">
        <f t="shared" si="433"/>
        <v>39349.7033333333</v>
      </c>
      <c r="X3805">
        <f t="shared" si="431"/>
        <v>0.253560428134934</v>
      </c>
      <c r="AH3805" t="str">
        <f t="shared" si="434"/>
        <v>1st Quality</v>
      </c>
      <c r="AJ3805">
        <f>((T3805-X3805)*2)/7.9</f>
        <v>138.35862898719</v>
      </c>
      <c r="AK3805">
        <f t="shared" si="432"/>
        <v>674714.35884058</v>
      </c>
    </row>
    <row r="3806" spans="1:37">
      <c r="A3806" t="s">
        <v>3872</v>
      </c>
      <c r="B3806">
        <v>37</v>
      </c>
      <c r="C3806" t="s">
        <v>50</v>
      </c>
      <c r="D3806" t="s">
        <v>45</v>
      </c>
      <c r="E3806">
        <v>929</v>
      </c>
      <c r="F3806">
        <v>7</v>
      </c>
      <c r="G3806">
        <v>27</v>
      </c>
      <c r="H3806">
        <v>3460.91</v>
      </c>
      <c r="I3806">
        <v>96059.52</v>
      </c>
      <c r="J3806">
        <v>192</v>
      </c>
      <c r="K3806">
        <v>1</v>
      </c>
      <c r="L3806">
        <v>13.3</v>
      </c>
      <c r="M3806">
        <v>19.3</v>
      </c>
      <c r="N3806" t="s">
        <v>46</v>
      </c>
      <c r="O3806" t="s">
        <v>53</v>
      </c>
      <c r="P3806" t="s">
        <v>48</v>
      </c>
      <c r="R3806">
        <f>SUMIF(A3806:A8805,"C03805",I3806:I8805)</f>
        <v>96059.52</v>
      </c>
      <c r="S3806" s="1">
        <v>7381.62</v>
      </c>
      <c r="T3806">
        <f t="shared" si="429"/>
        <v>500.31</v>
      </c>
      <c r="U3806">
        <f t="shared" si="428"/>
        <v>3705.6</v>
      </c>
      <c r="V3806">
        <f>U3806*1</f>
        <v>3705.6</v>
      </c>
      <c r="W3806">
        <f t="shared" si="433"/>
        <v>33173.81</v>
      </c>
      <c r="X3806">
        <f t="shared" si="431"/>
        <v>0.268426512102308</v>
      </c>
      <c r="AH3806" t="str">
        <f t="shared" si="434"/>
        <v>2nd Quality</v>
      </c>
      <c r="AJ3806">
        <f>((T3806-X3806)*2)/13.3</f>
        <v>75.1942215771275</v>
      </c>
      <c r="AK3806">
        <f t="shared" si="432"/>
        <v>464787.99</v>
      </c>
    </row>
    <row r="3807" spans="1:37">
      <c r="A3807" t="s">
        <v>3873</v>
      </c>
      <c r="B3807">
        <v>18</v>
      </c>
      <c r="C3807" t="s">
        <v>101</v>
      </c>
      <c r="D3807" t="s">
        <v>60</v>
      </c>
      <c r="E3807">
        <v>685</v>
      </c>
      <c r="F3807">
        <v>5</v>
      </c>
      <c r="G3807">
        <v>23</v>
      </c>
      <c r="H3807">
        <v>2309.39</v>
      </c>
      <c r="I3807">
        <v>57542.81</v>
      </c>
      <c r="J3807">
        <v>171</v>
      </c>
      <c r="K3807">
        <v>3</v>
      </c>
      <c r="L3807">
        <v>9.4</v>
      </c>
      <c r="M3807">
        <v>19</v>
      </c>
      <c r="N3807" t="s">
        <v>57</v>
      </c>
      <c r="O3807" t="s">
        <v>53</v>
      </c>
      <c r="P3807" t="s">
        <v>58</v>
      </c>
      <c r="R3807">
        <f>SUMIF(A3807:A8806,"C03806",I3807:I8806)</f>
        <v>57542.81</v>
      </c>
      <c r="S3807" s="1">
        <v>4036.48</v>
      </c>
      <c r="T3807">
        <f t="shared" si="429"/>
        <v>336.507660818713</v>
      </c>
      <c r="U3807">
        <f t="shared" si="428"/>
        <v>3249</v>
      </c>
      <c r="V3807">
        <f>U3807*3</f>
        <v>9747</v>
      </c>
      <c r="W3807">
        <f t="shared" si="433"/>
        <v>19951.0666666667</v>
      </c>
      <c r="X3807">
        <f t="shared" si="431"/>
        <v>0.296615123474164</v>
      </c>
      <c r="AH3807" t="str">
        <f t="shared" si="434"/>
        <v>2nd Quality</v>
      </c>
      <c r="AJ3807">
        <f>((T3807-X3807)*2)/9.4</f>
        <v>71.5342650415402</v>
      </c>
      <c r="AK3807">
        <f t="shared" si="432"/>
        <v>230507.747660819</v>
      </c>
    </row>
    <row r="3808" spans="1:37">
      <c r="A3808" t="s">
        <v>3874</v>
      </c>
      <c r="B3808">
        <v>27</v>
      </c>
      <c r="C3808" t="s">
        <v>44</v>
      </c>
      <c r="D3808" t="s">
        <v>51</v>
      </c>
      <c r="E3808">
        <v>845</v>
      </c>
      <c r="F3808">
        <v>176</v>
      </c>
      <c r="G3808">
        <v>2</v>
      </c>
      <c r="H3808">
        <v>573.19</v>
      </c>
      <c r="I3808">
        <v>1229.93</v>
      </c>
      <c r="J3808">
        <v>21</v>
      </c>
      <c r="K3808">
        <v>0</v>
      </c>
      <c r="L3808">
        <v>26.7</v>
      </c>
      <c r="M3808">
        <v>43.5</v>
      </c>
      <c r="N3808" t="s">
        <v>61</v>
      </c>
      <c r="O3808" t="s">
        <v>47</v>
      </c>
      <c r="P3808" t="s">
        <v>58</v>
      </c>
      <c r="R3808">
        <f>SUMIF(A3808:A8807,"C03807",I3808:I8807)</f>
        <v>1229.93</v>
      </c>
      <c r="S3808" s="1">
        <v>682.76</v>
      </c>
      <c r="T3808">
        <f t="shared" si="429"/>
        <v>58.5680952380952</v>
      </c>
      <c r="U3808">
        <f t="shared" si="428"/>
        <v>913.5</v>
      </c>
      <c r="V3808">
        <f t="shared" si="430"/>
        <v>76.125</v>
      </c>
      <c r="W3808">
        <f t="shared" si="433"/>
        <v>601.373333333333</v>
      </c>
      <c r="X3808">
        <f t="shared" si="431"/>
        <v>1.47420576074251</v>
      </c>
      <c r="AH3808" t="str">
        <f t="shared" si="434"/>
        <v>3rd Quality</v>
      </c>
      <c r="AJ3808">
        <f>((T3808-X3808)*2)/26.7</f>
        <v>4.2766958410002</v>
      </c>
      <c r="AK3808">
        <f t="shared" si="432"/>
        <v>49490.0404761905</v>
      </c>
    </row>
    <row r="3809" spans="1:37">
      <c r="A3809" t="s">
        <v>3875</v>
      </c>
      <c r="B3809">
        <v>34</v>
      </c>
      <c r="C3809" t="s">
        <v>44</v>
      </c>
      <c r="D3809" t="s">
        <v>60</v>
      </c>
      <c r="E3809">
        <v>536</v>
      </c>
      <c r="F3809">
        <v>74</v>
      </c>
      <c r="G3809">
        <v>1</v>
      </c>
      <c r="H3809">
        <v>7765.01</v>
      </c>
      <c r="I3809">
        <v>7381.62</v>
      </c>
      <c r="J3809">
        <v>15</v>
      </c>
      <c r="K3809">
        <v>0</v>
      </c>
      <c r="L3809">
        <v>13.4</v>
      </c>
      <c r="M3809">
        <v>24</v>
      </c>
      <c r="N3809" t="s">
        <v>57</v>
      </c>
      <c r="O3809" t="s">
        <v>47</v>
      </c>
      <c r="P3809" t="s">
        <v>58</v>
      </c>
      <c r="R3809">
        <f>SUMIF(A3809:A8808,"C03808",I3809:I8808)</f>
        <v>7381.62</v>
      </c>
      <c r="S3809" s="1">
        <v>53878.58</v>
      </c>
      <c r="T3809">
        <f t="shared" si="429"/>
        <v>492.108</v>
      </c>
      <c r="U3809">
        <f t="shared" si="428"/>
        <v>360</v>
      </c>
      <c r="V3809">
        <f t="shared" si="430"/>
        <v>30</v>
      </c>
      <c r="W3809">
        <f t="shared" si="433"/>
        <v>5049.21</v>
      </c>
      <c r="X3809">
        <f t="shared" si="431"/>
        <v>0.0690275994493246</v>
      </c>
      <c r="AH3809" t="str">
        <f t="shared" si="434"/>
        <v>3rd Quality</v>
      </c>
      <c r="AJ3809">
        <f>((T3809-X3809)*2)/13.4</f>
        <v>73.4386525970971</v>
      </c>
      <c r="AK3809">
        <f t="shared" si="432"/>
        <v>263769.888</v>
      </c>
    </row>
    <row r="3810" spans="1:37">
      <c r="A3810" t="s">
        <v>3876</v>
      </c>
      <c r="B3810">
        <v>45</v>
      </c>
      <c r="C3810" t="s">
        <v>50</v>
      </c>
      <c r="D3810" t="s">
        <v>51</v>
      </c>
      <c r="E3810">
        <v>1289</v>
      </c>
      <c r="F3810">
        <v>291</v>
      </c>
      <c r="G3810">
        <v>1</v>
      </c>
      <c r="H3810">
        <v>3627.17</v>
      </c>
      <c r="I3810">
        <v>4036.48</v>
      </c>
      <c r="J3810">
        <v>13</v>
      </c>
      <c r="K3810">
        <v>1</v>
      </c>
      <c r="L3810">
        <v>21.1</v>
      </c>
      <c r="M3810">
        <v>6.2</v>
      </c>
      <c r="N3810" t="s">
        <v>63</v>
      </c>
      <c r="O3810" t="s">
        <v>47</v>
      </c>
      <c r="P3810" t="s">
        <v>58</v>
      </c>
      <c r="R3810">
        <f>SUMIF(A3810:A8809,"C03809",I3810:I8809)</f>
        <v>4036.48</v>
      </c>
      <c r="S3810" s="1">
        <v>125314.37</v>
      </c>
      <c r="T3810">
        <f t="shared" si="429"/>
        <v>310.498461538462</v>
      </c>
      <c r="U3810">
        <f t="shared" ref="U3810:U3873" si="435">J3810*M3810</f>
        <v>80.6</v>
      </c>
      <c r="V3810">
        <f>U3810*1</f>
        <v>80.6</v>
      </c>
      <c r="W3810">
        <f t="shared" si="433"/>
        <v>2554.88333333333</v>
      </c>
      <c r="X3810">
        <f t="shared" si="431"/>
        <v>0.355373472983069</v>
      </c>
      <c r="AH3810" t="str">
        <f t="shared" si="434"/>
        <v>3rd Quality</v>
      </c>
      <c r="AJ3810">
        <f>((T3810-X3810)*2)/21.1</f>
        <v>29.3974491057326</v>
      </c>
      <c r="AK3810">
        <f t="shared" si="432"/>
        <v>400232.516923077</v>
      </c>
    </row>
    <row r="3811" spans="1:37">
      <c r="A3811" t="s">
        <v>3877</v>
      </c>
      <c r="B3811">
        <v>51</v>
      </c>
      <c r="C3811" t="s">
        <v>44</v>
      </c>
      <c r="D3811" t="s">
        <v>60</v>
      </c>
      <c r="E3811">
        <v>713</v>
      </c>
      <c r="F3811">
        <v>161</v>
      </c>
      <c r="G3811">
        <v>1</v>
      </c>
      <c r="H3811">
        <v>773.21</v>
      </c>
      <c r="I3811">
        <v>682.76</v>
      </c>
      <c r="J3811">
        <v>13</v>
      </c>
      <c r="K3811">
        <v>0</v>
      </c>
      <c r="L3811">
        <v>25.8</v>
      </c>
      <c r="M3811">
        <v>11.5</v>
      </c>
      <c r="N3811" t="s">
        <v>81</v>
      </c>
      <c r="O3811" t="s">
        <v>47</v>
      </c>
      <c r="P3811" t="s">
        <v>48</v>
      </c>
      <c r="R3811">
        <f>SUMIF(A3811:A8810,"C03810",I3811:I8810)</f>
        <v>682.76</v>
      </c>
      <c r="S3811" s="1">
        <v>57866.15</v>
      </c>
      <c r="T3811">
        <f t="shared" si="429"/>
        <v>52.52</v>
      </c>
      <c r="U3811">
        <f t="shared" si="435"/>
        <v>149.5</v>
      </c>
      <c r="V3811">
        <f>U3811/12</f>
        <v>12.4583333333333</v>
      </c>
      <c r="W3811">
        <f t="shared" si="433"/>
        <v>485.656666666667</v>
      </c>
      <c r="X3811">
        <f t="shared" si="431"/>
        <v>0.922129822428577</v>
      </c>
      <c r="AH3811" t="str">
        <f t="shared" si="434"/>
        <v>3rd Quality</v>
      </c>
      <c r="AJ3811">
        <f>((T3811-X3811)*2)/25.8</f>
        <v>3.99983489748616</v>
      </c>
      <c r="AK3811">
        <f t="shared" si="432"/>
        <v>37446.76</v>
      </c>
    </row>
    <row r="3812" spans="1:37">
      <c r="A3812" t="s">
        <v>3878</v>
      </c>
      <c r="B3812">
        <v>40</v>
      </c>
      <c r="C3812" t="s">
        <v>101</v>
      </c>
      <c r="D3812" t="s">
        <v>45</v>
      </c>
      <c r="E3812">
        <v>751</v>
      </c>
      <c r="F3812">
        <v>30</v>
      </c>
      <c r="G3812">
        <v>5</v>
      </c>
      <c r="H3812">
        <v>10099.42</v>
      </c>
      <c r="I3812">
        <v>53878.58</v>
      </c>
      <c r="J3812">
        <v>25</v>
      </c>
      <c r="K3812">
        <v>0</v>
      </c>
      <c r="L3812">
        <v>0</v>
      </c>
      <c r="M3812">
        <v>23</v>
      </c>
      <c r="N3812" t="s">
        <v>57</v>
      </c>
      <c r="O3812" t="s">
        <v>47</v>
      </c>
      <c r="P3812" t="s">
        <v>68</v>
      </c>
      <c r="R3812">
        <f>SUMIF(A3812:A8811,"C03811",I3812:I8811)</f>
        <v>53878.58</v>
      </c>
      <c r="S3812" s="1">
        <v>52326.28</v>
      </c>
      <c r="T3812">
        <f t="shared" si="429"/>
        <v>2155.1432</v>
      </c>
      <c r="U3812">
        <f t="shared" si="435"/>
        <v>575</v>
      </c>
      <c r="V3812">
        <f t="shared" si="430"/>
        <v>47.9166666666667</v>
      </c>
      <c r="W3812">
        <f t="shared" si="433"/>
        <v>21326.3333333333</v>
      </c>
      <c r="X3812">
        <f t="shared" si="431"/>
        <v>0.0743607058623168</v>
      </c>
      <c r="AH3812" t="str">
        <f t="shared" si="434"/>
        <v>2nd Quality</v>
      </c>
      <c r="AJ3812">
        <f>((T3812-X3812)*2)</f>
        <v>4310.13767858828</v>
      </c>
      <c r="AK3812">
        <f t="shared" si="432"/>
        <v>1618512.5432</v>
      </c>
    </row>
    <row r="3813" spans="1:37">
      <c r="A3813" t="s">
        <v>3879</v>
      </c>
      <c r="B3813">
        <v>53</v>
      </c>
      <c r="C3813" t="s">
        <v>44</v>
      </c>
      <c r="D3813" t="s">
        <v>60</v>
      </c>
      <c r="E3813">
        <v>559</v>
      </c>
      <c r="F3813">
        <v>9</v>
      </c>
      <c r="G3813">
        <v>23</v>
      </c>
      <c r="H3813">
        <v>5698.58</v>
      </c>
      <c r="I3813">
        <v>125314.37</v>
      </c>
      <c r="J3813">
        <v>147</v>
      </c>
      <c r="K3813">
        <v>4</v>
      </c>
      <c r="L3813">
        <v>7.8</v>
      </c>
      <c r="M3813">
        <v>44.7</v>
      </c>
      <c r="N3813" t="s">
        <v>81</v>
      </c>
      <c r="O3813" t="s">
        <v>75</v>
      </c>
      <c r="P3813" t="s">
        <v>68</v>
      </c>
      <c r="R3813">
        <f>SUMIF(A3813:A8812,"C03812",I3813:I8812)</f>
        <v>125314.37</v>
      </c>
      <c r="S3813" s="1">
        <v>25280.79</v>
      </c>
      <c r="T3813">
        <f t="shared" si="429"/>
        <v>852.478707482993</v>
      </c>
      <c r="U3813">
        <f t="shared" si="435"/>
        <v>6570.9</v>
      </c>
      <c r="V3813">
        <f>U3813*4</f>
        <v>26283.6</v>
      </c>
      <c r="W3813">
        <f t="shared" si="433"/>
        <v>43671.3166666667</v>
      </c>
      <c r="X3813">
        <f t="shared" si="431"/>
        <v>0.0980946130439513</v>
      </c>
      <c r="AH3813" t="str">
        <f t="shared" si="434"/>
        <v>3rd Quality</v>
      </c>
      <c r="AJ3813">
        <f>((T3813-X3813)*2)/7.8</f>
        <v>218.559131505115</v>
      </c>
      <c r="AK3813">
        <f t="shared" si="432"/>
        <v>476535.597482993</v>
      </c>
    </row>
    <row r="3814" spans="1:37">
      <c r="A3814" t="s">
        <v>3880</v>
      </c>
      <c r="B3814">
        <v>56</v>
      </c>
      <c r="C3814" t="s">
        <v>56</v>
      </c>
      <c r="D3814" t="s">
        <v>51</v>
      </c>
      <c r="E3814">
        <v>777</v>
      </c>
      <c r="F3814">
        <v>6</v>
      </c>
      <c r="G3814">
        <v>5</v>
      </c>
      <c r="H3814">
        <v>10465.09</v>
      </c>
      <c r="I3814">
        <v>57866.15</v>
      </c>
      <c r="J3814">
        <v>31</v>
      </c>
      <c r="K3814">
        <v>0</v>
      </c>
      <c r="L3814">
        <v>1.6</v>
      </c>
      <c r="M3814">
        <v>35.4</v>
      </c>
      <c r="N3814" t="s">
        <v>63</v>
      </c>
      <c r="O3814" t="s">
        <v>47</v>
      </c>
      <c r="P3814" t="s">
        <v>66</v>
      </c>
      <c r="R3814">
        <f>SUMIF(A3814:A8813,"C03813",I3814:I8813)</f>
        <v>57866.15</v>
      </c>
      <c r="S3814" s="1">
        <v>6473.01</v>
      </c>
      <c r="T3814">
        <f t="shared" si="429"/>
        <v>1866.65</v>
      </c>
      <c r="U3814">
        <f t="shared" si="435"/>
        <v>1097.4</v>
      </c>
      <c r="V3814">
        <f t="shared" si="430"/>
        <v>91.45</v>
      </c>
      <c r="W3814">
        <f t="shared" si="433"/>
        <v>22777.4133333333</v>
      </c>
      <c r="X3814">
        <f t="shared" si="431"/>
        <v>0.0742468531087645</v>
      </c>
      <c r="AH3814" t="str">
        <f t="shared" si="434"/>
        <v>3rd Quality</v>
      </c>
      <c r="AJ3814">
        <f>((T3814-X3814)*2)/1.6</f>
        <v>2333.21969143361</v>
      </c>
      <c r="AK3814">
        <f t="shared" si="432"/>
        <v>1450387.05</v>
      </c>
    </row>
    <row r="3815" spans="1:37">
      <c r="A3815" t="s">
        <v>3881</v>
      </c>
      <c r="B3815">
        <v>39</v>
      </c>
      <c r="C3815" t="s">
        <v>44</v>
      </c>
      <c r="D3815" t="s">
        <v>45</v>
      </c>
      <c r="E3815">
        <v>570</v>
      </c>
      <c r="F3815">
        <v>12</v>
      </c>
      <c r="G3815">
        <v>20</v>
      </c>
      <c r="H3815">
        <v>2407.68</v>
      </c>
      <c r="I3815">
        <v>52326.28</v>
      </c>
      <c r="J3815">
        <v>132</v>
      </c>
      <c r="K3815">
        <v>2</v>
      </c>
      <c r="L3815">
        <v>3.6</v>
      </c>
      <c r="M3815">
        <v>28.5</v>
      </c>
      <c r="N3815" t="s">
        <v>46</v>
      </c>
      <c r="O3815" t="s">
        <v>47</v>
      </c>
      <c r="P3815" t="s">
        <v>68</v>
      </c>
      <c r="R3815">
        <f>SUMIF(A3815:A8814,"C03814",I3815:I8814)</f>
        <v>52326.28</v>
      </c>
      <c r="S3815" s="1">
        <v>12911.78</v>
      </c>
      <c r="T3815">
        <f t="shared" ref="T3815:T3878" si="436">I3815/J3815</f>
        <v>396.411212121212</v>
      </c>
      <c r="U3815">
        <f t="shared" si="435"/>
        <v>3762</v>
      </c>
      <c r="V3815">
        <f>U3815*2</f>
        <v>7524</v>
      </c>
      <c r="W3815">
        <f t="shared" si="433"/>
        <v>18244.9866666667</v>
      </c>
      <c r="X3815">
        <f t="shared" si="431"/>
        <v>0.236742424242424</v>
      </c>
      <c r="AH3815" t="str">
        <f t="shared" si="434"/>
        <v>2nd Quality</v>
      </c>
      <c r="AJ3815">
        <f>((T3815-X3815)*2)/3.6</f>
        <v>220.096927609428</v>
      </c>
      <c r="AK3815">
        <f t="shared" si="432"/>
        <v>225954.390909091</v>
      </c>
    </row>
    <row r="3816" spans="1:37">
      <c r="A3816" t="s">
        <v>3882</v>
      </c>
      <c r="B3816">
        <v>26</v>
      </c>
      <c r="C3816" t="s">
        <v>101</v>
      </c>
      <c r="D3816" t="s">
        <v>45</v>
      </c>
      <c r="E3816">
        <v>420</v>
      </c>
      <c r="F3816">
        <v>58</v>
      </c>
      <c r="G3816">
        <v>13</v>
      </c>
      <c r="H3816">
        <v>1781.69</v>
      </c>
      <c r="I3816">
        <v>25280.79</v>
      </c>
      <c r="J3816">
        <v>87</v>
      </c>
      <c r="K3816">
        <v>4</v>
      </c>
      <c r="L3816">
        <v>27.2</v>
      </c>
      <c r="M3816">
        <v>12.7</v>
      </c>
      <c r="N3816" t="s">
        <v>81</v>
      </c>
      <c r="O3816" t="s">
        <v>75</v>
      </c>
      <c r="P3816" t="s">
        <v>58</v>
      </c>
      <c r="R3816">
        <f>SUMIF(A3816:A8815,"C03815",I3816:I8815)</f>
        <v>25280.79</v>
      </c>
      <c r="S3816" s="1">
        <v>20464.34</v>
      </c>
      <c r="T3816">
        <f t="shared" si="436"/>
        <v>290.583793103448</v>
      </c>
      <c r="U3816">
        <f t="shared" si="435"/>
        <v>1104.9</v>
      </c>
      <c r="V3816">
        <f>U3816*4</f>
        <v>4419.6</v>
      </c>
      <c r="W3816">
        <f t="shared" si="433"/>
        <v>9021.16</v>
      </c>
      <c r="X3816">
        <f t="shared" si="431"/>
        <v>0.235731243931324</v>
      </c>
      <c r="AH3816" t="str">
        <f t="shared" si="434"/>
        <v>3rd Quality</v>
      </c>
      <c r="AJ3816">
        <f>((T3816-X3816)*2)/27.2</f>
        <v>21.3491221955527</v>
      </c>
      <c r="AK3816">
        <f t="shared" si="432"/>
        <v>122045.193103448</v>
      </c>
    </row>
    <row r="3817" spans="1:37">
      <c r="A3817" t="s">
        <v>3883</v>
      </c>
      <c r="B3817">
        <v>31</v>
      </c>
      <c r="C3817" t="s">
        <v>50</v>
      </c>
      <c r="D3817" t="s">
        <v>51</v>
      </c>
      <c r="E3817">
        <v>1130</v>
      </c>
      <c r="F3817">
        <v>27</v>
      </c>
      <c r="G3817">
        <v>6</v>
      </c>
      <c r="H3817">
        <v>1147.15</v>
      </c>
      <c r="I3817">
        <v>6473.01</v>
      </c>
      <c r="J3817">
        <v>41</v>
      </c>
      <c r="K3817">
        <v>0</v>
      </c>
      <c r="L3817">
        <v>29.9</v>
      </c>
      <c r="M3817">
        <v>11.3</v>
      </c>
      <c r="N3817" t="s">
        <v>81</v>
      </c>
      <c r="O3817" t="s">
        <v>47</v>
      </c>
      <c r="P3817" t="s">
        <v>58</v>
      </c>
      <c r="R3817">
        <f>SUMIF(A3817:A8816,"C03816",I3817:I8816)</f>
        <v>6473.01</v>
      </c>
      <c r="S3817" s="1">
        <v>695.51</v>
      </c>
      <c r="T3817">
        <f t="shared" si="436"/>
        <v>157.878292682927</v>
      </c>
      <c r="U3817">
        <f t="shared" si="435"/>
        <v>463.3</v>
      </c>
      <c r="V3817">
        <f t="shared" si="430"/>
        <v>38.6083333333333</v>
      </c>
      <c r="W3817">
        <f t="shared" si="433"/>
        <v>2540.38666666667</v>
      </c>
      <c r="X3817">
        <f t="shared" si="431"/>
        <v>0.9850499062895</v>
      </c>
      <c r="AH3817" t="str">
        <f t="shared" si="434"/>
        <v>3rd Quality</v>
      </c>
      <c r="AJ3817">
        <f>((T3817-X3817)*2)/29.9</f>
        <v>10.4945312894072</v>
      </c>
      <c r="AK3817">
        <f t="shared" si="432"/>
        <v>178402.470731707</v>
      </c>
    </row>
    <row r="3818" spans="1:37">
      <c r="A3818" t="s">
        <v>3884</v>
      </c>
      <c r="B3818">
        <v>34</v>
      </c>
      <c r="C3818" t="s">
        <v>50</v>
      </c>
      <c r="D3818" t="s">
        <v>45</v>
      </c>
      <c r="E3818">
        <v>781</v>
      </c>
      <c r="F3818">
        <v>28</v>
      </c>
      <c r="G3818">
        <v>8</v>
      </c>
      <c r="H3818">
        <v>1506.78</v>
      </c>
      <c r="I3818">
        <v>12911.78</v>
      </c>
      <c r="J3818">
        <v>32</v>
      </c>
      <c r="K3818">
        <v>0</v>
      </c>
      <c r="L3818">
        <v>21.6</v>
      </c>
      <c r="M3818">
        <v>12.1</v>
      </c>
      <c r="N3818" t="s">
        <v>52</v>
      </c>
      <c r="O3818" t="s">
        <v>53</v>
      </c>
      <c r="P3818" t="s">
        <v>58</v>
      </c>
      <c r="R3818">
        <f>SUMIF(A3818:A8817,"C03817",I3818:I8817)</f>
        <v>12911.78</v>
      </c>
      <c r="S3818" s="1">
        <v>4003.67</v>
      </c>
      <c r="T3818">
        <f t="shared" si="436"/>
        <v>403.493125</v>
      </c>
      <c r="U3818">
        <f t="shared" si="435"/>
        <v>387.2</v>
      </c>
      <c r="V3818">
        <f t="shared" si="430"/>
        <v>32.2666666666667</v>
      </c>
      <c r="W3818">
        <f t="shared" si="433"/>
        <v>4806.52</v>
      </c>
      <c r="X3818">
        <f t="shared" si="431"/>
        <v>0.518323842896773</v>
      </c>
      <c r="AH3818" t="str">
        <f t="shared" si="434"/>
        <v>3rd Quality</v>
      </c>
      <c r="AJ3818">
        <f>((T3818-X3818)*2)/21.6</f>
        <v>37.3124815886207</v>
      </c>
      <c r="AK3818">
        <f t="shared" si="432"/>
        <v>315128.130625</v>
      </c>
    </row>
    <row r="3819" spans="1:37">
      <c r="A3819" t="s">
        <v>3885</v>
      </c>
      <c r="B3819">
        <v>40</v>
      </c>
      <c r="C3819" t="s">
        <v>44</v>
      </c>
      <c r="D3819" t="s">
        <v>45</v>
      </c>
      <c r="E3819">
        <v>1138</v>
      </c>
      <c r="F3819">
        <v>4</v>
      </c>
      <c r="G3819">
        <v>13</v>
      </c>
      <c r="H3819">
        <v>1640.05</v>
      </c>
      <c r="I3819">
        <v>20464.34</v>
      </c>
      <c r="J3819">
        <v>108</v>
      </c>
      <c r="K3819">
        <v>2</v>
      </c>
      <c r="L3819">
        <v>22</v>
      </c>
      <c r="M3819">
        <v>29.7</v>
      </c>
      <c r="N3819" t="s">
        <v>57</v>
      </c>
      <c r="O3819" t="s">
        <v>47</v>
      </c>
      <c r="P3819" t="s">
        <v>66</v>
      </c>
      <c r="R3819">
        <f>SUMIF(A3819:A8818,"C03818",I3819:I8818)</f>
        <v>20464.34</v>
      </c>
      <c r="S3819" s="1">
        <v>4931.62</v>
      </c>
      <c r="T3819">
        <f t="shared" si="436"/>
        <v>189.48462962963</v>
      </c>
      <c r="U3819">
        <f t="shared" si="435"/>
        <v>3207.6</v>
      </c>
      <c r="V3819">
        <f>U3819*2</f>
        <v>6415.2</v>
      </c>
      <c r="W3819">
        <f t="shared" si="433"/>
        <v>7368.46333333333</v>
      </c>
      <c r="X3819">
        <f t="shared" si="431"/>
        <v>0.693881284107192</v>
      </c>
      <c r="AH3819" t="str">
        <f t="shared" si="434"/>
        <v>2nd Quality</v>
      </c>
      <c r="AJ3819">
        <f>((T3819-X3819)*2)/22</f>
        <v>17.1627953041384</v>
      </c>
      <c r="AK3819">
        <f t="shared" si="432"/>
        <v>215633.508518519</v>
      </c>
    </row>
    <row r="3820" spans="1:37">
      <c r="A3820" t="s">
        <v>3886</v>
      </c>
      <c r="B3820">
        <v>18</v>
      </c>
      <c r="C3820" t="s">
        <v>50</v>
      </c>
      <c r="D3820" t="s">
        <v>60</v>
      </c>
      <c r="E3820">
        <v>613</v>
      </c>
      <c r="F3820">
        <v>75</v>
      </c>
      <c r="G3820">
        <v>1</v>
      </c>
      <c r="H3820">
        <v>704.44</v>
      </c>
      <c r="I3820">
        <v>695.51</v>
      </c>
      <c r="J3820">
        <v>10</v>
      </c>
      <c r="K3820">
        <v>0</v>
      </c>
      <c r="L3820">
        <v>23.8</v>
      </c>
      <c r="M3820">
        <v>24.2</v>
      </c>
      <c r="N3820" t="s">
        <v>63</v>
      </c>
      <c r="O3820" t="s">
        <v>47</v>
      </c>
      <c r="P3820" t="s">
        <v>48</v>
      </c>
      <c r="R3820">
        <f>SUMIF(A3820:A8819,"C03819",I3820:I8819)</f>
        <v>695.51</v>
      </c>
      <c r="S3820" s="1">
        <v>23219.67</v>
      </c>
      <c r="T3820">
        <f t="shared" si="436"/>
        <v>69.551</v>
      </c>
      <c r="U3820">
        <f t="shared" si="435"/>
        <v>242</v>
      </c>
      <c r="V3820">
        <f t="shared" si="430"/>
        <v>20.1666666666667</v>
      </c>
      <c r="W3820">
        <f t="shared" si="433"/>
        <v>466.983333333333</v>
      </c>
      <c r="X3820">
        <f t="shared" si="431"/>
        <v>0.870194764635739</v>
      </c>
      <c r="AH3820" t="str">
        <f t="shared" si="434"/>
        <v>3rd Quality</v>
      </c>
      <c r="AJ3820">
        <f>((T3820-X3820)*2)/23.8</f>
        <v>5.7714962382659</v>
      </c>
      <c r="AK3820">
        <f t="shared" si="432"/>
        <v>42634.763</v>
      </c>
    </row>
    <row r="3821" spans="1:37">
      <c r="A3821" t="s">
        <v>3887</v>
      </c>
      <c r="B3821">
        <v>30</v>
      </c>
      <c r="C3821" t="s">
        <v>44</v>
      </c>
      <c r="D3821" t="s">
        <v>60</v>
      </c>
      <c r="E3821">
        <v>947</v>
      </c>
      <c r="F3821">
        <v>177</v>
      </c>
      <c r="G3821">
        <v>4</v>
      </c>
      <c r="H3821">
        <v>912.38</v>
      </c>
      <c r="I3821">
        <v>4003.67</v>
      </c>
      <c r="J3821">
        <v>19</v>
      </c>
      <c r="K3821">
        <v>0</v>
      </c>
      <c r="L3821">
        <v>21.6</v>
      </c>
      <c r="M3821">
        <v>26.4</v>
      </c>
      <c r="N3821" t="s">
        <v>52</v>
      </c>
      <c r="O3821" t="s">
        <v>47</v>
      </c>
      <c r="P3821" t="s">
        <v>58</v>
      </c>
      <c r="R3821">
        <f>SUMIF(A3821:A8820,"C03820",I3821:I8820)</f>
        <v>4003.67</v>
      </c>
      <c r="S3821" s="1">
        <v>42822.34</v>
      </c>
      <c r="T3821">
        <f t="shared" si="436"/>
        <v>210.719473684211</v>
      </c>
      <c r="U3821">
        <f t="shared" si="435"/>
        <v>501.6</v>
      </c>
      <c r="V3821">
        <f t="shared" si="430"/>
        <v>41.8</v>
      </c>
      <c r="W3821">
        <f t="shared" si="433"/>
        <v>1639.01666666667</v>
      </c>
      <c r="X3821">
        <f t="shared" si="431"/>
        <v>1.03794471601745</v>
      </c>
      <c r="AH3821" t="str">
        <f t="shared" si="434"/>
        <v>3rd Quality</v>
      </c>
      <c r="AJ3821">
        <f>((T3821-X3821)*2)/21.6</f>
        <v>19.4149563859438</v>
      </c>
      <c r="AK3821">
        <f t="shared" si="432"/>
        <v>199551.341578947</v>
      </c>
    </row>
    <row r="3822" spans="1:37">
      <c r="A3822" t="s">
        <v>3888</v>
      </c>
      <c r="B3822">
        <v>37</v>
      </c>
      <c r="C3822" t="s">
        <v>50</v>
      </c>
      <c r="D3822" t="s">
        <v>51</v>
      </c>
      <c r="E3822">
        <v>598</v>
      </c>
      <c r="F3822">
        <v>110</v>
      </c>
      <c r="G3822">
        <v>3</v>
      </c>
      <c r="H3822">
        <v>1561.27</v>
      </c>
      <c r="I3822">
        <v>4931.62</v>
      </c>
      <c r="J3822">
        <v>18</v>
      </c>
      <c r="K3822">
        <v>2</v>
      </c>
      <c r="L3822">
        <v>34.6</v>
      </c>
      <c r="M3822">
        <v>37</v>
      </c>
      <c r="N3822" t="s">
        <v>63</v>
      </c>
      <c r="O3822" t="s">
        <v>47</v>
      </c>
      <c r="P3822" t="s">
        <v>68</v>
      </c>
      <c r="R3822">
        <f>SUMIF(A3822:A8821,"C03821",I3822:I8821)</f>
        <v>4931.62</v>
      </c>
      <c r="S3822" s="1">
        <v>87730.27</v>
      </c>
      <c r="T3822">
        <f t="shared" si="436"/>
        <v>273.978888888889</v>
      </c>
      <c r="U3822">
        <f t="shared" si="435"/>
        <v>666</v>
      </c>
      <c r="V3822">
        <f>U3822*2</f>
        <v>1332</v>
      </c>
      <c r="W3822">
        <f t="shared" si="433"/>
        <v>2164.63</v>
      </c>
      <c r="X3822">
        <f t="shared" si="431"/>
        <v>0.383021514536243</v>
      </c>
      <c r="AH3822" t="str">
        <f t="shared" si="434"/>
        <v>3rd Quality</v>
      </c>
      <c r="AJ3822">
        <f>((T3822-X3822)*2)/34.6</f>
        <v>15.8147900216389</v>
      </c>
      <c r="AK3822">
        <f t="shared" si="432"/>
        <v>163839.375555556</v>
      </c>
    </row>
    <row r="3823" spans="1:37">
      <c r="A3823" t="s">
        <v>3889</v>
      </c>
      <c r="B3823">
        <v>37</v>
      </c>
      <c r="C3823" t="s">
        <v>44</v>
      </c>
      <c r="D3823" t="s">
        <v>60</v>
      </c>
      <c r="E3823">
        <v>645</v>
      </c>
      <c r="F3823">
        <v>26</v>
      </c>
      <c r="G3823">
        <v>3</v>
      </c>
      <c r="H3823">
        <v>7487.3</v>
      </c>
      <c r="I3823">
        <v>23219.67</v>
      </c>
      <c r="J3823">
        <v>32</v>
      </c>
      <c r="K3823">
        <v>0</v>
      </c>
      <c r="L3823">
        <v>0</v>
      </c>
      <c r="M3823">
        <v>29.2</v>
      </c>
      <c r="N3823" t="s">
        <v>78</v>
      </c>
      <c r="O3823" t="s">
        <v>47</v>
      </c>
      <c r="P3823" t="s">
        <v>58</v>
      </c>
      <c r="R3823">
        <f>SUMIF(A3823:A8822,"C03822",I3823:I8822)</f>
        <v>23219.67</v>
      </c>
      <c r="S3823" s="1">
        <v>9201.13</v>
      </c>
      <c r="T3823">
        <f t="shared" si="436"/>
        <v>725.6146875</v>
      </c>
      <c r="U3823">
        <f t="shared" si="435"/>
        <v>934.4</v>
      </c>
      <c r="V3823">
        <f t="shared" si="430"/>
        <v>77.8666666666667</v>
      </c>
      <c r="W3823">
        <f t="shared" si="433"/>
        <v>10235.99</v>
      </c>
      <c r="X3823">
        <f t="shared" si="431"/>
        <v>0.0861458736794305</v>
      </c>
      <c r="AH3823" t="str">
        <f t="shared" si="434"/>
        <v>2nd Quality</v>
      </c>
      <c r="AJ3823">
        <f>((T3823-X3823)*2)</f>
        <v>1451.05708325264</v>
      </c>
      <c r="AK3823">
        <f t="shared" si="432"/>
        <v>468021.4734375</v>
      </c>
    </row>
    <row r="3824" spans="1:37">
      <c r="A3824" t="s">
        <v>3890</v>
      </c>
      <c r="B3824">
        <v>33</v>
      </c>
      <c r="C3824" t="s">
        <v>44</v>
      </c>
      <c r="D3824" t="s">
        <v>51</v>
      </c>
      <c r="E3824">
        <v>1427</v>
      </c>
      <c r="F3824">
        <v>10</v>
      </c>
      <c r="G3824">
        <v>3</v>
      </c>
      <c r="H3824">
        <v>15669.42</v>
      </c>
      <c r="I3824">
        <v>42822.34</v>
      </c>
      <c r="J3824">
        <v>24</v>
      </c>
      <c r="K3824">
        <v>0</v>
      </c>
      <c r="L3824">
        <v>1.7</v>
      </c>
      <c r="M3824">
        <v>39</v>
      </c>
      <c r="N3824" t="s">
        <v>63</v>
      </c>
      <c r="O3824" t="s">
        <v>47</v>
      </c>
      <c r="P3824" t="s">
        <v>48</v>
      </c>
      <c r="R3824">
        <f>SUMIF(A3824:A8823,"C03823",I3824:I8823)</f>
        <v>42822.34</v>
      </c>
      <c r="S3824" s="1">
        <v>18490.2</v>
      </c>
      <c r="T3824">
        <f t="shared" si="436"/>
        <v>1784.26416666667</v>
      </c>
      <c r="U3824">
        <f t="shared" si="435"/>
        <v>936</v>
      </c>
      <c r="V3824">
        <f t="shared" si="430"/>
        <v>78</v>
      </c>
      <c r="W3824">
        <f t="shared" si="433"/>
        <v>19497.5866666667</v>
      </c>
      <c r="X3824">
        <f t="shared" si="431"/>
        <v>0.091069101472805</v>
      </c>
      <c r="AH3824" t="str">
        <f t="shared" si="434"/>
        <v>1st Quality</v>
      </c>
      <c r="AJ3824">
        <f>((T3824-X3824)*2)/1.7</f>
        <v>2099.02717360611</v>
      </c>
      <c r="AK3824">
        <f t="shared" si="432"/>
        <v>2546144.96583333</v>
      </c>
    </row>
    <row r="3825" spans="1:37">
      <c r="A3825" t="s">
        <v>3891</v>
      </c>
      <c r="B3825">
        <v>21</v>
      </c>
      <c r="C3825" t="s">
        <v>50</v>
      </c>
      <c r="D3825" t="s">
        <v>45</v>
      </c>
      <c r="E3825">
        <v>947</v>
      </c>
      <c r="F3825">
        <v>6</v>
      </c>
      <c r="G3825">
        <v>34</v>
      </c>
      <c r="H3825">
        <v>2556.81</v>
      </c>
      <c r="I3825">
        <v>87730.27</v>
      </c>
      <c r="J3825">
        <v>280</v>
      </c>
      <c r="K3825">
        <v>1</v>
      </c>
      <c r="L3825">
        <v>4.4</v>
      </c>
      <c r="M3825">
        <v>47.4</v>
      </c>
      <c r="N3825" t="s">
        <v>46</v>
      </c>
      <c r="O3825" t="s">
        <v>53</v>
      </c>
      <c r="P3825" t="s">
        <v>68</v>
      </c>
      <c r="R3825">
        <f>SUMIF(A3825:A8824,"C03824",I3825:I8824)</f>
        <v>87730.27</v>
      </c>
      <c r="S3825" s="1">
        <v>12869.19</v>
      </c>
      <c r="T3825">
        <f t="shared" si="436"/>
        <v>313.322392857143</v>
      </c>
      <c r="U3825">
        <f t="shared" si="435"/>
        <v>13272</v>
      </c>
      <c r="V3825">
        <f>U3825*1</f>
        <v>13272</v>
      </c>
      <c r="W3825">
        <f t="shared" si="433"/>
        <v>30096.0266666667</v>
      </c>
      <c r="X3825">
        <f t="shared" si="431"/>
        <v>0.370383407449126</v>
      </c>
      <c r="AH3825" t="str">
        <f t="shared" si="434"/>
        <v>1st Quality</v>
      </c>
      <c r="AJ3825">
        <f>((T3825-X3825)*2)/4</f>
        <v>156.476004724847</v>
      </c>
      <c r="AK3825">
        <f t="shared" si="432"/>
        <v>296716.306035714</v>
      </c>
    </row>
    <row r="3826" spans="1:37">
      <c r="A3826" t="s">
        <v>3892</v>
      </c>
      <c r="B3826">
        <v>33</v>
      </c>
      <c r="C3826" t="s">
        <v>44</v>
      </c>
      <c r="D3826" t="s">
        <v>60</v>
      </c>
      <c r="E3826">
        <v>376</v>
      </c>
      <c r="F3826">
        <v>49</v>
      </c>
      <c r="G3826">
        <v>6</v>
      </c>
      <c r="H3826">
        <v>1685.85</v>
      </c>
      <c r="I3826">
        <v>9201.13</v>
      </c>
      <c r="J3826">
        <v>28</v>
      </c>
      <c r="K3826">
        <v>1</v>
      </c>
      <c r="L3826">
        <v>32</v>
      </c>
      <c r="M3826">
        <v>26.7</v>
      </c>
      <c r="N3826" t="s">
        <v>61</v>
      </c>
      <c r="O3826" t="s">
        <v>47</v>
      </c>
      <c r="P3826" t="s">
        <v>66</v>
      </c>
      <c r="R3826">
        <f>SUMIF(A3826:A8825,"C03825",I3826:I8825)</f>
        <v>9201.13</v>
      </c>
      <c r="S3826" s="1">
        <v>14686.58</v>
      </c>
      <c r="T3826">
        <f t="shared" si="436"/>
        <v>328.611785714286</v>
      </c>
      <c r="U3826">
        <f t="shared" si="435"/>
        <v>747.6</v>
      </c>
      <c r="V3826">
        <f>U3826*1</f>
        <v>747.6</v>
      </c>
      <c r="W3826">
        <f t="shared" si="433"/>
        <v>3629.32666666667</v>
      </c>
      <c r="X3826">
        <f t="shared" si="431"/>
        <v>0.223032891419759</v>
      </c>
      <c r="AH3826" t="str">
        <f t="shared" si="434"/>
        <v>3rd Quality</v>
      </c>
      <c r="AJ3826">
        <f>((T3826-X3826)*2)/32</f>
        <v>20.5242970514291</v>
      </c>
      <c r="AK3826">
        <f t="shared" si="432"/>
        <v>123558.031428571</v>
      </c>
    </row>
    <row r="3827" spans="1:37">
      <c r="A3827" t="s">
        <v>3893</v>
      </c>
      <c r="B3827">
        <v>23</v>
      </c>
      <c r="C3827" t="s">
        <v>50</v>
      </c>
      <c r="D3827" t="s">
        <v>60</v>
      </c>
      <c r="E3827">
        <v>1404</v>
      </c>
      <c r="F3827">
        <v>11</v>
      </c>
      <c r="G3827">
        <v>3</v>
      </c>
      <c r="H3827">
        <v>6863.43</v>
      </c>
      <c r="I3827">
        <v>18490.2</v>
      </c>
      <c r="J3827">
        <v>27</v>
      </c>
      <c r="K3827">
        <v>1</v>
      </c>
      <c r="L3827">
        <v>4.6</v>
      </c>
      <c r="M3827">
        <v>18.1</v>
      </c>
      <c r="N3827" t="s">
        <v>81</v>
      </c>
      <c r="O3827" t="s">
        <v>47</v>
      </c>
      <c r="P3827" t="s">
        <v>66</v>
      </c>
      <c r="R3827">
        <f>SUMIF(A3827:A8826,"C03826",I3827:I8826)</f>
        <v>18490.2</v>
      </c>
      <c r="S3827" s="1">
        <v>5405.77</v>
      </c>
      <c r="T3827">
        <f t="shared" si="436"/>
        <v>684.822222222222</v>
      </c>
      <c r="U3827">
        <f t="shared" si="435"/>
        <v>488.7</v>
      </c>
      <c r="V3827">
        <f>U3827*1</f>
        <v>488.7</v>
      </c>
      <c r="W3827">
        <f t="shared" si="433"/>
        <v>8451.54333333333</v>
      </c>
      <c r="X3827">
        <f t="shared" si="431"/>
        <v>0.204562441811164</v>
      </c>
      <c r="AH3827" t="str">
        <f t="shared" si="434"/>
        <v>2nd Quality</v>
      </c>
      <c r="AJ3827">
        <f>((T3827-X3827)*2)/4.6</f>
        <v>297.659852078439</v>
      </c>
      <c r="AK3827">
        <f t="shared" si="432"/>
        <v>961490.4</v>
      </c>
    </row>
    <row r="3828" spans="1:37">
      <c r="A3828" t="s">
        <v>3894</v>
      </c>
      <c r="B3828">
        <v>21</v>
      </c>
      <c r="C3828" t="s">
        <v>44</v>
      </c>
      <c r="D3828" t="s">
        <v>51</v>
      </c>
      <c r="E3828">
        <v>1267</v>
      </c>
      <c r="F3828">
        <v>41</v>
      </c>
      <c r="G3828">
        <v>10</v>
      </c>
      <c r="H3828">
        <v>1162.34</v>
      </c>
      <c r="I3828">
        <v>12869.19</v>
      </c>
      <c r="J3828">
        <v>60</v>
      </c>
      <c r="K3828">
        <v>3</v>
      </c>
      <c r="L3828">
        <v>18</v>
      </c>
      <c r="M3828">
        <v>44</v>
      </c>
      <c r="N3828" t="s">
        <v>52</v>
      </c>
      <c r="O3828" t="s">
        <v>75</v>
      </c>
      <c r="P3828" t="s">
        <v>58</v>
      </c>
      <c r="R3828">
        <f>SUMIF(A3828:A8827,"C03827",I3828:I8827)</f>
        <v>12869.19</v>
      </c>
      <c r="S3828" s="1">
        <v>25738.31</v>
      </c>
      <c r="T3828">
        <f t="shared" si="436"/>
        <v>214.4865</v>
      </c>
      <c r="U3828">
        <f t="shared" si="435"/>
        <v>2640</v>
      </c>
      <c r="V3828">
        <f>U3828*3</f>
        <v>7920</v>
      </c>
      <c r="W3828">
        <f t="shared" si="433"/>
        <v>4677.51</v>
      </c>
      <c r="X3828">
        <f t="shared" si="431"/>
        <v>1.09004250047318</v>
      </c>
      <c r="AH3828" t="str">
        <f t="shared" si="434"/>
        <v>3rd Quality</v>
      </c>
      <c r="AJ3828">
        <f>((T3828-X3828)*2)/18</f>
        <v>23.7107174999474</v>
      </c>
      <c r="AK3828">
        <f t="shared" si="432"/>
        <v>271754.3955</v>
      </c>
    </row>
    <row r="3829" spans="1:37">
      <c r="A3829" t="s">
        <v>3895</v>
      </c>
      <c r="B3829">
        <v>53</v>
      </c>
      <c r="C3829" t="s">
        <v>44</v>
      </c>
      <c r="D3829" t="s">
        <v>51</v>
      </c>
      <c r="E3829">
        <v>788</v>
      </c>
      <c r="F3829">
        <v>23</v>
      </c>
      <c r="G3829">
        <v>6</v>
      </c>
      <c r="H3829">
        <v>2394.66</v>
      </c>
      <c r="I3829">
        <v>14686.58</v>
      </c>
      <c r="J3829">
        <v>59</v>
      </c>
      <c r="K3829">
        <v>0</v>
      </c>
      <c r="L3829">
        <v>31.5</v>
      </c>
      <c r="M3829">
        <v>39.3</v>
      </c>
      <c r="N3829" t="s">
        <v>78</v>
      </c>
      <c r="O3829" t="s">
        <v>75</v>
      </c>
      <c r="P3829" t="s">
        <v>58</v>
      </c>
      <c r="R3829">
        <f>SUMIF(A3829:A8828,"C03828",I3829:I8828)</f>
        <v>14686.58</v>
      </c>
      <c r="S3829" s="1">
        <v>5094.81</v>
      </c>
      <c r="T3829">
        <f t="shared" si="436"/>
        <v>248.925084745763</v>
      </c>
      <c r="U3829">
        <f t="shared" si="435"/>
        <v>2318.7</v>
      </c>
      <c r="V3829">
        <f t="shared" si="430"/>
        <v>193.225</v>
      </c>
      <c r="W3829">
        <f t="shared" si="433"/>
        <v>5694.08</v>
      </c>
      <c r="X3829">
        <f t="shared" si="431"/>
        <v>0.329065504079911</v>
      </c>
      <c r="AH3829" t="str">
        <f t="shared" si="434"/>
        <v>3rd Quality</v>
      </c>
      <c r="AJ3829">
        <f>((T3829-X3829)*2)/31.5</f>
        <v>15.7838742375672</v>
      </c>
      <c r="AK3829">
        <f t="shared" si="432"/>
        <v>196152.966779661</v>
      </c>
    </row>
    <row r="3830" spans="1:37">
      <c r="A3830" t="s">
        <v>3896</v>
      </c>
      <c r="B3830">
        <v>18</v>
      </c>
      <c r="C3830" t="s">
        <v>50</v>
      </c>
      <c r="D3830" t="s">
        <v>60</v>
      </c>
      <c r="E3830">
        <v>632</v>
      </c>
      <c r="F3830">
        <v>365</v>
      </c>
      <c r="G3830">
        <v>2</v>
      </c>
      <c r="H3830">
        <v>3066.32</v>
      </c>
      <c r="I3830">
        <v>5405.77</v>
      </c>
      <c r="J3830">
        <v>15</v>
      </c>
      <c r="K3830">
        <v>0</v>
      </c>
      <c r="L3830">
        <v>28.4</v>
      </c>
      <c r="M3830">
        <v>11.4</v>
      </c>
      <c r="N3830" t="s">
        <v>57</v>
      </c>
      <c r="O3830" t="s">
        <v>53</v>
      </c>
      <c r="P3830" t="s">
        <v>68</v>
      </c>
      <c r="R3830">
        <f>SUMIF(A3830:A8829,"C03829",I3830:I8829)</f>
        <v>5405.77</v>
      </c>
      <c r="S3830" s="1">
        <v>26964.04</v>
      </c>
      <c r="T3830">
        <f t="shared" si="436"/>
        <v>360.384666666667</v>
      </c>
      <c r="U3830">
        <f t="shared" si="435"/>
        <v>171</v>
      </c>
      <c r="V3830">
        <f t="shared" ref="V3830:V3893" si="437">U3830/12</f>
        <v>14.25</v>
      </c>
      <c r="W3830">
        <f t="shared" si="433"/>
        <v>2824.36333333333</v>
      </c>
      <c r="X3830">
        <f t="shared" si="431"/>
        <v>0.206110255941976</v>
      </c>
      <c r="AH3830" t="str">
        <f t="shared" si="434"/>
        <v>3rd Quality</v>
      </c>
      <c r="AJ3830">
        <f>((T3830-X3830)*2)/28.4</f>
        <v>25.3646870711778</v>
      </c>
      <c r="AK3830">
        <f t="shared" si="432"/>
        <v>227763.109333333</v>
      </c>
    </row>
    <row r="3831" spans="1:37">
      <c r="A3831" t="s">
        <v>3897</v>
      </c>
      <c r="B3831">
        <v>34</v>
      </c>
      <c r="C3831" t="s">
        <v>50</v>
      </c>
      <c r="D3831" t="s">
        <v>51</v>
      </c>
      <c r="E3831">
        <v>832</v>
      </c>
      <c r="F3831">
        <v>26</v>
      </c>
      <c r="G3831">
        <v>2</v>
      </c>
      <c r="H3831">
        <v>12965.53</v>
      </c>
      <c r="I3831">
        <v>25738.31</v>
      </c>
      <c r="J3831">
        <v>13</v>
      </c>
      <c r="K3831">
        <v>1</v>
      </c>
      <c r="L3831">
        <v>8.7</v>
      </c>
      <c r="M3831">
        <v>24</v>
      </c>
      <c r="N3831" t="s">
        <v>78</v>
      </c>
      <c r="O3831" t="s">
        <v>47</v>
      </c>
      <c r="P3831" t="s">
        <v>58</v>
      </c>
      <c r="R3831">
        <f>SUMIF(A3831:A8830,"C03830",I3831:I8830)</f>
        <v>25738.31</v>
      </c>
      <c r="S3831" s="1">
        <v>8724.51</v>
      </c>
      <c r="T3831">
        <f t="shared" si="436"/>
        <v>1979.87</v>
      </c>
      <c r="U3831">
        <f t="shared" si="435"/>
        <v>312</v>
      </c>
      <c r="V3831">
        <f>U3831*1</f>
        <v>312</v>
      </c>
      <c r="W3831">
        <f t="shared" si="433"/>
        <v>12901.6133333333</v>
      </c>
      <c r="X3831">
        <f t="shared" si="431"/>
        <v>0.0641701496197996</v>
      </c>
      <c r="AH3831" t="str">
        <f t="shared" si="434"/>
        <v>2nd Quality</v>
      </c>
      <c r="AJ3831">
        <f>((T3831-X3831)*2)/8.7</f>
        <v>455.127776977099</v>
      </c>
      <c r="AK3831">
        <f t="shared" si="432"/>
        <v>1647251.84</v>
      </c>
    </row>
    <row r="3832" spans="1:37">
      <c r="A3832" t="s">
        <v>3898</v>
      </c>
      <c r="B3832">
        <v>42</v>
      </c>
      <c r="C3832" t="s">
        <v>50</v>
      </c>
      <c r="D3832" t="s">
        <v>45</v>
      </c>
      <c r="E3832">
        <v>1213</v>
      </c>
      <c r="F3832">
        <v>111</v>
      </c>
      <c r="G3832">
        <v>6</v>
      </c>
      <c r="H3832">
        <v>894.94</v>
      </c>
      <c r="I3832">
        <v>5094.81</v>
      </c>
      <c r="J3832">
        <v>25</v>
      </c>
      <c r="K3832">
        <v>1</v>
      </c>
      <c r="L3832">
        <v>23</v>
      </c>
      <c r="M3832">
        <v>23.1</v>
      </c>
      <c r="N3832" t="s">
        <v>81</v>
      </c>
      <c r="O3832" t="s">
        <v>47</v>
      </c>
      <c r="P3832" t="s">
        <v>68</v>
      </c>
      <c r="R3832">
        <f>SUMIF(A3832:A8831,"C03831",I3832:I8831)</f>
        <v>5094.81</v>
      </c>
      <c r="S3832" s="1">
        <v>5364.82</v>
      </c>
      <c r="T3832">
        <f t="shared" si="436"/>
        <v>203.7924</v>
      </c>
      <c r="U3832">
        <f t="shared" si="435"/>
        <v>577.5</v>
      </c>
      <c r="V3832">
        <f>U3832*1</f>
        <v>577.5</v>
      </c>
      <c r="W3832">
        <f t="shared" si="433"/>
        <v>1996.91666666667</v>
      </c>
      <c r="X3832">
        <f t="shared" ref="X3832:X3895" si="438">E3832/H3832</f>
        <v>1.35539812724875</v>
      </c>
      <c r="AH3832" t="str">
        <f t="shared" si="434"/>
        <v>3rd Quality</v>
      </c>
      <c r="AJ3832">
        <f>((T3832-X3832)*2)/23</f>
        <v>17.6032175541523</v>
      </c>
      <c r="AK3832">
        <f t="shared" si="432"/>
        <v>247200.1812</v>
      </c>
    </row>
    <row r="3833" spans="1:37">
      <c r="A3833" t="s">
        <v>3899</v>
      </c>
      <c r="B3833">
        <v>44</v>
      </c>
      <c r="C3833" t="s">
        <v>44</v>
      </c>
      <c r="D3833" t="s">
        <v>60</v>
      </c>
      <c r="E3833">
        <v>909</v>
      </c>
      <c r="F3833">
        <v>19</v>
      </c>
      <c r="G3833">
        <v>3</v>
      </c>
      <c r="H3833">
        <v>9802.2</v>
      </c>
      <c r="I3833">
        <v>26964.04</v>
      </c>
      <c r="J3833">
        <v>14</v>
      </c>
      <c r="K3833">
        <v>0</v>
      </c>
      <c r="L3833">
        <v>2.5</v>
      </c>
      <c r="M3833">
        <v>43.5</v>
      </c>
      <c r="N3833" t="s">
        <v>78</v>
      </c>
      <c r="O3833" t="s">
        <v>75</v>
      </c>
      <c r="P3833" t="s">
        <v>68</v>
      </c>
      <c r="R3833">
        <f>SUMIF(A3833:A8832,"C03832",I3833:I8832)</f>
        <v>26964.04</v>
      </c>
      <c r="S3833" s="1">
        <v>11328.83</v>
      </c>
      <c r="T3833">
        <f t="shared" si="436"/>
        <v>1926.00285714286</v>
      </c>
      <c r="U3833">
        <f t="shared" si="435"/>
        <v>609</v>
      </c>
      <c r="V3833">
        <f t="shared" si="437"/>
        <v>50.75</v>
      </c>
      <c r="W3833">
        <f t="shared" si="433"/>
        <v>12255.7466666667</v>
      </c>
      <c r="X3833">
        <f t="shared" si="438"/>
        <v>0.092734284140295</v>
      </c>
      <c r="AH3833" t="str">
        <f t="shared" si="434"/>
        <v>3rd Quality</v>
      </c>
      <c r="AJ3833">
        <f>((T3833-X3833)*2)/2.5</f>
        <v>1540.72809828698</v>
      </c>
      <c r="AK3833">
        <f t="shared" si="432"/>
        <v>1750736.59714286</v>
      </c>
    </row>
    <row r="3834" spans="1:37">
      <c r="A3834" t="s">
        <v>3900</v>
      </c>
      <c r="B3834">
        <v>36</v>
      </c>
      <c r="C3834" t="s">
        <v>44</v>
      </c>
      <c r="D3834" t="s">
        <v>60</v>
      </c>
      <c r="E3834">
        <v>559</v>
      </c>
      <c r="F3834">
        <v>74</v>
      </c>
      <c r="G3834">
        <v>6</v>
      </c>
      <c r="H3834">
        <v>1350.64</v>
      </c>
      <c r="I3834">
        <v>8724.51</v>
      </c>
      <c r="J3834">
        <v>27</v>
      </c>
      <c r="K3834">
        <v>0</v>
      </c>
      <c r="L3834">
        <v>21.9</v>
      </c>
      <c r="M3834">
        <v>42.3</v>
      </c>
      <c r="N3834" t="s">
        <v>78</v>
      </c>
      <c r="O3834" t="s">
        <v>75</v>
      </c>
      <c r="P3834" t="s">
        <v>54</v>
      </c>
      <c r="R3834">
        <f>SUMIF(A3834:A8833,"C03833",I3834:I8833)</f>
        <v>8724.51</v>
      </c>
      <c r="S3834" s="1">
        <v>13166.67</v>
      </c>
      <c r="T3834">
        <f t="shared" si="436"/>
        <v>323.13</v>
      </c>
      <c r="U3834">
        <f t="shared" si="435"/>
        <v>1142.1</v>
      </c>
      <c r="V3834">
        <f t="shared" si="437"/>
        <v>95.175</v>
      </c>
      <c r="W3834">
        <f t="shared" si="433"/>
        <v>3358.71666666667</v>
      </c>
      <c r="X3834">
        <f t="shared" si="438"/>
        <v>0.413877865308298</v>
      </c>
      <c r="AH3834" t="str">
        <f t="shared" si="434"/>
        <v>3rd Quality</v>
      </c>
      <c r="AJ3834">
        <f>((T3834-X3834)*2)/21.9</f>
        <v>29.4717919757709</v>
      </c>
      <c r="AK3834">
        <f t="shared" si="432"/>
        <v>180629.67</v>
      </c>
    </row>
    <row r="3835" spans="1:37">
      <c r="A3835" t="s">
        <v>3901</v>
      </c>
      <c r="B3835">
        <v>33</v>
      </c>
      <c r="C3835" t="s">
        <v>44</v>
      </c>
      <c r="D3835" t="s">
        <v>60</v>
      </c>
      <c r="E3835">
        <v>564</v>
      </c>
      <c r="F3835">
        <v>85</v>
      </c>
      <c r="G3835">
        <v>6</v>
      </c>
      <c r="H3835">
        <v>975.21</v>
      </c>
      <c r="I3835">
        <v>5364.82</v>
      </c>
      <c r="J3835">
        <v>24</v>
      </c>
      <c r="K3835">
        <v>0</v>
      </c>
      <c r="L3835">
        <v>13.6</v>
      </c>
      <c r="M3835">
        <v>34.5</v>
      </c>
      <c r="N3835" t="s">
        <v>78</v>
      </c>
      <c r="O3835" t="s">
        <v>75</v>
      </c>
      <c r="P3835" t="s">
        <v>58</v>
      </c>
      <c r="R3835">
        <f>SUMIF(A3835:A8834,"C03834",I3835:I8834)</f>
        <v>5364.82</v>
      </c>
      <c r="S3835" s="1">
        <v>1094.1</v>
      </c>
      <c r="T3835">
        <f t="shared" si="436"/>
        <v>223.534166666667</v>
      </c>
      <c r="U3835">
        <f t="shared" si="435"/>
        <v>828</v>
      </c>
      <c r="V3835">
        <f t="shared" si="437"/>
        <v>69</v>
      </c>
      <c r="W3835">
        <f t="shared" si="433"/>
        <v>2113.67666666667</v>
      </c>
      <c r="X3835">
        <f t="shared" si="438"/>
        <v>0.578336973574922</v>
      </c>
      <c r="AH3835" t="str">
        <f t="shared" si="434"/>
        <v>3rd Quality</v>
      </c>
      <c r="AJ3835">
        <f>((T3835-X3835)*2)/13.6</f>
        <v>32.78762201369</v>
      </c>
      <c r="AK3835">
        <f t="shared" si="432"/>
        <v>126073.27</v>
      </c>
    </row>
    <row r="3836" spans="1:37">
      <c r="A3836" t="s">
        <v>3902</v>
      </c>
      <c r="B3836">
        <v>46</v>
      </c>
      <c r="C3836" t="s">
        <v>44</v>
      </c>
      <c r="D3836" t="s">
        <v>60</v>
      </c>
      <c r="E3836">
        <v>1453</v>
      </c>
      <c r="F3836">
        <v>21</v>
      </c>
      <c r="G3836">
        <v>7</v>
      </c>
      <c r="H3836">
        <v>1759.28</v>
      </c>
      <c r="I3836">
        <v>11328.83</v>
      </c>
      <c r="J3836">
        <v>48</v>
      </c>
      <c r="K3836">
        <v>0</v>
      </c>
      <c r="L3836">
        <v>28.9</v>
      </c>
      <c r="M3836">
        <v>30.7</v>
      </c>
      <c r="N3836" t="s">
        <v>81</v>
      </c>
      <c r="O3836" t="s">
        <v>53</v>
      </c>
      <c r="P3836" t="s">
        <v>68</v>
      </c>
      <c r="R3836">
        <f>SUMIF(A3836:A8835,"C03835",I3836:I8835)</f>
        <v>11328.83</v>
      </c>
      <c r="S3836" s="1">
        <v>27202.51</v>
      </c>
      <c r="T3836">
        <f t="shared" si="436"/>
        <v>236.017291666667</v>
      </c>
      <c r="U3836">
        <f t="shared" si="435"/>
        <v>1473.6</v>
      </c>
      <c r="V3836">
        <f t="shared" si="437"/>
        <v>122.8</v>
      </c>
      <c r="W3836">
        <f t="shared" si="433"/>
        <v>4363.03666666667</v>
      </c>
      <c r="X3836">
        <f t="shared" si="438"/>
        <v>0.825906052476013</v>
      </c>
      <c r="AH3836" t="str">
        <f t="shared" si="434"/>
        <v>3rd Quality</v>
      </c>
      <c r="AJ3836">
        <f>((T3836-X3836)*2)/28.9</f>
        <v>16.2762204577295</v>
      </c>
      <c r="AK3836">
        <f t="shared" si="432"/>
        <v>342933.124791667</v>
      </c>
    </row>
    <row r="3837" spans="1:37">
      <c r="A3837" t="s">
        <v>3903</v>
      </c>
      <c r="B3837">
        <v>34</v>
      </c>
      <c r="C3837" t="s">
        <v>44</v>
      </c>
      <c r="D3837" t="s">
        <v>45</v>
      </c>
      <c r="E3837">
        <v>636</v>
      </c>
      <c r="F3837">
        <v>29</v>
      </c>
      <c r="G3837">
        <v>14</v>
      </c>
      <c r="H3837">
        <v>1004.97</v>
      </c>
      <c r="I3837">
        <v>13166.67</v>
      </c>
      <c r="J3837">
        <v>64</v>
      </c>
      <c r="K3837">
        <v>1</v>
      </c>
      <c r="L3837">
        <v>21.1</v>
      </c>
      <c r="M3837">
        <v>17.9</v>
      </c>
      <c r="N3837" t="s">
        <v>81</v>
      </c>
      <c r="O3837" t="s">
        <v>75</v>
      </c>
      <c r="P3837" t="s">
        <v>68</v>
      </c>
      <c r="R3837">
        <f>SUMIF(A3837:A8836,"C03836",I3837:I8836)</f>
        <v>13166.67</v>
      </c>
      <c r="S3837" s="1">
        <v>4678.34</v>
      </c>
      <c r="T3837">
        <f t="shared" si="436"/>
        <v>205.72921875</v>
      </c>
      <c r="U3837">
        <f t="shared" si="435"/>
        <v>1145.6</v>
      </c>
      <c r="V3837">
        <f>U3837*1</f>
        <v>1145.6</v>
      </c>
      <c r="W3837">
        <f t="shared" si="433"/>
        <v>4724.21333333333</v>
      </c>
      <c r="X3837">
        <f t="shared" si="438"/>
        <v>0.632854712080958</v>
      </c>
      <c r="AH3837" t="str">
        <f t="shared" si="434"/>
        <v>3rd Quality</v>
      </c>
      <c r="AJ3837">
        <f>((T3837-X3837)*2)/21.1</f>
        <v>19.4404136528833</v>
      </c>
      <c r="AK3837">
        <f t="shared" si="432"/>
        <v>130843.783125</v>
      </c>
    </row>
    <row r="3838" spans="1:37">
      <c r="A3838" t="s">
        <v>3904</v>
      </c>
      <c r="B3838">
        <v>46</v>
      </c>
      <c r="C3838" t="s">
        <v>44</v>
      </c>
      <c r="D3838" t="s">
        <v>51</v>
      </c>
      <c r="E3838">
        <v>1001</v>
      </c>
      <c r="F3838">
        <v>64</v>
      </c>
      <c r="G3838">
        <v>2</v>
      </c>
      <c r="H3838">
        <v>520.51</v>
      </c>
      <c r="I3838">
        <v>1094.1</v>
      </c>
      <c r="J3838">
        <v>15</v>
      </c>
      <c r="K3838">
        <v>0</v>
      </c>
      <c r="L3838">
        <v>24.2</v>
      </c>
      <c r="M3838">
        <v>25.3</v>
      </c>
      <c r="N3838" t="s">
        <v>81</v>
      </c>
      <c r="O3838" t="s">
        <v>75</v>
      </c>
      <c r="P3838" t="s">
        <v>58</v>
      </c>
      <c r="R3838">
        <f>SUMIF(A3838:A8837,"C03837",I3838:I8837)</f>
        <v>1094.1</v>
      </c>
      <c r="S3838" s="1">
        <v>12193.34</v>
      </c>
      <c r="T3838">
        <f t="shared" si="436"/>
        <v>72.94</v>
      </c>
      <c r="U3838">
        <f t="shared" si="435"/>
        <v>379.5</v>
      </c>
      <c r="V3838">
        <f t="shared" si="437"/>
        <v>31.625</v>
      </c>
      <c r="W3838">
        <f t="shared" si="433"/>
        <v>538.536666666667</v>
      </c>
      <c r="X3838">
        <f t="shared" si="438"/>
        <v>1.92311386908993</v>
      </c>
      <c r="AH3838" t="str">
        <f t="shared" si="434"/>
        <v>3rd Quality</v>
      </c>
      <c r="AJ3838">
        <f>((T3838-X3838)*2)/24.2</f>
        <v>5.86916414305042</v>
      </c>
      <c r="AK3838">
        <f t="shared" si="432"/>
        <v>73012.94</v>
      </c>
    </row>
    <row r="3839" spans="1:37">
      <c r="A3839" t="s">
        <v>3905</v>
      </c>
      <c r="B3839">
        <v>47</v>
      </c>
      <c r="C3839" t="s">
        <v>50</v>
      </c>
      <c r="D3839" t="s">
        <v>45</v>
      </c>
      <c r="E3839">
        <v>1123</v>
      </c>
      <c r="F3839">
        <v>5</v>
      </c>
      <c r="G3839">
        <v>17</v>
      </c>
      <c r="H3839">
        <v>1728.44</v>
      </c>
      <c r="I3839">
        <v>27202.51</v>
      </c>
      <c r="J3839">
        <v>56</v>
      </c>
      <c r="K3839">
        <v>3</v>
      </c>
      <c r="L3839">
        <v>6.7</v>
      </c>
      <c r="M3839">
        <v>53.6</v>
      </c>
      <c r="N3839" t="s">
        <v>61</v>
      </c>
      <c r="O3839" t="s">
        <v>53</v>
      </c>
      <c r="P3839" t="s">
        <v>66</v>
      </c>
      <c r="R3839">
        <f>SUMIF(A3839:A8838,"C03838",I3839:I8838)</f>
        <v>27202.51</v>
      </c>
      <c r="S3839" s="1">
        <v>2867.01</v>
      </c>
      <c r="T3839">
        <f t="shared" si="436"/>
        <v>485.759107142857</v>
      </c>
      <c r="U3839">
        <f t="shared" si="435"/>
        <v>3001.6</v>
      </c>
      <c r="V3839">
        <f>U3839*3</f>
        <v>9004.8</v>
      </c>
      <c r="W3839">
        <f t="shared" si="433"/>
        <v>9643.98333333333</v>
      </c>
      <c r="X3839">
        <f t="shared" si="438"/>
        <v>0.649718821596353</v>
      </c>
      <c r="AH3839" t="str">
        <f t="shared" si="434"/>
        <v>3rd Quality</v>
      </c>
      <c r="AJ3839">
        <f>((T3839-X3839)*2)/6.7</f>
        <v>144.808772633212</v>
      </c>
      <c r="AK3839">
        <f t="shared" si="432"/>
        <v>545507.477321428</v>
      </c>
    </row>
    <row r="3840" spans="1:37">
      <c r="A3840" t="s">
        <v>3906</v>
      </c>
      <c r="B3840">
        <v>31</v>
      </c>
      <c r="C3840" t="s">
        <v>44</v>
      </c>
      <c r="D3840" t="s">
        <v>45</v>
      </c>
      <c r="E3840">
        <v>538</v>
      </c>
      <c r="F3840">
        <v>135</v>
      </c>
      <c r="G3840">
        <v>3</v>
      </c>
      <c r="H3840">
        <v>1629.3</v>
      </c>
      <c r="I3840">
        <v>4678.34</v>
      </c>
      <c r="J3840">
        <v>11</v>
      </c>
      <c r="K3840">
        <v>0</v>
      </c>
      <c r="L3840">
        <v>33.9</v>
      </c>
      <c r="M3840">
        <v>24</v>
      </c>
      <c r="N3840" t="s">
        <v>46</v>
      </c>
      <c r="O3840" t="s">
        <v>47</v>
      </c>
      <c r="P3840" t="s">
        <v>66</v>
      </c>
      <c r="R3840">
        <f>SUMIF(A3840:A8839,"C03839",I3840:I8839)</f>
        <v>4678.34</v>
      </c>
      <c r="S3840" s="1">
        <v>23669.88</v>
      </c>
      <c r="T3840">
        <f t="shared" si="436"/>
        <v>425.303636363636</v>
      </c>
      <c r="U3840">
        <f t="shared" si="435"/>
        <v>264</v>
      </c>
      <c r="V3840">
        <f t="shared" si="437"/>
        <v>22</v>
      </c>
      <c r="W3840">
        <f t="shared" si="433"/>
        <v>2102.88</v>
      </c>
      <c r="X3840">
        <f t="shared" si="438"/>
        <v>0.330203154729025</v>
      </c>
      <c r="AH3840" t="str">
        <f t="shared" si="434"/>
        <v>3rd Quality</v>
      </c>
      <c r="AJ3840">
        <f>((T3840-X3840)*2)/33.9</f>
        <v>25.072178950378</v>
      </c>
      <c r="AK3840">
        <f t="shared" si="432"/>
        <v>228813.356363636</v>
      </c>
    </row>
    <row r="3841" spans="1:37">
      <c r="A3841" t="s">
        <v>3907</v>
      </c>
      <c r="B3841">
        <v>47</v>
      </c>
      <c r="C3841" t="s">
        <v>50</v>
      </c>
      <c r="D3841" t="s">
        <v>60</v>
      </c>
      <c r="E3841">
        <v>546</v>
      </c>
      <c r="F3841">
        <v>55</v>
      </c>
      <c r="G3841">
        <v>10</v>
      </c>
      <c r="H3841">
        <v>1111.96</v>
      </c>
      <c r="I3841">
        <v>12193.34</v>
      </c>
      <c r="J3841">
        <v>35</v>
      </c>
      <c r="K3841">
        <v>0</v>
      </c>
      <c r="L3841">
        <v>20.2</v>
      </c>
      <c r="M3841">
        <v>28.8</v>
      </c>
      <c r="N3841" t="s">
        <v>57</v>
      </c>
      <c r="O3841" t="s">
        <v>53</v>
      </c>
      <c r="P3841" t="s">
        <v>58</v>
      </c>
      <c r="R3841">
        <f>SUMIF(A3841:A8840,"C03840",I3841:I8840)</f>
        <v>12193.34</v>
      </c>
      <c r="S3841" s="1">
        <v>34712.45</v>
      </c>
      <c r="T3841">
        <f t="shared" si="436"/>
        <v>348.381142857143</v>
      </c>
      <c r="U3841">
        <f t="shared" si="435"/>
        <v>1008</v>
      </c>
      <c r="V3841">
        <f t="shared" si="437"/>
        <v>84</v>
      </c>
      <c r="W3841">
        <f t="shared" si="433"/>
        <v>4435.43333333333</v>
      </c>
      <c r="X3841">
        <f t="shared" si="438"/>
        <v>0.491024857009245</v>
      </c>
      <c r="AH3841" t="str">
        <f t="shared" si="434"/>
        <v>3rd Quality</v>
      </c>
      <c r="AJ3841">
        <f>((T3841-X3841)*2)/20.2</f>
        <v>34.4445661386271</v>
      </c>
      <c r="AK3841">
        <f t="shared" si="432"/>
        <v>190216.104</v>
      </c>
    </row>
    <row r="3842" spans="1:37">
      <c r="A3842" t="s">
        <v>3908</v>
      </c>
      <c r="B3842">
        <v>19</v>
      </c>
      <c r="C3842" t="s">
        <v>50</v>
      </c>
      <c r="D3842" t="s">
        <v>45</v>
      </c>
      <c r="E3842">
        <v>710</v>
      </c>
      <c r="F3842">
        <v>49</v>
      </c>
      <c r="G3842">
        <v>4</v>
      </c>
      <c r="H3842">
        <v>705.72</v>
      </c>
      <c r="I3842">
        <v>2867.01</v>
      </c>
      <c r="J3842">
        <v>38</v>
      </c>
      <c r="K3842">
        <v>0</v>
      </c>
      <c r="L3842">
        <v>23.5</v>
      </c>
      <c r="M3842">
        <v>13</v>
      </c>
      <c r="N3842" t="s">
        <v>46</v>
      </c>
      <c r="O3842" t="s">
        <v>47</v>
      </c>
      <c r="P3842" t="s">
        <v>48</v>
      </c>
      <c r="R3842">
        <f>SUMIF(A3842:A8841,"C03841",I3842:I8841)</f>
        <v>2867.01</v>
      </c>
      <c r="S3842" s="1">
        <v>22556.09</v>
      </c>
      <c r="T3842">
        <f t="shared" si="436"/>
        <v>75.4476315789474</v>
      </c>
      <c r="U3842">
        <f t="shared" si="435"/>
        <v>494</v>
      </c>
      <c r="V3842">
        <f t="shared" si="437"/>
        <v>41.1666666666667</v>
      </c>
      <c r="W3842">
        <f t="shared" si="433"/>
        <v>1191.24333333333</v>
      </c>
      <c r="X3842">
        <f t="shared" si="438"/>
        <v>1.00606472822082</v>
      </c>
      <c r="AH3842" t="str">
        <f t="shared" si="434"/>
        <v>3rd Quality</v>
      </c>
      <c r="AJ3842">
        <f>((T3842-X3842)*2)/23.5</f>
        <v>6.33545249793418</v>
      </c>
      <c r="AK3842">
        <f t="shared" si="432"/>
        <v>53567.8184210526</v>
      </c>
    </row>
    <row r="3843" spans="1:37">
      <c r="A3843" t="s">
        <v>3909</v>
      </c>
      <c r="B3843">
        <v>43</v>
      </c>
      <c r="C3843" t="s">
        <v>44</v>
      </c>
      <c r="D3843" t="s">
        <v>60</v>
      </c>
      <c r="E3843">
        <v>1029</v>
      </c>
      <c r="F3843">
        <v>15</v>
      </c>
      <c r="G3843">
        <v>4</v>
      </c>
      <c r="H3843">
        <v>6421.41</v>
      </c>
      <c r="I3843">
        <v>23669.88</v>
      </c>
      <c r="J3843">
        <v>16</v>
      </c>
      <c r="K3843">
        <v>0</v>
      </c>
      <c r="L3843">
        <v>0</v>
      </c>
      <c r="M3843">
        <v>13.2</v>
      </c>
      <c r="N3843" t="s">
        <v>46</v>
      </c>
      <c r="O3843" t="s">
        <v>47</v>
      </c>
      <c r="P3843" t="s">
        <v>68</v>
      </c>
      <c r="R3843">
        <f>SUMIF(A3843:A8842,"C03842",I3843:I8842)</f>
        <v>23669.88</v>
      </c>
      <c r="S3843" s="1">
        <v>1162.08</v>
      </c>
      <c r="T3843">
        <f t="shared" si="436"/>
        <v>1479.3675</v>
      </c>
      <c r="U3843">
        <f t="shared" si="435"/>
        <v>211.2</v>
      </c>
      <c r="V3843">
        <f t="shared" si="437"/>
        <v>17.6</v>
      </c>
      <c r="W3843">
        <f t="shared" si="433"/>
        <v>10030.7633333333</v>
      </c>
      <c r="X3843">
        <f t="shared" si="438"/>
        <v>0.16024517979696</v>
      </c>
      <c r="AH3843" t="str">
        <f t="shared" si="434"/>
        <v>2nd Quality</v>
      </c>
      <c r="AJ3843">
        <f>((T3843-X3843)*2)</f>
        <v>2958.41450964041</v>
      </c>
      <c r="AK3843">
        <f t="shared" ref="AK3843:AK3906" si="439">I3843/J3843*E3843</f>
        <v>1522269.1575</v>
      </c>
    </row>
    <row r="3844" spans="1:37">
      <c r="A3844" t="s">
        <v>3910</v>
      </c>
      <c r="B3844">
        <v>18</v>
      </c>
      <c r="C3844" t="s">
        <v>56</v>
      </c>
      <c r="D3844" t="s">
        <v>60</v>
      </c>
      <c r="E3844">
        <v>1292</v>
      </c>
      <c r="F3844">
        <v>27</v>
      </c>
      <c r="G3844">
        <v>2</v>
      </c>
      <c r="H3844">
        <v>15976.25</v>
      </c>
      <c r="I3844">
        <v>34712.45</v>
      </c>
      <c r="J3844">
        <v>20</v>
      </c>
      <c r="K3844">
        <v>0</v>
      </c>
      <c r="L3844">
        <v>5.5</v>
      </c>
      <c r="M3844">
        <v>20</v>
      </c>
      <c r="N3844" t="s">
        <v>46</v>
      </c>
      <c r="O3844" t="s">
        <v>47</v>
      </c>
      <c r="P3844" t="s">
        <v>68</v>
      </c>
      <c r="R3844">
        <f>SUMIF(A3844:A8843,"C03843",I3844:I8843)</f>
        <v>34712.45</v>
      </c>
      <c r="S3844" s="1">
        <v>7556.53</v>
      </c>
      <c r="T3844">
        <f t="shared" si="436"/>
        <v>1735.6225</v>
      </c>
      <c r="U3844">
        <f t="shared" si="435"/>
        <v>400</v>
      </c>
      <c r="V3844">
        <f t="shared" si="437"/>
        <v>33.3333333333333</v>
      </c>
      <c r="W3844">
        <f t="shared" si="433"/>
        <v>16896.5666666667</v>
      </c>
      <c r="X3844">
        <f t="shared" si="438"/>
        <v>0.0808700414678038</v>
      </c>
      <c r="AH3844" t="str">
        <f t="shared" si="434"/>
        <v>1st Quality</v>
      </c>
      <c r="AJ3844">
        <f>((T3844-X3844)*2)/5.5</f>
        <v>631.106047257648</v>
      </c>
      <c r="AK3844">
        <f t="shared" si="439"/>
        <v>2242424.27</v>
      </c>
    </row>
    <row r="3845" spans="1:37">
      <c r="A3845" t="s">
        <v>3911</v>
      </c>
      <c r="B3845">
        <v>46</v>
      </c>
      <c r="C3845" t="s">
        <v>50</v>
      </c>
      <c r="D3845" t="s">
        <v>45</v>
      </c>
      <c r="E3845">
        <v>791</v>
      </c>
      <c r="F3845">
        <v>26</v>
      </c>
      <c r="G3845">
        <v>4</v>
      </c>
      <c r="H3845">
        <v>5622.61</v>
      </c>
      <c r="I3845">
        <v>22556.09</v>
      </c>
      <c r="J3845">
        <v>34</v>
      </c>
      <c r="K3845">
        <v>0</v>
      </c>
      <c r="L3845">
        <v>8.6</v>
      </c>
      <c r="M3845">
        <v>30.1</v>
      </c>
      <c r="N3845" t="s">
        <v>57</v>
      </c>
      <c r="O3845" t="s">
        <v>53</v>
      </c>
      <c r="P3845" t="s">
        <v>66</v>
      </c>
      <c r="R3845">
        <f>SUMIF(A3845:A8844,"C03844",I3845:I8844)</f>
        <v>22556.09</v>
      </c>
      <c r="S3845" s="1">
        <v>3098.54</v>
      </c>
      <c r="T3845">
        <f t="shared" si="436"/>
        <v>663.414411764706</v>
      </c>
      <c r="U3845">
        <f t="shared" si="435"/>
        <v>1023.4</v>
      </c>
      <c r="V3845">
        <f t="shared" si="437"/>
        <v>85.2833333333333</v>
      </c>
      <c r="W3845">
        <f t="shared" si="433"/>
        <v>9393.23333333333</v>
      </c>
      <c r="X3845">
        <f t="shared" si="438"/>
        <v>0.140681996439376</v>
      </c>
      <c r="AH3845" t="str">
        <f t="shared" si="434"/>
        <v>3rd Quality</v>
      </c>
      <c r="AJ3845">
        <f>((T3845-X3845)*2)/8.6</f>
        <v>154.249704597271</v>
      </c>
      <c r="AK3845">
        <f t="shared" si="439"/>
        <v>524760.799705882</v>
      </c>
    </row>
    <row r="3846" spans="1:37">
      <c r="A3846" t="s">
        <v>3912</v>
      </c>
      <c r="B3846">
        <v>60</v>
      </c>
      <c r="C3846" t="s">
        <v>50</v>
      </c>
      <c r="D3846" t="s">
        <v>60</v>
      </c>
      <c r="E3846">
        <v>680</v>
      </c>
      <c r="F3846">
        <v>45</v>
      </c>
      <c r="G3846">
        <v>1</v>
      </c>
      <c r="H3846">
        <v>1075.79</v>
      </c>
      <c r="I3846">
        <v>1162.08</v>
      </c>
      <c r="J3846">
        <v>12</v>
      </c>
      <c r="K3846">
        <v>0</v>
      </c>
      <c r="L3846">
        <v>13.6</v>
      </c>
      <c r="M3846">
        <v>43.3</v>
      </c>
      <c r="N3846" t="s">
        <v>81</v>
      </c>
      <c r="O3846" t="s">
        <v>53</v>
      </c>
      <c r="P3846" t="s">
        <v>48</v>
      </c>
      <c r="R3846">
        <f>SUMIF(A3846:A8845,"C03845",I3846:I8845)</f>
        <v>1162.08</v>
      </c>
      <c r="S3846" s="1">
        <v>4923.9</v>
      </c>
      <c r="T3846">
        <f t="shared" si="436"/>
        <v>96.84</v>
      </c>
      <c r="U3846">
        <f t="shared" si="435"/>
        <v>519.6</v>
      </c>
      <c r="V3846">
        <f t="shared" si="437"/>
        <v>43.3</v>
      </c>
      <c r="W3846">
        <f t="shared" si="433"/>
        <v>746.29</v>
      </c>
      <c r="X3846">
        <f t="shared" si="438"/>
        <v>0.63209362422034</v>
      </c>
      <c r="AH3846" t="str">
        <f t="shared" si="434"/>
        <v>3rd Quality</v>
      </c>
      <c r="AJ3846">
        <f>((T3846-X3846)*2)/13.6</f>
        <v>14.1482215258499</v>
      </c>
      <c r="AK3846">
        <f t="shared" si="439"/>
        <v>65851.2</v>
      </c>
    </row>
    <row r="3847" spans="1:37">
      <c r="A3847" t="s">
        <v>3913</v>
      </c>
      <c r="B3847">
        <v>36</v>
      </c>
      <c r="C3847" t="s">
        <v>44</v>
      </c>
      <c r="D3847" t="s">
        <v>60</v>
      </c>
      <c r="E3847">
        <v>704</v>
      </c>
      <c r="F3847">
        <v>43</v>
      </c>
      <c r="G3847">
        <v>1</v>
      </c>
      <c r="H3847">
        <v>8406.43</v>
      </c>
      <c r="I3847">
        <v>7556.53</v>
      </c>
      <c r="J3847">
        <v>8</v>
      </c>
      <c r="K3847">
        <v>0</v>
      </c>
      <c r="L3847">
        <v>0.4</v>
      </c>
      <c r="M3847">
        <v>37.7</v>
      </c>
      <c r="N3847" t="s">
        <v>46</v>
      </c>
      <c r="O3847" t="s">
        <v>47</v>
      </c>
      <c r="P3847" t="s">
        <v>68</v>
      </c>
      <c r="R3847">
        <f>SUMIF(A3847:A8846,"C03846",I3847:I8846)</f>
        <v>7556.53</v>
      </c>
      <c r="S3847" s="1">
        <v>11435.9</v>
      </c>
      <c r="T3847">
        <f t="shared" si="436"/>
        <v>944.56625</v>
      </c>
      <c r="U3847">
        <f t="shared" si="435"/>
        <v>301.6</v>
      </c>
      <c r="V3847">
        <f t="shared" si="437"/>
        <v>25.1333333333333</v>
      </c>
      <c r="W3847">
        <f t="shared" si="433"/>
        <v>5321.32</v>
      </c>
      <c r="X3847">
        <f t="shared" si="438"/>
        <v>0.0837454186854586</v>
      </c>
      <c r="AH3847" t="str">
        <f t="shared" si="434"/>
        <v>3rd Quality</v>
      </c>
      <c r="AJ3847">
        <f>((T3847-X3847)*2)/0.4</f>
        <v>4722.41252290657</v>
      </c>
      <c r="AK3847">
        <f t="shared" si="439"/>
        <v>664974.64</v>
      </c>
    </row>
    <row r="3848" spans="1:37">
      <c r="A3848" t="s">
        <v>3914</v>
      </c>
      <c r="B3848">
        <v>36</v>
      </c>
      <c r="C3848" t="s">
        <v>44</v>
      </c>
      <c r="D3848" t="s">
        <v>51</v>
      </c>
      <c r="E3848">
        <v>1213</v>
      </c>
      <c r="F3848">
        <v>17</v>
      </c>
      <c r="G3848">
        <v>4</v>
      </c>
      <c r="H3848">
        <v>843.06</v>
      </c>
      <c r="I3848">
        <v>3098.54</v>
      </c>
      <c r="J3848">
        <v>13</v>
      </c>
      <c r="K3848">
        <v>0</v>
      </c>
      <c r="L3848">
        <v>21.1</v>
      </c>
      <c r="M3848">
        <v>21.2</v>
      </c>
      <c r="N3848" t="s">
        <v>57</v>
      </c>
      <c r="O3848" t="s">
        <v>75</v>
      </c>
      <c r="P3848" t="s">
        <v>58</v>
      </c>
      <c r="R3848">
        <f>SUMIF(A3848:A8847,"C03847",I3848:I8847)</f>
        <v>3098.54</v>
      </c>
      <c r="S3848" s="1">
        <v>21258.91</v>
      </c>
      <c r="T3848">
        <f t="shared" si="436"/>
        <v>238.349230769231</v>
      </c>
      <c r="U3848">
        <f t="shared" si="435"/>
        <v>275.6</v>
      </c>
      <c r="V3848">
        <f t="shared" si="437"/>
        <v>22.9666666666667</v>
      </c>
      <c r="W3848">
        <f t="shared" si="433"/>
        <v>1314.2</v>
      </c>
      <c r="X3848">
        <f t="shared" si="438"/>
        <v>1.4388062534102</v>
      </c>
      <c r="AH3848" t="str">
        <f t="shared" si="434"/>
        <v>3rd Quality</v>
      </c>
      <c r="AJ3848">
        <f>((T3848-X3848)*2)/21.1</f>
        <v>22.4559644090825</v>
      </c>
      <c r="AK3848">
        <f t="shared" si="439"/>
        <v>289117.616923077</v>
      </c>
    </row>
    <row r="3849" spans="1:37">
      <c r="A3849" t="s">
        <v>3915</v>
      </c>
      <c r="B3849">
        <v>52</v>
      </c>
      <c r="C3849" t="s">
        <v>44</v>
      </c>
      <c r="D3849" t="s">
        <v>51</v>
      </c>
      <c r="E3849">
        <v>969</v>
      </c>
      <c r="F3849">
        <v>44</v>
      </c>
      <c r="G3849">
        <v>5</v>
      </c>
      <c r="H3849">
        <v>1091.73</v>
      </c>
      <c r="I3849">
        <v>4923.9</v>
      </c>
      <c r="J3849">
        <v>35</v>
      </c>
      <c r="K3849">
        <v>0</v>
      </c>
      <c r="L3849">
        <v>26.4</v>
      </c>
      <c r="M3849">
        <v>35.7</v>
      </c>
      <c r="N3849" t="s">
        <v>52</v>
      </c>
      <c r="O3849" t="s">
        <v>47</v>
      </c>
      <c r="P3849" t="s">
        <v>66</v>
      </c>
      <c r="R3849">
        <f>SUMIF(A3849:A8848,"C03848",I3849:I8848)</f>
        <v>4923.9</v>
      </c>
      <c r="S3849" s="1">
        <v>12311.21</v>
      </c>
      <c r="T3849">
        <f t="shared" si="436"/>
        <v>140.682857142857</v>
      </c>
      <c r="U3849">
        <f t="shared" si="435"/>
        <v>1249.5</v>
      </c>
      <c r="V3849">
        <f t="shared" si="437"/>
        <v>104.125</v>
      </c>
      <c r="W3849">
        <f t="shared" ref="W3849:W3912" si="440">(H3849+I3849+1)/3</f>
        <v>2005.54333333333</v>
      </c>
      <c r="X3849">
        <f t="shared" si="438"/>
        <v>0.887582094473908</v>
      </c>
      <c r="AH3849" t="str">
        <f t="shared" si="434"/>
        <v>3rd Quality</v>
      </c>
      <c r="AJ3849">
        <f>((T3849-X3849)*2)/26.4</f>
        <v>10.590551140029</v>
      </c>
      <c r="AK3849">
        <f t="shared" si="439"/>
        <v>136321.688571429</v>
      </c>
    </row>
    <row r="3850" spans="1:37">
      <c r="A3850" t="s">
        <v>3916</v>
      </c>
      <c r="B3850">
        <v>33</v>
      </c>
      <c r="C3850" t="s">
        <v>50</v>
      </c>
      <c r="D3850" t="s">
        <v>60</v>
      </c>
      <c r="E3850">
        <v>1045</v>
      </c>
      <c r="F3850">
        <v>37</v>
      </c>
      <c r="G3850">
        <v>11</v>
      </c>
      <c r="H3850">
        <v>1044.33</v>
      </c>
      <c r="I3850">
        <v>11435.9</v>
      </c>
      <c r="J3850">
        <v>30</v>
      </c>
      <c r="K3850">
        <v>1</v>
      </c>
      <c r="L3850">
        <v>14.2</v>
      </c>
      <c r="M3850">
        <v>7.5</v>
      </c>
      <c r="N3850" t="s">
        <v>57</v>
      </c>
      <c r="O3850" t="s">
        <v>53</v>
      </c>
      <c r="P3850" t="s">
        <v>58</v>
      </c>
      <c r="R3850">
        <f>SUMIF(A3850:A8849,"C03849",I3850:I8849)</f>
        <v>11435.9</v>
      </c>
      <c r="S3850" s="1">
        <v>6235.15</v>
      </c>
      <c r="T3850">
        <f t="shared" si="436"/>
        <v>381.196666666667</v>
      </c>
      <c r="U3850">
        <f t="shared" si="435"/>
        <v>225</v>
      </c>
      <c r="V3850">
        <f>U3850*1</f>
        <v>225</v>
      </c>
      <c r="W3850">
        <f t="shared" si="440"/>
        <v>4160.41</v>
      </c>
      <c r="X3850">
        <f t="shared" si="438"/>
        <v>1.00064155966026</v>
      </c>
      <c r="AH3850" t="str">
        <f t="shared" si="434"/>
        <v>3rd Quality</v>
      </c>
      <c r="AJ3850">
        <f>((T3850-X3850)*2)/14.2</f>
        <v>53.5487359305643</v>
      </c>
      <c r="AK3850">
        <f t="shared" si="439"/>
        <v>398350.516666667</v>
      </c>
    </row>
    <row r="3851" spans="1:37">
      <c r="A3851" t="s">
        <v>3917</v>
      </c>
      <c r="B3851">
        <v>18</v>
      </c>
      <c r="C3851" t="s">
        <v>50</v>
      </c>
      <c r="D3851" t="s">
        <v>60</v>
      </c>
      <c r="E3851">
        <v>616</v>
      </c>
      <c r="F3851">
        <v>51</v>
      </c>
      <c r="G3851">
        <v>9</v>
      </c>
      <c r="H3851">
        <v>2427.72</v>
      </c>
      <c r="I3851">
        <v>21258.91</v>
      </c>
      <c r="J3851">
        <v>61</v>
      </c>
      <c r="K3851">
        <v>1</v>
      </c>
      <c r="L3851">
        <v>14.2</v>
      </c>
      <c r="M3851">
        <v>44.3</v>
      </c>
      <c r="N3851" t="s">
        <v>81</v>
      </c>
      <c r="O3851" t="s">
        <v>75</v>
      </c>
      <c r="P3851" t="s">
        <v>58</v>
      </c>
      <c r="R3851">
        <f>SUMIF(A3851:A8850,"C03850",I3851:I8850)</f>
        <v>21258.91</v>
      </c>
      <c r="S3851" s="1">
        <v>8713.54</v>
      </c>
      <c r="T3851">
        <f t="shared" si="436"/>
        <v>348.506721311475</v>
      </c>
      <c r="U3851">
        <f t="shared" si="435"/>
        <v>2702.3</v>
      </c>
      <c r="V3851">
        <f>U3851*1</f>
        <v>2702.3</v>
      </c>
      <c r="W3851">
        <f t="shared" si="440"/>
        <v>7895.87666666667</v>
      </c>
      <c r="X3851">
        <f t="shared" si="438"/>
        <v>0.253736015685499</v>
      </c>
      <c r="AH3851" t="str">
        <f t="shared" si="434"/>
        <v>2nd Quality</v>
      </c>
      <c r="AJ3851">
        <f>((T3851-X3851)*2)/14.2</f>
        <v>49.0497162388436</v>
      </c>
      <c r="AK3851">
        <f t="shared" si="439"/>
        <v>214680.140327869</v>
      </c>
    </row>
    <row r="3852" spans="1:37">
      <c r="A3852" t="s">
        <v>3918</v>
      </c>
      <c r="B3852">
        <v>37</v>
      </c>
      <c r="C3852" t="s">
        <v>50</v>
      </c>
      <c r="D3852" t="s">
        <v>60</v>
      </c>
      <c r="E3852">
        <v>1070</v>
      </c>
      <c r="F3852">
        <v>16</v>
      </c>
      <c r="G3852">
        <v>12</v>
      </c>
      <c r="H3852">
        <v>1047.04</v>
      </c>
      <c r="I3852">
        <v>12311.21</v>
      </c>
      <c r="J3852">
        <v>75</v>
      </c>
      <c r="K3852">
        <v>4</v>
      </c>
      <c r="L3852">
        <v>18.6</v>
      </c>
      <c r="M3852">
        <v>20.4</v>
      </c>
      <c r="N3852" t="s">
        <v>81</v>
      </c>
      <c r="O3852" t="s">
        <v>75</v>
      </c>
      <c r="P3852" t="s">
        <v>58</v>
      </c>
      <c r="R3852">
        <f>SUMIF(A3852:A8851,"C03851",I3852:I8851)</f>
        <v>12311.21</v>
      </c>
      <c r="S3852" s="1">
        <v>6841.55</v>
      </c>
      <c r="T3852">
        <f t="shared" si="436"/>
        <v>164.149466666667</v>
      </c>
      <c r="U3852">
        <f t="shared" si="435"/>
        <v>1530</v>
      </c>
      <c r="V3852">
        <f>U3852*4</f>
        <v>6120</v>
      </c>
      <c r="W3852">
        <f t="shared" si="440"/>
        <v>4453.08333333333</v>
      </c>
      <c r="X3852">
        <f t="shared" si="438"/>
        <v>1.02192848410758</v>
      </c>
      <c r="AH3852" t="str">
        <f t="shared" si="434"/>
        <v>3rd Quality</v>
      </c>
      <c r="AJ3852">
        <f>((T3852-X3852)*2)/18.6</f>
        <v>17.540595503501</v>
      </c>
      <c r="AK3852">
        <f t="shared" si="439"/>
        <v>175639.929333333</v>
      </c>
    </row>
    <row r="3853" spans="1:37">
      <c r="A3853" t="s">
        <v>3919</v>
      </c>
      <c r="B3853">
        <v>24</v>
      </c>
      <c r="C3853" t="s">
        <v>50</v>
      </c>
      <c r="D3853" t="s">
        <v>51</v>
      </c>
      <c r="E3853">
        <v>707</v>
      </c>
      <c r="F3853">
        <v>29</v>
      </c>
      <c r="G3853">
        <v>7</v>
      </c>
      <c r="H3853">
        <v>920.21</v>
      </c>
      <c r="I3853">
        <v>6235.15</v>
      </c>
      <c r="J3853">
        <v>51</v>
      </c>
      <c r="K3853">
        <v>0</v>
      </c>
      <c r="L3853">
        <v>35.2</v>
      </c>
      <c r="M3853">
        <v>18.2</v>
      </c>
      <c r="N3853" t="s">
        <v>46</v>
      </c>
      <c r="O3853" t="s">
        <v>47</v>
      </c>
      <c r="P3853" t="s">
        <v>68</v>
      </c>
      <c r="R3853">
        <f>SUMIF(A3853:A8852,"C03852",I3853:I8852)</f>
        <v>6235.15</v>
      </c>
      <c r="S3853" s="1">
        <v>22383.61</v>
      </c>
      <c r="T3853">
        <f t="shared" si="436"/>
        <v>122.257843137255</v>
      </c>
      <c r="U3853">
        <f t="shared" si="435"/>
        <v>928.2</v>
      </c>
      <c r="V3853">
        <f t="shared" si="437"/>
        <v>77.35</v>
      </c>
      <c r="W3853">
        <f t="shared" si="440"/>
        <v>2385.45333333333</v>
      </c>
      <c r="X3853">
        <f t="shared" si="438"/>
        <v>0.768302887384401</v>
      </c>
      <c r="AH3853" t="str">
        <f t="shared" si="434"/>
        <v>3rd Quality</v>
      </c>
      <c r="AJ3853">
        <f>((T3853-X3853)*2)/35.2</f>
        <v>6.90281478692446</v>
      </c>
      <c r="AK3853">
        <f t="shared" si="439"/>
        <v>86436.2950980392</v>
      </c>
    </row>
    <row r="3854" spans="1:37">
      <c r="A3854" t="s">
        <v>3920</v>
      </c>
      <c r="B3854">
        <v>32</v>
      </c>
      <c r="C3854" t="s">
        <v>44</v>
      </c>
      <c r="D3854" t="s">
        <v>60</v>
      </c>
      <c r="E3854">
        <v>1336</v>
      </c>
      <c r="F3854">
        <v>23</v>
      </c>
      <c r="G3854">
        <v>10</v>
      </c>
      <c r="H3854">
        <v>887.51</v>
      </c>
      <c r="I3854">
        <v>8713.54</v>
      </c>
      <c r="J3854">
        <v>90</v>
      </c>
      <c r="K3854">
        <v>1</v>
      </c>
      <c r="L3854">
        <v>38.3</v>
      </c>
      <c r="M3854">
        <v>6.2</v>
      </c>
      <c r="N3854" t="s">
        <v>46</v>
      </c>
      <c r="O3854" t="s">
        <v>75</v>
      </c>
      <c r="P3854" t="s">
        <v>68</v>
      </c>
      <c r="R3854">
        <f>SUMIF(A3854:A8853,"C03853",I3854:I8853)</f>
        <v>8713.54</v>
      </c>
      <c r="S3854" s="1">
        <v>112509.17</v>
      </c>
      <c r="T3854">
        <f t="shared" si="436"/>
        <v>96.8171111111111</v>
      </c>
      <c r="U3854">
        <f t="shared" si="435"/>
        <v>558</v>
      </c>
      <c r="V3854">
        <f>U3854*1</f>
        <v>558</v>
      </c>
      <c r="W3854">
        <f t="shared" si="440"/>
        <v>3200.68333333333</v>
      </c>
      <c r="X3854">
        <f t="shared" si="438"/>
        <v>1.50533515115323</v>
      </c>
      <c r="AH3854" t="str">
        <f t="shared" ref="AH3854:AH3917" si="441">IF(AND(W3854&gt;=12550,B3854&lt;=33,E3854&gt;=915),"1st Quality",IF(AND(W3854&gt;=6275,B3854&lt;=43,E3854&gt;=457),"2nd Quality","3rd Quality"))</f>
        <v>3rd Quality</v>
      </c>
      <c r="AJ3854">
        <f>((T3854-X3854)*2)/38.3</f>
        <v>4.9771162381179</v>
      </c>
      <c r="AK3854">
        <f t="shared" si="439"/>
        <v>129347.660444444</v>
      </c>
    </row>
    <row r="3855" spans="1:37">
      <c r="A3855" t="s">
        <v>3921</v>
      </c>
      <c r="B3855">
        <v>22</v>
      </c>
      <c r="C3855" t="s">
        <v>50</v>
      </c>
      <c r="D3855" t="s">
        <v>45</v>
      </c>
      <c r="E3855">
        <v>942</v>
      </c>
      <c r="F3855">
        <v>1</v>
      </c>
      <c r="G3855">
        <v>7</v>
      </c>
      <c r="H3855">
        <v>1006.04</v>
      </c>
      <c r="I3855">
        <v>6841.55</v>
      </c>
      <c r="J3855">
        <v>66</v>
      </c>
      <c r="K3855">
        <v>1</v>
      </c>
      <c r="L3855">
        <v>30.2</v>
      </c>
      <c r="M3855">
        <v>41.3</v>
      </c>
      <c r="N3855" t="s">
        <v>46</v>
      </c>
      <c r="O3855" t="s">
        <v>75</v>
      </c>
      <c r="P3855" t="s">
        <v>58</v>
      </c>
      <c r="R3855">
        <f>SUMIF(A3855:A8854,"C03854",I3855:I8854)</f>
        <v>6841.55</v>
      </c>
      <c r="S3855" s="1">
        <v>632.59</v>
      </c>
      <c r="T3855">
        <f t="shared" si="436"/>
        <v>103.659848484848</v>
      </c>
      <c r="U3855">
        <f t="shared" si="435"/>
        <v>2725.8</v>
      </c>
      <c r="V3855">
        <f>U3855*1</f>
        <v>2725.8</v>
      </c>
      <c r="W3855">
        <f t="shared" si="440"/>
        <v>2616.19666666667</v>
      </c>
      <c r="X3855">
        <f t="shared" si="438"/>
        <v>0.936344479344758</v>
      </c>
      <c r="AH3855" t="str">
        <f t="shared" si="441"/>
        <v>3rd Quality</v>
      </c>
      <c r="AJ3855">
        <f>((T3855-X3855)*2)/30.2</f>
        <v>6.8028810599671</v>
      </c>
      <c r="AK3855">
        <f t="shared" si="439"/>
        <v>97647.5772727273</v>
      </c>
    </row>
    <row r="3856" spans="1:37">
      <c r="A3856" t="s">
        <v>3922</v>
      </c>
      <c r="B3856">
        <v>51</v>
      </c>
      <c r="C3856" t="s">
        <v>50</v>
      </c>
      <c r="D3856" t="s">
        <v>51</v>
      </c>
      <c r="E3856">
        <v>539</v>
      </c>
      <c r="F3856">
        <v>20</v>
      </c>
      <c r="G3856">
        <v>4</v>
      </c>
      <c r="H3856">
        <v>6093.64</v>
      </c>
      <c r="I3856">
        <v>22383.61</v>
      </c>
      <c r="J3856">
        <v>18</v>
      </c>
      <c r="K3856">
        <v>1</v>
      </c>
      <c r="L3856">
        <v>10.5</v>
      </c>
      <c r="M3856">
        <v>17.4</v>
      </c>
      <c r="N3856" t="s">
        <v>81</v>
      </c>
      <c r="O3856" t="s">
        <v>47</v>
      </c>
      <c r="P3856" t="s">
        <v>58</v>
      </c>
      <c r="R3856">
        <f>SUMIF(A3856:A8855,"C03855",I3856:I8855)</f>
        <v>22383.61</v>
      </c>
      <c r="S3856" s="1">
        <v>2871.51</v>
      </c>
      <c r="T3856">
        <f t="shared" si="436"/>
        <v>1243.53388888889</v>
      </c>
      <c r="U3856">
        <f t="shared" si="435"/>
        <v>313.2</v>
      </c>
      <c r="V3856">
        <f>U3856*1</f>
        <v>313.2</v>
      </c>
      <c r="W3856">
        <f t="shared" si="440"/>
        <v>9492.75</v>
      </c>
      <c r="X3856">
        <f t="shared" si="438"/>
        <v>0.0884528787391444</v>
      </c>
      <c r="AH3856" t="str">
        <f t="shared" si="441"/>
        <v>3rd Quality</v>
      </c>
      <c r="AJ3856">
        <f>((T3856-X3856)*2)/10.5</f>
        <v>236.846749716219</v>
      </c>
      <c r="AK3856">
        <f t="shared" si="439"/>
        <v>670264.766111111</v>
      </c>
    </row>
    <row r="3857" spans="1:37">
      <c r="A3857" t="s">
        <v>3923</v>
      </c>
      <c r="B3857">
        <v>39</v>
      </c>
      <c r="C3857" t="s">
        <v>101</v>
      </c>
      <c r="D3857" t="s">
        <v>45</v>
      </c>
      <c r="E3857">
        <v>1087</v>
      </c>
      <c r="F3857">
        <v>3</v>
      </c>
      <c r="G3857">
        <v>26</v>
      </c>
      <c r="H3857">
        <v>4256.7</v>
      </c>
      <c r="I3857">
        <v>112509.17</v>
      </c>
      <c r="J3857">
        <v>194</v>
      </c>
      <c r="K3857">
        <v>2</v>
      </c>
      <c r="L3857">
        <v>0</v>
      </c>
      <c r="M3857">
        <v>11.6</v>
      </c>
      <c r="N3857" t="s">
        <v>63</v>
      </c>
      <c r="O3857" t="s">
        <v>47</v>
      </c>
      <c r="P3857" t="s">
        <v>68</v>
      </c>
      <c r="R3857">
        <f>SUMIF(A3857:A8856,"C03856",I3857:I8856)</f>
        <v>112509.17</v>
      </c>
      <c r="S3857" s="1">
        <v>1044</v>
      </c>
      <c r="T3857">
        <f t="shared" si="436"/>
        <v>579.944175257732</v>
      </c>
      <c r="U3857">
        <f t="shared" si="435"/>
        <v>2250.4</v>
      </c>
      <c r="V3857">
        <f>U3857*2</f>
        <v>4500.8</v>
      </c>
      <c r="W3857">
        <f t="shared" si="440"/>
        <v>38922.29</v>
      </c>
      <c r="X3857">
        <f t="shared" si="438"/>
        <v>0.255362134987197</v>
      </c>
      <c r="AH3857" t="str">
        <f t="shared" si="441"/>
        <v>2nd Quality</v>
      </c>
      <c r="AJ3857">
        <f>((T3857-X3857)*2)</f>
        <v>1159.37762624549</v>
      </c>
      <c r="AK3857">
        <f t="shared" si="439"/>
        <v>630399.318505155</v>
      </c>
    </row>
    <row r="3858" spans="1:37">
      <c r="A3858" t="s">
        <v>3924</v>
      </c>
      <c r="B3858">
        <v>29</v>
      </c>
      <c r="C3858" t="s">
        <v>44</v>
      </c>
      <c r="D3858" t="s">
        <v>45</v>
      </c>
      <c r="E3858">
        <v>399</v>
      </c>
      <c r="F3858">
        <v>84</v>
      </c>
      <c r="G3858">
        <v>1</v>
      </c>
      <c r="H3858">
        <v>581.1</v>
      </c>
      <c r="I3858">
        <v>632.59</v>
      </c>
      <c r="J3858">
        <v>14</v>
      </c>
      <c r="K3858">
        <v>0</v>
      </c>
      <c r="L3858">
        <v>47.7</v>
      </c>
      <c r="M3858">
        <v>3</v>
      </c>
      <c r="N3858" t="s">
        <v>57</v>
      </c>
      <c r="O3858" t="s">
        <v>47</v>
      </c>
      <c r="P3858" t="s">
        <v>58</v>
      </c>
      <c r="R3858">
        <f>SUMIF(A3858:A8857,"C03857",I3858:I8857)</f>
        <v>632.59</v>
      </c>
      <c r="S3858" s="1">
        <v>58126.16</v>
      </c>
      <c r="T3858">
        <f t="shared" si="436"/>
        <v>45.185</v>
      </c>
      <c r="U3858">
        <f t="shared" si="435"/>
        <v>42</v>
      </c>
      <c r="V3858">
        <f t="shared" si="437"/>
        <v>3.5</v>
      </c>
      <c r="W3858">
        <f t="shared" si="440"/>
        <v>404.896666666667</v>
      </c>
      <c r="X3858">
        <f t="shared" si="438"/>
        <v>0.686628807434177</v>
      </c>
      <c r="AH3858" t="str">
        <f t="shared" si="441"/>
        <v>3rd Quality</v>
      </c>
      <c r="AJ3858">
        <f>((T3858-X3858)*2)/47.7</f>
        <v>1.86575979843043</v>
      </c>
      <c r="AK3858">
        <f t="shared" si="439"/>
        <v>18028.815</v>
      </c>
    </row>
    <row r="3859" spans="1:37">
      <c r="A3859" t="s">
        <v>3925</v>
      </c>
      <c r="B3859">
        <v>40</v>
      </c>
      <c r="C3859" t="s">
        <v>44</v>
      </c>
      <c r="D3859" t="s">
        <v>45</v>
      </c>
      <c r="E3859">
        <v>1282</v>
      </c>
      <c r="F3859">
        <v>11</v>
      </c>
      <c r="G3859">
        <v>2</v>
      </c>
      <c r="H3859">
        <v>1283.55</v>
      </c>
      <c r="I3859">
        <v>2871.51</v>
      </c>
      <c r="J3859">
        <v>24</v>
      </c>
      <c r="K3859">
        <v>0</v>
      </c>
      <c r="L3859">
        <v>24.7</v>
      </c>
      <c r="M3859">
        <v>33.2</v>
      </c>
      <c r="N3859" t="s">
        <v>57</v>
      </c>
      <c r="O3859" t="s">
        <v>47</v>
      </c>
      <c r="P3859" t="s">
        <v>66</v>
      </c>
      <c r="R3859">
        <f>SUMIF(A3859:A8858,"C03858",I3859:I8858)</f>
        <v>2871.51</v>
      </c>
      <c r="S3859" s="1">
        <v>9639.53</v>
      </c>
      <c r="T3859">
        <f t="shared" si="436"/>
        <v>119.64625</v>
      </c>
      <c r="U3859">
        <f t="shared" si="435"/>
        <v>796.8</v>
      </c>
      <c r="V3859">
        <f t="shared" si="437"/>
        <v>66.4</v>
      </c>
      <c r="W3859">
        <f t="shared" si="440"/>
        <v>1385.35333333333</v>
      </c>
      <c r="X3859">
        <f t="shared" si="438"/>
        <v>0.998792411670757</v>
      </c>
      <c r="AH3859" t="str">
        <f t="shared" si="441"/>
        <v>3rd Quality</v>
      </c>
      <c r="AJ3859">
        <f>((T3859-X3859)*2)/24.7</f>
        <v>9.60708158609953</v>
      </c>
      <c r="AK3859">
        <f t="shared" si="439"/>
        <v>153386.4925</v>
      </c>
    </row>
    <row r="3860" spans="1:37">
      <c r="A3860" t="s">
        <v>3926</v>
      </c>
      <c r="B3860">
        <v>33</v>
      </c>
      <c r="C3860" t="s">
        <v>101</v>
      </c>
      <c r="D3860" t="s">
        <v>45</v>
      </c>
      <c r="E3860">
        <v>813</v>
      </c>
      <c r="F3860">
        <v>59</v>
      </c>
      <c r="G3860">
        <v>2</v>
      </c>
      <c r="H3860">
        <v>574.79</v>
      </c>
      <c r="I3860">
        <v>1044</v>
      </c>
      <c r="J3860">
        <v>10</v>
      </c>
      <c r="K3860">
        <v>1</v>
      </c>
      <c r="L3860">
        <v>21.3</v>
      </c>
      <c r="M3860">
        <v>38.8</v>
      </c>
      <c r="N3860" t="s">
        <v>63</v>
      </c>
      <c r="O3860" t="s">
        <v>75</v>
      </c>
      <c r="P3860" t="s">
        <v>48</v>
      </c>
      <c r="R3860">
        <f>SUMIF(A3860:A8859,"C03859",I3860:I8859)</f>
        <v>1044</v>
      </c>
      <c r="S3860" s="1">
        <v>155435.57</v>
      </c>
      <c r="T3860">
        <f t="shared" si="436"/>
        <v>104.4</v>
      </c>
      <c r="U3860">
        <f t="shared" si="435"/>
        <v>388</v>
      </c>
      <c r="V3860">
        <f>U3860*1</f>
        <v>388</v>
      </c>
      <c r="W3860">
        <f t="shared" si="440"/>
        <v>539.93</v>
      </c>
      <c r="X3860">
        <f t="shared" si="438"/>
        <v>1.41442961777345</v>
      </c>
      <c r="AH3860" t="str">
        <f t="shared" si="441"/>
        <v>3rd Quality</v>
      </c>
      <c r="AJ3860">
        <f>((T3860-X3860)*2)/21.3</f>
        <v>9.67000660865977</v>
      </c>
      <c r="AK3860">
        <f t="shared" si="439"/>
        <v>84877.2</v>
      </c>
    </row>
    <row r="3861" spans="1:37">
      <c r="A3861" t="s">
        <v>3927</v>
      </c>
      <c r="B3861">
        <v>51</v>
      </c>
      <c r="C3861" t="s">
        <v>50</v>
      </c>
      <c r="D3861" t="s">
        <v>60</v>
      </c>
      <c r="E3861">
        <v>1269</v>
      </c>
      <c r="F3861">
        <v>8</v>
      </c>
      <c r="G3861">
        <v>29</v>
      </c>
      <c r="H3861">
        <v>2047.98</v>
      </c>
      <c r="I3861">
        <v>58126.16</v>
      </c>
      <c r="J3861">
        <v>61</v>
      </c>
      <c r="K3861">
        <v>2</v>
      </c>
      <c r="L3861">
        <v>27.8</v>
      </c>
      <c r="M3861">
        <v>18.9</v>
      </c>
      <c r="N3861" t="s">
        <v>57</v>
      </c>
      <c r="O3861" t="s">
        <v>75</v>
      </c>
      <c r="P3861" t="s">
        <v>58</v>
      </c>
      <c r="R3861">
        <f>SUMIF(A3861:A8860,"C03860",I3861:I8860)</f>
        <v>58126.16</v>
      </c>
      <c r="S3861" s="1">
        <v>6652.91</v>
      </c>
      <c r="T3861">
        <f t="shared" si="436"/>
        <v>952.887868852459</v>
      </c>
      <c r="U3861">
        <f t="shared" si="435"/>
        <v>1152.9</v>
      </c>
      <c r="V3861">
        <f>U3861*2</f>
        <v>2305.8</v>
      </c>
      <c r="W3861">
        <f t="shared" si="440"/>
        <v>20058.38</v>
      </c>
      <c r="X3861">
        <f t="shared" si="438"/>
        <v>0.619634957372631</v>
      </c>
      <c r="AH3861" t="str">
        <f t="shared" si="441"/>
        <v>3rd Quality</v>
      </c>
      <c r="AJ3861">
        <f>((T3861-X3861)*2)/27.8</f>
        <v>68.5085060356177</v>
      </c>
      <c r="AK3861">
        <f t="shared" si="439"/>
        <v>1209214.70557377</v>
      </c>
    </row>
    <row r="3862" spans="1:37">
      <c r="A3862" t="s">
        <v>3928</v>
      </c>
      <c r="B3862">
        <v>39</v>
      </c>
      <c r="C3862" t="s">
        <v>50</v>
      </c>
      <c r="D3862" t="s">
        <v>60</v>
      </c>
      <c r="E3862">
        <v>1395</v>
      </c>
      <c r="F3862">
        <v>34</v>
      </c>
      <c r="G3862">
        <v>5</v>
      </c>
      <c r="H3862">
        <v>2055.64</v>
      </c>
      <c r="I3862">
        <v>9639.53</v>
      </c>
      <c r="J3862">
        <v>20</v>
      </c>
      <c r="K3862">
        <v>0</v>
      </c>
      <c r="L3862">
        <v>21.3</v>
      </c>
      <c r="M3862">
        <v>7.2</v>
      </c>
      <c r="N3862" t="s">
        <v>78</v>
      </c>
      <c r="O3862" t="s">
        <v>47</v>
      </c>
      <c r="P3862" t="s">
        <v>58</v>
      </c>
      <c r="R3862">
        <f>SUMIF(A3862:A8861,"C03861",I3862:I8861)</f>
        <v>9639.53</v>
      </c>
      <c r="S3862" s="1">
        <v>1683.59</v>
      </c>
      <c r="T3862">
        <f t="shared" si="436"/>
        <v>481.9765</v>
      </c>
      <c r="U3862">
        <f t="shared" si="435"/>
        <v>144</v>
      </c>
      <c r="V3862">
        <f t="shared" si="437"/>
        <v>12</v>
      </c>
      <c r="W3862">
        <f t="shared" si="440"/>
        <v>3898.72333333333</v>
      </c>
      <c r="X3862">
        <f t="shared" si="438"/>
        <v>0.678620770173766</v>
      </c>
      <c r="AH3862" t="str">
        <f t="shared" si="441"/>
        <v>3rd Quality</v>
      </c>
      <c r="AJ3862">
        <f>((T3862-X3862)*2)/21.3</f>
        <v>45.1922891295611</v>
      </c>
      <c r="AK3862">
        <f t="shared" si="439"/>
        <v>672357.2175</v>
      </c>
    </row>
    <row r="3863" spans="1:37">
      <c r="A3863" t="s">
        <v>3929</v>
      </c>
      <c r="B3863">
        <v>49</v>
      </c>
      <c r="C3863" t="s">
        <v>50</v>
      </c>
      <c r="D3863" t="s">
        <v>60</v>
      </c>
      <c r="E3863">
        <v>913</v>
      </c>
      <c r="F3863">
        <v>7</v>
      </c>
      <c r="G3863">
        <v>26</v>
      </c>
      <c r="H3863">
        <v>5883.82</v>
      </c>
      <c r="I3863">
        <v>155435.57</v>
      </c>
      <c r="J3863">
        <v>60</v>
      </c>
      <c r="K3863">
        <v>0</v>
      </c>
      <c r="L3863">
        <v>14.8</v>
      </c>
      <c r="M3863">
        <v>35</v>
      </c>
      <c r="N3863" t="s">
        <v>52</v>
      </c>
      <c r="O3863" t="s">
        <v>47</v>
      </c>
      <c r="P3863" t="s">
        <v>58</v>
      </c>
      <c r="R3863">
        <f>SUMIF(A3863:A8862,"C03862",I3863:I8862)</f>
        <v>155435.57</v>
      </c>
      <c r="S3863" s="1">
        <v>1131.55</v>
      </c>
      <c r="T3863">
        <f t="shared" si="436"/>
        <v>2590.59283333333</v>
      </c>
      <c r="U3863">
        <f t="shared" si="435"/>
        <v>2100</v>
      </c>
      <c r="V3863">
        <f t="shared" si="437"/>
        <v>175</v>
      </c>
      <c r="W3863">
        <f t="shared" si="440"/>
        <v>53773.4633333333</v>
      </c>
      <c r="X3863">
        <f t="shared" si="438"/>
        <v>0.155171300277711</v>
      </c>
      <c r="AH3863" t="str">
        <f t="shared" si="441"/>
        <v>3rd Quality</v>
      </c>
      <c r="AJ3863">
        <f>((T3863-X3863)*2)/14.8</f>
        <v>350.05914351798</v>
      </c>
      <c r="AK3863">
        <f t="shared" si="439"/>
        <v>2365211.25683333</v>
      </c>
    </row>
    <row r="3864" spans="1:37">
      <c r="A3864" t="s">
        <v>3930</v>
      </c>
      <c r="B3864">
        <v>27</v>
      </c>
      <c r="C3864" t="s">
        <v>50</v>
      </c>
      <c r="D3864" t="s">
        <v>60</v>
      </c>
      <c r="E3864">
        <v>491</v>
      </c>
      <c r="F3864">
        <v>188</v>
      </c>
      <c r="G3864">
        <v>5</v>
      </c>
      <c r="H3864">
        <v>1376.72</v>
      </c>
      <c r="I3864">
        <v>6652.91</v>
      </c>
      <c r="J3864">
        <v>16</v>
      </c>
      <c r="K3864">
        <v>0</v>
      </c>
      <c r="L3864">
        <v>26.8</v>
      </c>
      <c r="M3864">
        <v>31.9</v>
      </c>
      <c r="N3864" t="s">
        <v>78</v>
      </c>
      <c r="O3864" t="s">
        <v>47</v>
      </c>
      <c r="P3864" t="s">
        <v>66</v>
      </c>
      <c r="R3864">
        <f>SUMIF(A3864:A8863,"C03863",I3864:I8863)</f>
        <v>6652.91</v>
      </c>
      <c r="S3864" s="1">
        <v>27428.62</v>
      </c>
      <c r="T3864">
        <f t="shared" si="436"/>
        <v>415.806875</v>
      </c>
      <c r="U3864">
        <f t="shared" si="435"/>
        <v>510.4</v>
      </c>
      <c r="V3864">
        <f t="shared" si="437"/>
        <v>42.5333333333333</v>
      </c>
      <c r="W3864">
        <f t="shared" si="440"/>
        <v>2676.87666666667</v>
      </c>
      <c r="X3864">
        <f t="shared" si="438"/>
        <v>0.356644778894764</v>
      </c>
      <c r="AH3864" t="str">
        <f t="shared" si="441"/>
        <v>3rd Quality</v>
      </c>
      <c r="AJ3864">
        <f>((T3864-X3864)*2)/26.8</f>
        <v>31.0037485239631</v>
      </c>
      <c r="AK3864">
        <f t="shared" si="439"/>
        <v>204161.175625</v>
      </c>
    </row>
    <row r="3865" spans="1:37">
      <c r="A3865" t="s">
        <v>3931</v>
      </c>
      <c r="B3865">
        <v>36</v>
      </c>
      <c r="C3865" t="s">
        <v>50</v>
      </c>
      <c r="D3865" t="s">
        <v>60</v>
      </c>
      <c r="E3865">
        <v>450</v>
      </c>
      <c r="F3865">
        <v>39</v>
      </c>
      <c r="G3865">
        <v>2</v>
      </c>
      <c r="H3865">
        <v>771.82</v>
      </c>
      <c r="I3865">
        <v>1683.59</v>
      </c>
      <c r="J3865">
        <v>20</v>
      </c>
      <c r="K3865">
        <v>0</v>
      </c>
      <c r="L3865">
        <v>26</v>
      </c>
      <c r="M3865">
        <v>56.3</v>
      </c>
      <c r="N3865" t="s">
        <v>78</v>
      </c>
      <c r="O3865" t="s">
        <v>47</v>
      </c>
      <c r="P3865" t="s">
        <v>58</v>
      </c>
      <c r="R3865">
        <f>SUMIF(A3865:A8864,"C03864",I3865:I8864)</f>
        <v>1683.59</v>
      </c>
      <c r="S3865" s="1">
        <v>8327.62</v>
      </c>
      <c r="T3865">
        <f t="shared" si="436"/>
        <v>84.1795</v>
      </c>
      <c r="U3865">
        <f t="shared" si="435"/>
        <v>1126</v>
      </c>
      <c r="V3865">
        <f t="shared" si="437"/>
        <v>93.8333333333333</v>
      </c>
      <c r="W3865">
        <f t="shared" si="440"/>
        <v>818.803333333333</v>
      </c>
      <c r="X3865">
        <f t="shared" si="438"/>
        <v>0.583037495789174</v>
      </c>
      <c r="AH3865" t="str">
        <f t="shared" si="441"/>
        <v>3rd Quality</v>
      </c>
      <c r="AJ3865">
        <f>((T3865-X3865)*2)/26</f>
        <v>6.43049711570853</v>
      </c>
      <c r="AK3865">
        <f t="shared" si="439"/>
        <v>37880.775</v>
      </c>
    </row>
    <row r="3866" spans="1:37">
      <c r="A3866" t="s">
        <v>3932</v>
      </c>
      <c r="B3866">
        <v>45</v>
      </c>
      <c r="C3866" t="s">
        <v>44</v>
      </c>
      <c r="D3866" t="s">
        <v>60</v>
      </c>
      <c r="E3866">
        <v>717</v>
      </c>
      <c r="F3866">
        <v>286</v>
      </c>
      <c r="G3866">
        <v>1</v>
      </c>
      <c r="H3866">
        <v>1024.54</v>
      </c>
      <c r="I3866">
        <v>1131.55</v>
      </c>
      <c r="J3866">
        <v>12</v>
      </c>
      <c r="K3866">
        <v>0</v>
      </c>
      <c r="L3866">
        <v>21.8</v>
      </c>
      <c r="M3866">
        <v>15.8</v>
      </c>
      <c r="N3866" t="s">
        <v>78</v>
      </c>
      <c r="O3866" t="s">
        <v>47</v>
      </c>
      <c r="P3866" t="s">
        <v>58</v>
      </c>
      <c r="R3866">
        <f>SUMIF(A3866:A8865,"C03865",I3866:I8865)</f>
        <v>1131.55</v>
      </c>
      <c r="S3866" s="1">
        <v>7266.41</v>
      </c>
      <c r="T3866">
        <f t="shared" si="436"/>
        <v>94.2958333333333</v>
      </c>
      <c r="U3866">
        <f t="shared" si="435"/>
        <v>189.6</v>
      </c>
      <c r="V3866">
        <f t="shared" si="437"/>
        <v>15.8</v>
      </c>
      <c r="W3866">
        <f t="shared" si="440"/>
        <v>719.03</v>
      </c>
      <c r="X3866">
        <f t="shared" si="438"/>
        <v>0.699826263493861</v>
      </c>
      <c r="AH3866" t="str">
        <f t="shared" si="441"/>
        <v>3rd Quality</v>
      </c>
      <c r="AJ3866">
        <f>((T3866-X3866)*2)/21.8</f>
        <v>8.58678963943481</v>
      </c>
      <c r="AK3866">
        <f t="shared" si="439"/>
        <v>67610.1125</v>
      </c>
    </row>
    <row r="3867" spans="1:37">
      <c r="A3867" t="s">
        <v>3933</v>
      </c>
      <c r="B3867">
        <v>36</v>
      </c>
      <c r="C3867" t="s">
        <v>44</v>
      </c>
      <c r="D3867" t="s">
        <v>45</v>
      </c>
      <c r="E3867">
        <v>575</v>
      </c>
      <c r="F3867">
        <v>29</v>
      </c>
      <c r="G3867">
        <v>10</v>
      </c>
      <c r="H3867">
        <v>2863.05</v>
      </c>
      <c r="I3867">
        <v>27428.62</v>
      </c>
      <c r="J3867">
        <v>91</v>
      </c>
      <c r="K3867">
        <v>0</v>
      </c>
      <c r="L3867">
        <v>28</v>
      </c>
      <c r="M3867">
        <v>52.3</v>
      </c>
      <c r="N3867" t="s">
        <v>52</v>
      </c>
      <c r="O3867" t="s">
        <v>75</v>
      </c>
      <c r="P3867" t="s">
        <v>68</v>
      </c>
      <c r="R3867">
        <f>SUMIF(A3867:A8866,"C03866",I3867:I8866)</f>
        <v>27428.62</v>
      </c>
      <c r="S3867" s="1">
        <v>88793.06</v>
      </c>
      <c r="T3867">
        <f t="shared" si="436"/>
        <v>301.413406593407</v>
      </c>
      <c r="U3867">
        <f t="shared" si="435"/>
        <v>4759.3</v>
      </c>
      <c r="V3867">
        <f t="shared" si="437"/>
        <v>396.608333333333</v>
      </c>
      <c r="W3867">
        <f t="shared" si="440"/>
        <v>10097.5566666667</v>
      </c>
      <c r="X3867">
        <f t="shared" si="438"/>
        <v>0.200834774104539</v>
      </c>
      <c r="AH3867" t="str">
        <f t="shared" si="441"/>
        <v>2nd Quality</v>
      </c>
      <c r="AJ3867">
        <f>((T3867-X3867)*2)/28</f>
        <v>21.5151837013787</v>
      </c>
      <c r="AK3867">
        <f t="shared" si="439"/>
        <v>173312.708791209</v>
      </c>
    </row>
    <row r="3868" spans="1:37">
      <c r="A3868" t="s">
        <v>3934</v>
      </c>
      <c r="B3868">
        <v>18</v>
      </c>
      <c r="C3868" t="s">
        <v>44</v>
      </c>
      <c r="D3868" t="s">
        <v>60</v>
      </c>
      <c r="E3868">
        <v>1148</v>
      </c>
      <c r="F3868">
        <v>1</v>
      </c>
      <c r="G3868">
        <v>1</v>
      </c>
      <c r="H3868">
        <v>8624.83</v>
      </c>
      <c r="I3868">
        <v>8327.62</v>
      </c>
      <c r="J3868">
        <v>13</v>
      </c>
      <c r="K3868">
        <v>0</v>
      </c>
      <c r="L3868">
        <v>15</v>
      </c>
      <c r="M3868">
        <v>44.5</v>
      </c>
      <c r="N3868" t="s">
        <v>61</v>
      </c>
      <c r="O3868" t="s">
        <v>47</v>
      </c>
      <c r="P3868" t="s">
        <v>58</v>
      </c>
      <c r="R3868">
        <f>SUMIF(A3868:A8867,"C03867",I3868:I8867)</f>
        <v>8327.62</v>
      </c>
      <c r="S3868" s="1">
        <v>17627.14</v>
      </c>
      <c r="T3868">
        <f t="shared" si="436"/>
        <v>640.586153846154</v>
      </c>
      <c r="U3868">
        <f t="shared" si="435"/>
        <v>578.5</v>
      </c>
      <c r="V3868">
        <f t="shared" si="437"/>
        <v>48.2083333333333</v>
      </c>
      <c r="W3868">
        <f t="shared" si="440"/>
        <v>5651.15</v>
      </c>
      <c r="X3868">
        <f t="shared" si="438"/>
        <v>0.133104072775927</v>
      </c>
      <c r="AH3868" t="str">
        <f t="shared" si="441"/>
        <v>3rd Quality</v>
      </c>
      <c r="AJ3868">
        <f>((T3868-X3868)*2)/15</f>
        <v>85.3937399697838</v>
      </c>
      <c r="AK3868">
        <f t="shared" si="439"/>
        <v>735392.904615385</v>
      </c>
    </row>
    <row r="3869" spans="1:37">
      <c r="A3869" t="s">
        <v>3935</v>
      </c>
      <c r="B3869">
        <v>31</v>
      </c>
      <c r="C3869" t="s">
        <v>44</v>
      </c>
      <c r="D3869" t="s">
        <v>51</v>
      </c>
      <c r="E3869">
        <v>370</v>
      </c>
      <c r="F3869">
        <v>10</v>
      </c>
      <c r="G3869">
        <v>9</v>
      </c>
      <c r="H3869">
        <v>800.66</v>
      </c>
      <c r="I3869">
        <v>7266.41</v>
      </c>
      <c r="J3869">
        <v>65</v>
      </c>
      <c r="K3869">
        <v>1</v>
      </c>
      <c r="L3869">
        <v>23.1</v>
      </c>
      <c r="M3869">
        <v>49.3</v>
      </c>
      <c r="N3869" t="s">
        <v>81</v>
      </c>
      <c r="O3869" t="s">
        <v>47</v>
      </c>
      <c r="P3869" t="s">
        <v>58</v>
      </c>
      <c r="R3869">
        <f>SUMIF(A3869:A8868,"C03868",I3869:I8868)</f>
        <v>7266.41</v>
      </c>
      <c r="S3869" s="1">
        <v>7576.43</v>
      </c>
      <c r="T3869">
        <f t="shared" si="436"/>
        <v>111.790923076923</v>
      </c>
      <c r="U3869">
        <f t="shared" si="435"/>
        <v>3204.5</v>
      </c>
      <c r="V3869">
        <f>U3869*1</f>
        <v>3204.5</v>
      </c>
      <c r="W3869">
        <f t="shared" si="440"/>
        <v>2689.35666666667</v>
      </c>
      <c r="X3869">
        <f t="shared" si="438"/>
        <v>0.462118752029576</v>
      </c>
      <c r="AH3869" t="str">
        <f t="shared" si="441"/>
        <v>3rd Quality</v>
      </c>
      <c r="AJ3869">
        <f>((T3869-X3869)*2)/23.1</f>
        <v>9.63885751730679</v>
      </c>
      <c r="AK3869">
        <f t="shared" si="439"/>
        <v>41362.6415384615</v>
      </c>
    </row>
    <row r="3870" spans="1:37">
      <c r="A3870" t="s">
        <v>3936</v>
      </c>
      <c r="B3870">
        <v>23</v>
      </c>
      <c r="C3870" t="s">
        <v>50</v>
      </c>
      <c r="D3870" t="s">
        <v>45</v>
      </c>
      <c r="E3870">
        <v>1148</v>
      </c>
      <c r="F3870">
        <v>7</v>
      </c>
      <c r="G3870">
        <v>6</v>
      </c>
      <c r="H3870">
        <v>14332.67</v>
      </c>
      <c r="I3870">
        <v>88793.06</v>
      </c>
      <c r="J3870">
        <v>30</v>
      </c>
      <c r="K3870">
        <v>1</v>
      </c>
      <c r="L3870">
        <v>7.5</v>
      </c>
      <c r="M3870">
        <v>37.3</v>
      </c>
      <c r="N3870" t="s">
        <v>52</v>
      </c>
      <c r="O3870" t="s">
        <v>47</v>
      </c>
      <c r="P3870" t="s">
        <v>58</v>
      </c>
      <c r="R3870">
        <f>SUMIF(A3870:A8869,"C03869",I3870:I8869)</f>
        <v>88793.06</v>
      </c>
      <c r="S3870" s="1">
        <v>28057.31</v>
      </c>
      <c r="T3870">
        <f t="shared" si="436"/>
        <v>2959.76866666667</v>
      </c>
      <c r="U3870">
        <f t="shared" si="435"/>
        <v>1119</v>
      </c>
      <c r="V3870">
        <f>U3870*1</f>
        <v>1119</v>
      </c>
      <c r="W3870">
        <f t="shared" si="440"/>
        <v>34375.5766666667</v>
      </c>
      <c r="X3870">
        <f t="shared" si="438"/>
        <v>0.0800967300579725</v>
      </c>
      <c r="AH3870" t="str">
        <f t="shared" si="441"/>
        <v>1st Quality</v>
      </c>
      <c r="AJ3870">
        <f>((T3870-X3870)*2)/7.5</f>
        <v>789.25028531643</v>
      </c>
      <c r="AK3870">
        <f t="shared" si="439"/>
        <v>3397814.42933333</v>
      </c>
    </row>
    <row r="3871" spans="1:37">
      <c r="A3871" t="s">
        <v>3937</v>
      </c>
      <c r="B3871">
        <v>47</v>
      </c>
      <c r="C3871" t="s">
        <v>50</v>
      </c>
      <c r="D3871" t="s">
        <v>60</v>
      </c>
      <c r="E3871">
        <v>572</v>
      </c>
      <c r="F3871">
        <v>26</v>
      </c>
      <c r="G3871">
        <v>12</v>
      </c>
      <c r="H3871">
        <v>1385.01</v>
      </c>
      <c r="I3871">
        <v>17627.14</v>
      </c>
      <c r="J3871">
        <v>100</v>
      </c>
      <c r="K3871">
        <v>1</v>
      </c>
      <c r="L3871">
        <v>21.7</v>
      </c>
      <c r="M3871">
        <v>34.7</v>
      </c>
      <c r="N3871" t="s">
        <v>52</v>
      </c>
      <c r="O3871" t="s">
        <v>47</v>
      </c>
      <c r="P3871" t="s">
        <v>58</v>
      </c>
      <c r="R3871">
        <f>SUMIF(A3871:A8870,"C03870",I3871:I8870)</f>
        <v>17627.14</v>
      </c>
      <c r="S3871" s="1">
        <v>56007.78</v>
      </c>
      <c r="T3871">
        <f t="shared" si="436"/>
        <v>176.2714</v>
      </c>
      <c r="U3871">
        <f t="shared" si="435"/>
        <v>3470</v>
      </c>
      <c r="V3871">
        <f>U3871*1</f>
        <v>3470</v>
      </c>
      <c r="W3871">
        <f t="shared" si="440"/>
        <v>6337.71666666667</v>
      </c>
      <c r="X3871">
        <f t="shared" si="438"/>
        <v>0.412993407989834</v>
      </c>
      <c r="AH3871" t="str">
        <f t="shared" si="441"/>
        <v>3rd Quality</v>
      </c>
      <c r="AJ3871">
        <f>((T3871-X3871)*2)/21.7</f>
        <v>16.2081480729963</v>
      </c>
      <c r="AK3871">
        <f t="shared" si="439"/>
        <v>100827.2408</v>
      </c>
    </row>
    <row r="3872" spans="1:37">
      <c r="A3872" t="s">
        <v>3938</v>
      </c>
      <c r="B3872">
        <v>41</v>
      </c>
      <c r="C3872" t="s">
        <v>44</v>
      </c>
      <c r="D3872" t="s">
        <v>51</v>
      </c>
      <c r="E3872">
        <v>506</v>
      </c>
      <c r="F3872">
        <v>82</v>
      </c>
      <c r="G3872">
        <v>5</v>
      </c>
      <c r="H3872">
        <v>1676.17</v>
      </c>
      <c r="I3872">
        <v>7576.43</v>
      </c>
      <c r="J3872">
        <v>39</v>
      </c>
      <c r="K3872">
        <v>0</v>
      </c>
      <c r="L3872">
        <v>14.7</v>
      </c>
      <c r="M3872">
        <v>17.2</v>
      </c>
      <c r="N3872" t="s">
        <v>52</v>
      </c>
      <c r="O3872" t="s">
        <v>47</v>
      </c>
      <c r="P3872" t="s">
        <v>58</v>
      </c>
      <c r="R3872">
        <f>SUMIF(A3872:A8871,"C03871",I3872:I8871)</f>
        <v>7576.43</v>
      </c>
      <c r="S3872" s="1">
        <v>141536.27</v>
      </c>
      <c r="T3872">
        <f t="shared" si="436"/>
        <v>194.267435897436</v>
      </c>
      <c r="U3872">
        <f t="shared" si="435"/>
        <v>670.8</v>
      </c>
      <c r="V3872">
        <f t="shared" si="437"/>
        <v>55.9</v>
      </c>
      <c r="W3872">
        <f t="shared" si="440"/>
        <v>3084.53333333333</v>
      </c>
      <c r="X3872">
        <f t="shared" si="438"/>
        <v>0.301878687722606</v>
      </c>
      <c r="AH3872" t="str">
        <f t="shared" si="441"/>
        <v>3rd Quality</v>
      </c>
      <c r="AJ3872">
        <f>((T3872-X3872)*2)/14.7</f>
        <v>26.3898717292127</v>
      </c>
      <c r="AK3872">
        <f t="shared" si="439"/>
        <v>98299.3225641026</v>
      </c>
    </row>
    <row r="3873" spans="1:37">
      <c r="A3873" t="s">
        <v>3939</v>
      </c>
      <c r="B3873">
        <v>45</v>
      </c>
      <c r="C3873" t="s">
        <v>50</v>
      </c>
      <c r="D3873" t="s">
        <v>45</v>
      </c>
      <c r="E3873">
        <v>403</v>
      </c>
      <c r="F3873">
        <v>10</v>
      </c>
      <c r="G3873">
        <v>23</v>
      </c>
      <c r="H3873">
        <v>1367.18</v>
      </c>
      <c r="I3873">
        <v>28057.31</v>
      </c>
      <c r="J3873">
        <v>190</v>
      </c>
      <c r="K3873">
        <v>4</v>
      </c>
      <c r="L3873">
        <v>2.7</v>
      </c>
      <c r="M3873">
        <v>22.9</v>
      </c>
      <c r="N3873" t="s">
        <v>46</v>
      </c>
      <c r="O3873" t="s">
        <v>47</v>
      </c>
      <c r="P3873" t="s">
        <v>58</v>
      </c>
      <c r="R3873">
        <f>SUMIF(A3873:A8872,"C03872",I3873:I8872)</f>
        <v>28057.31</v>
      </c>
      <c r="S3873" s="1">
        <v>1388.07</v>
      </c>
      <c r="T3873">
        <f t="shared" si="436"/>
        <v>147.670052631579</v>
      </c>
      <c r="U3873">
        <f t="shared" si="435"/>
        <v>4351</v>
      </c>
      <c r="V3873">
        <f>U3873*4</f>
        <v>17404</v>
      </c>
      <c r="W3873">
        <f t="shared" si="440"/>
        <v>9808.49666666667</v>
      </c>
      <c r="X3873">
        <f t="shared" si="438"/>
        <v>0.294767331295075</v>
      </c>
      <c r="AH3873" t="str">
        <f t="shared" si="441"/>
        <v>3rd Quality</v>
      </c>
      <c r="AJ3873">
        <f>((T3873-X3873)*2)/2.7</f>
        <v>109.16687800021</v>
      </c>
      <c r="AK3873">
        <f t="shared" si="439"/>
        <v>59511.0312105263</v>
      </c>
    </row>
    <row r="3874" spans="1:37">
      <c r="A3874" t="s">
        <v>3940</v>
      </c>
      <c r="B3874">
        <v>24</v>
      </c>
      <c r="C3874" t="s">
        <v>50</v>
      </c>
      <c r="D3874" t="s">
        <v>51</v>
      </c>
      <c r="E3874">
        <v>1250</v>
      </c>
      <c r="F3874">
        <v>17</v>
      </c>
      <c r="G3874">
        <v>19</v>
      </c>
      <c r="H3874">
        <v>2826.86</v>
      </c>
      <c r="I3874">
        <v>56007.78</v>
      </c>
      <c r="J3874">
        <v>66</v>
      </c>
      <c r="K3874">
        <v>0</v>
      </c>
      <c r="L3874">
        <v>6.8</v>
      </c>
      <c r="M3874">
        <v>51.1</v>
      </c>
      <c r="N3874" t="s">
        <v>61</v>
      </c>
      <c r="O3874" t="s">
        <v>47</v>
      </c>
      <c r="P3874" t="s">
        <v>48</v>
      </c>
      <c r="R3874">
        <f>SUMIF(A3874:A8873,"C03873",I3874:I8873)</f>
        <v>56007.78</v>
      </c>
      <c r="S3874" s="1">
        <v>16445.64</v>
      </c>
      <c r="T3874">
        <f t="shared" si="436"/>
        <v>848.602727272727</v>
      </c>
      <c r="U3874">
        <f t="shared" ref="U3874:U3937" si="442">J3874*M3874</f>
        <v>3372.6</v>
      </c>
      <c r="V3874">
        <f t="shared" si="437"/>
        <v>281.05</v>
      </c>
      <c r="W3874">
        <f t="shared" si="440"/>
        <v>19611.88</v>
      </c>
      <c r="X3874">
        <f t="shared" si="438"/>
        <v>0.442186737227878</v>
      </c>
      <c r="AH3874" t="str">
        <f t="shared" si="441"/>
        <v>1st Quality</v>
      </c>
      <c r="AJ3874">
        <f>((T3874-X3874)*2)/6.8</f>
        <v>249.458982510441</v>
      </c>
      <c r="AK3874">
        <f t="shared" si="439"/>
        <v>1060753.40909091</v>
      </c>
    </row>
    <row r="3875" spans="1:37">
      <c r="A3875" t="s">
        <v>3941</v>
      </c>
      <c r="B3875">
        <v>24</v>
      </c>
      <c r="C3875" t="s">
        <v>44</v>
      </c>
      <c r="D3875" t="s">
        <v>60</v>
      </c>
      <c r="E3875">
        <v>1149</v>
      </c>
      <c r="F3875">
        <v>4</v>
      </c>
      <c r="G3875">
        <v>31</v>
      </c>
      <c r="H3875">
        <v>4589.16</v>
      </c>
      <c r="I3875">
        <v>141536.27</v>
      </c>
      <c r="J3875">
        <v>256</v>
      </c>
      <c r="K3875">
        <v>0</v>
      </c>
      <c r="L3875">
        <v>17.8</v>
      </c>
      <c r="M3875">
        <v>23.9</v>
      </c>
      <c r="N3875" t="s">
        <v>57</v>
      </c>
      <c r="O3875" t="s">
        <v>47</v>
      </c>
      <c r="P3875" t="s">
        <v>48</v>
      </c>
      <c r="R3875">
        <f>SUMIF(A3875:A8874,"C03874",I3875:I8874)</f>
        <v>141536.27</v>
      </c>
      <c r="S3875" s="1">
        <v>48263.54</v>
      </c>
      <c r="T3875">
        <f t="shared" si="436"/>
        <v>552.8760546875</v>
      </c>
      <c r="U3875">
        <f t="shared" si="442"/>
        <v>6118.4</v>
      </c>
      <c r="V3875">
        <f t="shared" si="437"/>
        <v>509.866666666667</v>
      </c>
      <c r="W3875">
        <f t="shared" si="440"/>
        <v>48708.81</v>
      </c>
      <c r="X3875">
        <f t="shared" si="438"/>
        <v>0.250372617210993</v>
      </c>
      <c r="AH3875" t="str">
        <f t="shared" si="441"/>
        <v>1st Quality</v>
      </c>
      <c r="AJ3875">
        <f>((T3875-X3875)*2)/17.8</f>
        <v>62.0927732663246</v>
      </c>
      <c r="AK3875">
        <f t="shared" si="439"/>
        <v>635254.586835937</v>
      </c>
    </row>
    <row r="3876" spans="1:37">
      <c r="A3876" t="s">
        <v>3942</v>
      </c>
      <c r="B3876">
        <v>19</v>
      </c>
      <c r="C3876" t="s">
        <v>50</v>
      </c>
      <c r="D3876" t="s">
        <v>45</v>
      </c>
      <c r="E3876">
        <v>1347</v>
      </c>
      <c r="F3876">
        <v>198</v>
      </c>
      <c r="G3876">
        <v>1</v>
      </c>
      <c r="H3876">
        <v>1332.81</v>
      </c>
      <c r="I3876">
        <v>1388.07</v>
      </c>
      <c r="J3876">
        <v>12</v>
      </c>
      <c r="K3876">
        <v>0</v>
      </c>
      <c r="L3876">
        <v>20.3</v>
      </c>
      <c r="M3876">
        <v>21.4</v>
      </c>
      <c r="N3876" t="s">
        <v>61</v>
      </c>
      <c r="O3876" t="s">
        <v>47</v>
      </c>
      <c r="P3876" t="s">
        <v>58</v>
      </c>
      <c r="R3876">
        <f>SUMIF(A3876:A8875,"C03875",I3876:I8875)</f>
        <v>1388.07</v>
      </c>
      <c r="S3876" s="1">
        <v>1476.84</v>
      </c>
      <c r="T3876">
        <f t="shared" si="436"/>
        <v>115.6725</v>
      </c>
      <c r="U3876">
        <f t="shared" si="442"/>
        <v>256.8</v>
      </c>
      <c r="V3876">
        <f t="shared" si="437"/>
        <v>21.4</v>
      </c>
      <c r="W3876">
        <f t="shared" si="440"/>
        <v>907.293333333333</v>
      </c>
      <c r="X3876">
        <f t="shared" si="438"/>
        <v>1.01064667882144</v>
      </c>
      <c r="AH3876" t="str">
        <f t="shared" si="441"/>
        <v>3rd Quality</v>
      </c>
      <c r="AJ3876">
        <f>((T3876-X3876)*2)/20.3</f>
        <v>11.2967343173575</v>
      </c>
      <c r="AK3876">
        <f t="shared" si="439"/>
        <v>155810.8575</v>
      </c>
    </row>
    <row r="3877" spans="1:37">
      <c r="A3877" t="s">
        <v>3943</v>
      </c>
      <c r="B3877">
        <v>30</v>
      </c>
      <c r="C3877" t="s">
        <v>50</v>
      </c>
      <c r="D3877" t="s">
        <v>60</v>
      </c>
      <c r="E3877">
        <v>965</v>
      </c>
      <c r="F3877">
        <v>72</v>
      </c>
      <c r="G3877">
        <v>8</v>
      </c>
      <c r="H3877">
        <v>2158.48</v>
      </c>
      <c r="I3877">
        <v>16445.64</v>
      </c>
      <c r="J3877">
        <v>63</v>
      </c>
      <c r="K3877">
        <v>1</v>
      </c>
      <c r="L3877">
        <v>21.3</v>
      </c>
      <c r="M3877">
        <v>14.2</v>
      </c>
      <c r="N3877" t="s">
        <v>78</v>
      </c>
      <c r="O3877" t="s">
        <v>47</v>
      </c>
      <c r="P3877" t="s">
        <v>58</v>
      </c>
      <c r="R3877">
        <f>SUMIF(A3877:A8876,"C03876",I3877:I8876)</f>
        <v>16445.64</v>
      </c>
      <c r="S3877" s="1">
        <v>127793.48</v>
      </c>
      <c r="T3877">
        <f t="shared" si="436"/>
        <v>261.041904761905</v>
      </c>
      <c r="U3877">
        <f t="shared" si="442"/>
        <v>894.6</v>
      </c>
      <c r="V3877">
        <f>U3877*1</f>
        <v>894.6</v>
      </c>
      <c r="W3877">
        <f t="shared" si="440"/>
        <v>6201.70666666667</v>
      </c>
      <c r="X3877">
        <f t="shared" si="438"/>
        <v>0.447073866795152</v>
      </c>
      <c r="AH3877" t="str">
        <f t="shared" si="441"/>
        <v>3rd Quality</v>
      </c>
      <c r="AJ3877">
        <f>((T3877-X3877)*2)/21.3</f>
        <v>24.4689982061136</v>
      </c>
      <c r="AK3877">
        <f t="shared" si="439"/>
        <v>251905.438095238</v>
      </c>
    </row>
    <row r="3878" spans="1:37">
      <c r="A3878" t="s">
        <v>3944</v>
      </c>
      <c r="B3878">
        <v>33</v>
      </c>
      <c r="C3878" t="s">
        <v>44</v>
      </c>
      <c r="D3878" t="s">
        <v>51</v>
      </c>
      <c r="E3878">
        <v>1020</v>
      </c>
      <c r="F3878">
        <v>17</v>
      </c>
      <c r="G3878">
        <v>27</v>
      </c>
      <c r="H3878">
        <v>1940.19</v>
      </c>
      <c r="I3878">
        <v>48263.54</v>
      </c>
      <c r="J3878">
        <v>226</v>
      </c>
      <c r="K3878">
        <v>0</v>
      </c>
      <c r="L3878">
        <v>7.2</v>
      </c>
      <c r="M3878">
        <v>24.1</v>
      </c>
      <c r="N3878" t="s">
        <v>57</v>
      </c>
      <c r="O3878" t="s">
        <v>75</v>
      </c>
      <c r="P3878" t="s">
        <v>58</v>
      </c>
      <c r="R3878">
        <f>SUMIF(A3878:A8877,"C03877",I3878:I8877)</f>
        <v>48263.54</v>
      </c>
      <c r="S3878" s="1">
        <v>9366.4</v>
      </c>
      <c r="T3878">
        <f t="shared" si="436"/>
        <v>213.555486725664</v>
      </c>
      <c r="U3878">
        <f t="shared" si="442"/>
        <v>5446.6</v>
      </c>
      <c r="V3878">
        <f t="shared" si="437"/>
        <v>453.883333333333</v>
      </c>
      <c r="W3878">
        <f t="shared" si="440"/>
        <v>16734.91</v>
      </c>
      <c r="X3878">
        <f t="shared" si="438"/>
        <v>0.525721707667806</v>
      </c>
      <c r="AH3878" t="str">
        <f t="shared" si="441"/>
        <v>1st Quality</v>
      </c>
      <c r="AJ3878">
        <f>((T3878-X3878)*2)/7.2</f>
        <v>59.1749347272212</v>
      </c>
      <c r="AK3878">
        <f t="shared" si="439"/>
        <v>217826.596460177</v>
      </c>
    </row>
    <row r="3879" spans="1:37">
      <c r="A3879" t="s">
        <v>3945</v>
      </c>
      <c r="B3879">
        <v>44</v>
      </c>
      <c r="C3879" t="s">
        <v>44</v>
      </c>
      <c r="D3879" t="s">
        <v>60</v>
      </c>
      <c r="E3879">
        <v>408</v>
      </c>
      <c r="F3879">
        <v>116</v>
      </c>
      <c r="G3879">
        <v>1</v>
      </c>
      <c r="H3879">
        <v>1628.81</v>
      </c>
      <c r="I3879">
        <v>1476.84</v>
      </c>
      <c r="J3879">
        <v>18</v>
      </c>
      <c r="K3879">
        <v>0</v>
      </c>
      <c r="L3879">
        <v>8.8</v>
      </c>
      <c r="M3879">
        <v>52.6</v>
      </c>
      <c r="N3879" t="s">
        <v>81</v>
      </c>
      <c r="O3879" t="s">
        <v>47</v>
      </c>
      <c r="P3879" t="s">
        <v>58</v>
      </c>
      <c r="R3879">
        <f>SUMIF(A3879:A8878,"C03878",I3879:I8878)</f>
        <v>1476.84</v>
      </c>
      <c r="S3879" s="1">
        <v>1696.06</v>
      </c>
      <c r="T3879">
        <f t="shared" ref="T3879:T3942" si="443">I3879/J3879</f>
        <v>82.0466666666667</v>
      </c>
      <c r="U3879">
        <f t="shared" si="442"/>
        <v>946.8</v>
      </c>
      <c r="V3879">
        <f t="shared" si="437"/>
        <v>78.9</v>
      </c>
      <c r="W3879">
        <f t="shared" si="440"/>
        <v>1035.55</v>
      </c>
      <c r="X3879">
        <f t="shared" si="438"/>
        <v>0.250489621257237</v>
      </c>
      <c r="AH3879" t="str">
        <f t="shared" si="441"/>
        <v>3rd Quality</v>
      </c>
      <c r="AJ3879">
        <f>((T3879-X3879)*2)/8.8</f>
        <v>18.5900402375931</v>
      </c>
      <c r="AK3879">
        <f t="shared" si="439"/>
        <v>33475.04</v>
      </c>
    </row>
    <row r="3880" spans="1:37">
      <c r="A3880" t="s">
        <v>3946</v>
      </c>
      <c r="B3880">
        <v>30</v>
      </c>
      <c r="C3880" t="s">
        <v>44</v>
      </c>
      <c r="D3880" t="s">
        <v>45</v>
      </c>
      <c r="E3880">
        <v>393</v>
      </c>
      <c r="F3880">
        <v>8</v>
      </c>
      <c r="G3880">
        <v>20</v>
      </c>
      <c r="H3880">
        <v>5978.81</v>
      </c>
      <c r="I3880">
        <v>127793.48</v>
      </c>
      <c r="J3880">
        <v>87</v>
      </c>
      <c r="K3880">
        <v>0</v>
      </c>
      <c r="L3880">
        <v>2.7</v>
      </c>
      <c r="M3880">
        <v>28.4</v>
      </c>
      <c r="N3880" t="s">
        <v>81</v>
      </c>
      <c r="O3880" t="s">
        <v>75</v>
      </c>
      <c r="P3880" t="s">
        <v>58</v>
      </c>
      <c r="R3880">
        <f>SUMIF(A3880:A8879,"C03879",I3880:I8879)</f>
        <v>127793.48</v>
      </c>
      <c r="S3880" s="1">
        <v>1994.24</v>
      </c>
      <c r="T3880">
        <f t="shared" si="443"/>
        <v>1468.89057471264</v>
      </c>
      <c r="U3880">
        <f t="shared" si="442"/>
        <v>2470.8</v>
      </c>
      <c r="V3880">
        <f t="shared" si="437"/>
        <v>205.9</v>
      </c>
      <c r="W3880">
        <f t="shared" si="440"/>
        <v>44591.0966666667</v>
      </c>
      <c r="X3880">
        <f t="shared" si="438"/>
        <v>0.0657321440219709</v>
      </c>
      <c r="AH3880" t="str">
        <f t="shared" si="441"/>
        <v>3rd Quality</v>
      </c>
      <c r="AJ3880">
        <f>((T3880-X3880)*2)/2.7</f>
        <v>1088.01840190268</v>
      </c>
      <c r="AK3880">
        <f t="shared" si="439"/>
        <v>577273.995862069</v>
      </c>
    </row>
    <row r="3881" spans="1:37">
      <c r="A3881" t="s">
        <v>3947</v>
      </c>
      <c r="B3881">
        <v>23</v>
      </c>
      <c r="C3881" t="s">
        <v>101</v>
      </c>
      <c r="D3881" t="s">
        <v>60</v>
      </c>
      <c r="E3881">
        <v>1043</v>
      </c>
      <c r="F3881">
        <v>64</v>
      </c>
      <c r="G3881">
        <v>11</v>
      </c>
      <c r="H3881">
        <v>871.78</v>
      </c>
      <c r="I3881">
        <v>9366.4</v>
      </c>
      <c r="J3881">
        <v>76</v>
      </c>
      <c r="K3881">
        <v>0</v>
      </c>
      <c r="L3881">
        <v>23.1</v>
      </c>
      <c r="M3881">
        <v>35.8</v>
      </c>
      <c r="N3881" t="s">
        <v>57</v>
      </c>
      <c r="O3881" t="s">
        <v>53</v>
      </c>
      <c r="P3881" t="s">
        <v>48</v>
      </c>
      <c r="R3881">
        <f>SUMIF(A3881:A8880,"C03880",I3881:I8880)</f>
        <v>9366.4</v>
      </c>
      <c r="S3881" s="1">
        <v>1912.79</v>
      </c>
      <c r="T3881">
        <f t="shared" si="443"/>
        <v>123.242105263158</v>
      </c>
      <c r="U3881">
        <f t="shared" si="442"/>
        <v>2720.8</v>
      </c>
      <c r="V3881">
        <f t="shared" si="437"/>
        <v>226.733333333333</v>
      </c>
      <c r="W3881">
        <f t="shared" si="440"/>
        <v>3413.06</v>
      </c>
      <c r="X3881">
        <f t="shared" si="438"/>
        <v>1.19640276216477</v>
      </c>
      <c r="AH3881" t="str">
        <f t="shared" si="441"/>
        <v>3rd Quality</v>
      </c>
      <c r="AJ3881">
        <f>((T3881-X3881)*2)/23.1</f>
        <v>10.5667274892635</v>
      </c>
      <c r="AK3881">
        <f t="shared" si="439"/>
        <v>128541.515789474</v>
      </c>
    </row>
    <row r="3882" spans="1:37">
      <c r="A3882" t="s">
        <v>3948</v>
      </c>
      <c r="B3882">
        <v>44</v>
      </c>
      <c r="C3882" t="s">
        <v>50</v>
      </c>
      <c r="D3882" t="s">
        <v>45</v>
      </c>
      <c r="E3882">
        <v>928</v>
      </c>
      <c r="F3882">
        <v>48</v>
      </c>
      <c r="G3882">
        <v>2</v>
      </c>
      <c r="H3882">
        <v>942.37</v>
      </c>
      <c r="I3882">
        <v>1696.06</v>
      </c>
      <c r="J3882">
        <v>17</v>
      </c>
      <c r="K3882">
        <v>0</v>
      </c>
      <c r="L3882">
        <v>29.1</v>
      </c>
      <c r="M3882">
        <v>35.8</v>
      </c>
      <c r="N3882" t="s">
        <v>63</v>
      </c>
      <c r="O3882" t="s">
        <v>47</v>
      </c>
      <c r="P3882" t="s">
        <v>68</v>
      </c>
      <c r="R3882">
        <f>SUMIF(A3882:A8881,"C03881",I3882:I8881)</f>
        <v>1696.06</v>
      </c>
      <c r="S3882" s="1">
        <v>7333.15</v>
      </c>
      <c r="T3882">
        <f t="shared" si="443"/>
        <v>99.7682352941176</v>
      </c>
      <c r="U3882">
        <f t="shared" si="442"/>
        <v>608.6</v>
      </c>
      <c r="V3882">
        <f t="shared" si="437"/>
        <v>50.7166666666667</v>
      </c>
      <c r="W3882">
        <f t="shared" si="440"/>
        <v>879.81</v>
      </c>
      <c r="X3882">
        <f t="shared" si="438"/>
        <v>0.984751212368815</v>
      </c>
      <c r="AH3882" t="str">
        <f t="shared" si="441"/>
        <v>3rd Quality</v>
      </c>
      <c r="AJ3882">
        <f>((T3882-X3882)*2)/29.1</f>
        <v>6.78924289221641</v>
      </c>
      <c r="AK3882">
        <f t="shared" si="439"/>
        <v>92584.9223529412</v>
      </c>
    </row>
    <row r="3883" spans="1:37">
      <c r="A3883" t="s">
        <v>3949</v>
      </c>
      <c r="B3883">
        <v>23</v>
      </c>
      <c r="C3883" t="s">
        <v>44</v>
      </c>
      <c r="D3883" t="s">
        <v>60</v>
      </c>
      <c r="E3883">
        <v>1258</v>
      </c>
      <c r="F3883">
        <v>164</v>
      </c>
      <c r="G3883">
        <v>1</v>
      </c>
      <c r="H3883">
        <v>2123.29</v>
      </c>
      <c r="I3883">
        <v>1994.24</v>
      </c>
      <c r="J3883">
        <v>10</v>
      </c>
      <c r="K3883">
        <v>0</v>
      </c>
      <c r="L3883">
        <v>22.4</v>
      </c>
      <c r="M3883">
        <v>68.6</v>
      </c>
      <c r="N3883" t="s">
        <v>46</v>
      </c>
      <c r="O3883" t="s">
        <v>47</v>
      </c>
      <c r="P3883" t="s">
        <v>48</v>
      </c>
      <c r="R3883">
        <f>SUMIF(A3883:A8882,"C03882",I3883:I8882)</f>
        <v>1994.24</v>
      </c>
      <c r="S3883" s="1">
        <v>1321.84</v>
      </c>
      <c r="T3883">
        <f t="shared" si="443"/>
        <v>199.424</v>
      </c>
      <c r="U3883">
        <f t="shared" si="442"/>
        <v>686</v>
      </c>
      <c r="V3883">
        <f t="shared" si="437"/>
        <v>57.1666666666667</v>
      </c>
      <c r="W3883">
        <f t="shared" si="440"/>
        <v>1372.84333333333</v>
      </c>
      <c r="X3883">
        <f t="shared" si="438"/>
        <v>0.592476769541608</v>
      </c>
      <c r="AH3883" t="str">
        <f t="shared" si="441"/>
        <v>3rd Quality</v>
      </c>
      <c r="AJ3883">
        <f>((T3883-X3883)*2)/22.4</f>
        <v>17.7528145741481</v>
      </c>
      <c r="AK3883">
        <f t="shared" si="439"/>
        <v>250875.392</v>
      </c>
    </row>
    <row r="3884" spans="1:37">
      <c r="A3884" t="s">
        <v>3950</v>
      </c>
      <c r="B3884">
        <v>46</v>
      </c>
      <c r="C3884" t="s">
        <v>50</v>
      </c>
      <c r="D3884" t="s">
        <v>51</v>
      </c>
      <c r="E3884">
        <v>971</v>
      </c>
      <c r="F3884">
        <v>12</v>
      </c>
      <c r="G3884">
        <v>2</v>
      </c>
      <c r="H3884">
        <v>880.04</v>
      </c>
      <c r="I3884">
        <v>1912.79</v>
      </c>
      <c r="J3884">
        <v>19</v>
      </c>
      <c r="K3884">
        <v>0</v>
      </c>
      <c r="L3884">
        <v>27.5</v>
      </c>
      <c r="M3884">
        <v>52.3</v>
      </c>
      <c r="N3884" t="s">
        <v>46</v>
      </c>
      <c r="O3884" t="s">
        <v>47</v>
      </c>
      <c r="P3884" t="s">
        <v>58</v>
      </c>
      <c r="R3884">
        <f>SUMIF(A3884:A8883,"C03883",I3884:I8883)</f>
        <v>1912.79</v>
      </c>
      <c r="S3884" s="1">
        <v>122134.07</v>
      </c>
      <c r="T3884">
        <f t="shared" si="443"/>
        <v>100.673157894737</v>
      </c>
      <c r="U3884">
        <f t="shared" si="442"/>
        <v>993.7</v>
      </c>
      <c r="V3884">
        <f t="shared" si="437"/>
        <v>82.8083333333333</v>
      </c>
      <c r="W3884">
        <f t="shared" si="440"/>
        <v>931.276666666667</v>
      </c>
      <c r="X3884">
        <f t="shared" si="438"/>
        <v>1.10335893823008</v>
      </c>
      <c r="AH3884" t="str">
        <f t="shared" si="441"/>
        <v>3rd Quality</v>
      </c>
      <c r="AJ3884">
        <f>((T3884-X3884)*2)/27.5</f>
        <v>7.24143992410959</v>
      </c>
      <c r="AK3884">
        <f t="shared" si="439"/>
        <v>97753.6363157895</v>
      </c>
    </row>
    <row r="3885" spans="1:37">
      <c r="A3885" t="s">
        <v>3951</v>
      </c>
      <c r="B3885">
        <v>62</v>
      </c>
      <c r="C3885" t="s">
        <v>50</v>
      </c>
      <c r="D3885" t="s">
        <v>60</v>
      </c>
      <c r="E3885">
        <v>401</v>
      </c>
      <c r="F3885">
        <v>57</v>
      </c>
      <c r="G3885">
        <v>6</v>
      </c>
      <c r="H3885">
        <v>1227.63</v>
      </c>
      <c r="I3885">
        <v>7333.15</v>
      </c>
      <c r="J3885">
        <v>20</v>
      </c>
      <c r="K3885">
        <v>0</v>
      </c>
      <c r="L3885">
        <v>26</v>
      </c>
      <c r="M3885">
        <v>42.4</v>
      </c>
      <c r="N3885" t="s">
        <v>78</v>
      </c>
      <c r="O3885" t="s">
        <v>47</v>
      </c>
      <c r="P3885" t="s">
        <v>58</v>
      </c>
      <c r="R3885">
        <f>SUMIF(A3885:A8884,"C03884",I3885:I8884)</f>
        <v>7333.15</v>
      </c>
      <c r="S3885" s="1">
        <v>1465.04</v>
      </c>
      <c r="T3885">
        <f t="shared" si="443"/>
        <v>366.6575</v>
      </c>
      <c r="U3885">
        <f t="shared" si="442"/>
        <v>848</v>
      </c>
      <c r="V3885">
        <f t="shared" si="437"/>
        <v>70.6666666666667</v>
      </c>
      <c r="W3885">
        <f t="shared" si="440"/>
        <v>2853.92666666667</v>
      </c>
      <c r="X3885">
        <f t="shared" si="438"/>
        <v>0.326645650562466</v>
      </c>
      <c r="AH3885" t="str">
        <f t="shared" si="441"/>
        <v>3rd Quality</v>
      </c>
      <c r="AJ3885">
        <f>((T3885-X3885)*2)/26</f>
        <v>28.1792964884183</v>
      </c>
      <c r="AK3885">
        <f t="shared" si="439"/>
        <v>147029.6575</v>
      </c>
    </row>
    <row r="3886" spans="1:37">
      <c r="A3886" t="s">
        <v>3952</v>
      </c>
      <c r="B3886">
        <v>28</v>
      </c>
      <c r="C3886" t="s">
        <v>50</v>
      </c>
      <c r="D3886" t="s">
        <v>60</v>
      </c>
      <c r="E3886">
        <v>1073</v>
      </c>
      <c r="F3886">
        <v>319</v>
      </c>
      <c r="G3886">
        <v>1</v>
      </c>
      <c r="H3886">
        <v>1218.51</v>
      </c>
      <c r="I3886">
        <v>1321.84</v>
      </c>
      <c r="J3886">
        <v>6</v>
      </c>
      <c r="K3886">
        <v>0</v>
      </c>
      <c r="L3886">
        <v>6.3</v>
      </c>
      <c r="M3886">
        <v>29</v>
      </c>
      <c r="N3886" t="s">
        <v>61</v>
      </c>
      <c r="O3886" t="s">
        <v>47</v>
      </c>
      <c r="P3886" t="s">
        <v>66</v>
      </c>
      <c r="R3886">
        <f>SUMIF(A3886:A8885,"C03885",I3886:I8885)</f>
        <v>1321.84</v>
      </c>
      <c r="S3886" s="1">
        <v>1089.73</v>
      </c>
      <c r="T3886">
        <f t="shared" si="443"/>
        <v>220.306666666667</v>
      </c>
      <c r="U3886">
        <f t="shared" si="442"/>
        <v>174</v>
      </c>
      <c r="V3886">
        <f t="shared" si="437"/>
        <v>14.5</v>
      </c>
      <c r="W3886">
        <f t="shared" si="440"/>
        <v>847.116666666667</v>
      </c>
      <c r="X3886">
        <f t="shared" si="438"/>
        <v>0.880583663654791</v>
      </c>
      <c r="AH3886" t="str">
        <f t="shared" si="441"/>
        <v>3rd Quality</v>
      </c>
      <c r="AJ3886">
        <f>((T3886-X3886)*2)/6.36</f>
        <v>69.001912894029</v>
      </c>
      <c r="AK3886">
        <f t="shared" si="439"/>
        <v>236389.053333333</v>
      </c>
    </row>
    <row r="3887" spans="1:37">
      <c r="A3887" t="s">
        <v>3953</v>
      </c>
      <c r="B3887">
        <v>18</v>
      </c>
      <c r="C3887" t="s">
        <v>44</v>
      </c>
      <c r="D3887" t="s">
        <v>60</v>
      </c>
      <c r="E3887">
        <v>508</v>
      </c>
      <c r="F3887">
        <v>1</v>
      </c>
      <c r="G3887">
        <v>32</v>
      </c>
      <c r="H3887">
        <v>3448.15</v>
      </c>
      <c r="I3887">
        <v>122134.07</v>
      </c>
      <c r="J3887">
        <v>268</v>
      </c>
      <c r="K3887">
        <v>5</v>
      </c>
      <c r="L3887">
        <v>2.4</v>
      </c>
      <c r="M3887">
        <v>25.1</v>
      </c>
      <c r="N3887" t="s">
        <v>61</v>
      </c>
      <c r="O3887" t="s">
        <v>47</v>
      </c>
      <c r="P3887" t="s">
        <v>58</v>
      </c>
      <c r="R3887">
        <f>SUMIF(A3887:A8886,"C03886",I3887:I8886)</f>
        <v>122134.07</v>
      </c>
      <c r="S3887" s="1">
        <v>2502.12</v>
      </c>
      <c r="T3887">
        <f t="shared" si="443"/>
        <v>455.724141791045</v>
      </c>
      <c r="U3887">
        <f t="shared" si="442"/>
        <v>6726.8</v>
      </c>
      <c r="V3887">
        <f>U3887*5</f>
        <v>33634</v>
      </c>
      <c r="W3887">
        <f t="shared" si="440"/>
        <v>41861.0733333333</v>
      </c>
      <c r="X3887">
        <f t="shared" si="438"/>
        <v>0.147325377376274</v>
      </c>
      <c r="AH3887" t="str">
        <f t="shared" si="441"/>
        <v>2nd Quality</v>
      </c>
      <c r="AJ3887">
        <f>((T3887-X3887)*2)/2.4</f>
        <v>379.647347011391</v>
      </c>
      <c r="AK3887">
        <f t="shared" si="439"/>
        <v>231507.864029851</v>
      </c>
    </row>
    <row r="3888" spans="1:37">
      <c r="A3888" t="s">
        <v>3954</v>
      </c>
      <c r="B3888">
        <v>36</v>
      </c>
      <c r="C3888" t="s">
        <v>44</v>
      </c>
      <c r="D3888" t="s">
        <v>45</v>
      </c>
      <c r="E3888">
        <v>1337</v>
      </c>
      <c r="F3888">
        <v>165</v>
      </c>
      <c r="G3888">
        <v>1</v>
      </c>
      <c r="H3888">
        <v>1634.96</v>
      </c>
      <c r="I3888">
        <v>1465.04</v>
      </c>
      <c r="J3888">
        <v>12</v>
      </c>
      <c r="K3888">
        <v>1</v>
      </c>
      <c r="L3888">
        <v>18.8</v>
      </c>
      <c r="M3888">
        <v>23.3</v>
      </c>
      <c r="N3888" t="s">
        <v>57</v>
      </c>
      <c r="O3888" t="s">
        <v>47</v>
      </c>
      <c r="P3888" t="s">
        <v>58</v>
      </c>
      <c r="R3888">
        <f>SUMIF(A3888:A8887,"C03887",I3888:I8887)</f>
        <v>1465.04</v>
      </c>
      <c r="S3888" s="1">
        <v>7005.38</v>
      </c>
      <c r="T3888">
        <f t="shared" si="443"/>
        <v>122.086666666667</v>
      </c>
      <c r="U3888">
        <f t="shared" si="442"/>
        <v>279.6</v>
      </c>
      <c r="V3888">
        <f>U3888*1</f>
        <v>279.6</v>
      </c>
      <c r="W3888">
        <f t="shared" si="440"/>
        <v>1033.66666666667</v>
      </c>
      <c r="X3888">
        <f t="shared" si="438"/>
        <v>0.817757009345794</v>
      </c>
      <c r="AH3888" t="str">
        <f t="shared" si="441"/>
        <v>3rd Quality</v>
      </c>
      <c r="AJ3888">
        <f>((T3888-X3888)*2)/18.8</f>
        <v>12.9009478358852</v>
      </c>
      <c r="AK3888">
        <f t="shared" si="439"/>
        <v>163229.873333333</v>
      </c>
    </row>
    <row r="3889" spans="1:37">
      <c r="A3889" t="s">
        <v>3955</v>
      </c>
      <c r="B3889">
        <v>38</v>
      </c>
      <c r="C3889" t="s">
        <v>44</v>
      </c>
      <c r="D3889" t="s">
        <v>51</v>
      </c>
      <c r="E3889">
        <v>884</v>
      </c>
      <c r="F3889">
        <v>177</v>
      </c>
      <c r="G3889">
        <v>2</v>
      </c>
      <c r="H3889">
        <v>492.48</v>
      </c>
      <c r="I3889">
        <v>1089.73</v>
      </c>
      <c r="J3889">
        <v>15</v>
      </c>
      <c r="K3889">
        <v>0</v>
      </c>
      <c r="L3889">
        <v>29.1</v>
      </c>
      <c r="M3889">
        <v>63.9</v>
      </c>
      <c r="N3889" t="s">
        <v>61</v>
      </c>
      <c r="O3889" t="s">
        <v>47</v>
      </c>
      <c r="P3889" t="s">
        <v>48</v>
      </c>
      <c r="R3889">
        <f>SUMIF(A3889:A8888,"C03888",I3889:I8888)</f>
        <v>1089.73</v>
      </c>
      <c r="S3889" s="1">
        <v>34748.86</v>
      </c>
      <c r="T3889">
        <f t="shared" si="443"/>
        <v>72.6486666666667</v>
      </c>
      <c r="U3889">
        <f t="shared" si="442"/>
        <v>958.5</v>
      </c>
      <c r="V3889">
        <f t="shared" si="437"/>
        <v>79.875</v>
      </c>
      <c r="W3889">
        <f t="shared" si="440"/>
        <v>527.736666666667</v>
      </c>
      <c r="X3889">
        <f t="shared" si="438"/>
        <v>1.7949967511371</v>
      </c>
      <c r="AH3889" t="str">
        <f t="shared" si="441"/>
        <v>3rd Quality</v>
      </c>
      <c r="AJ3889">
        <f>((T3889-X3889)*2)/29.1</f>
        <v>4.86966803543159</v>
      </c>
      <c r="AK3889">
        <f t="shared" si="439"/>
        <v>64221.4213333333</v>
      </c>
    </row>
    <row r="3890" spans="1:37">
      <c r="A3890" t="s">
        <v>3956</v>
      </c>
      <c r="B3890">
        <v>33</v>
      </c>
      <c r="C3890" t="s">
        <v>50</v>
      </c>
      <c r="D3890" t="s">
        <v>60</v>
      </c>
      <c r="E3890">
        <v>852</v>
      </c>
      <c r="F3890">
        <v>71</v>
      </c>
      <c r="G3890">
        <v>1</v>
      </c>
      <c r="H3890">
        <v>2582.02</v>
      </c>
      <c r="I3890">
        <v>2502.12</v>
      </c>
      <c r="J3890">
        <v>16</v>
      </c>
      <c r="K3890">
        <v>0</v>
      </c>
      <c r="L3890">
        <v>22.2</v>
      </c>
      <c r="M3890">
        <v>27.9</v>
      </c>
      <c r="N3890" t="s">
        <v>78</v>
      </c>
      <c r="O3890" t="s">
        <v>47</v>
      </c>
      <c r="P3890" t="s">
        <v>48</v>
      </c>
      <c r="R3890">
        <f>SUMIF(A3890:A8889,"C03889",I3890:I8889)</f>
        <v>2502.12</v>
      </c>
      <c r="S3890" s="1">
        <v>1392.93</v>
      </c>
      <c r="T3890">
        <f t="shared" si="443"/>
        <v>156.3825</v>
      </c>
      <c r="U3890">
        <f t="shared" si="442"/>
        <v>446.4</v>
      </c>
      <c r="V3890">
        <f t="shared" si="437"/>
        <v>37.2</v>
      </c>
      <c r="W3890">
        <f t="shared" si="440"/>
        <v>1695.04666666667</v>
      </c>
      <c r="X3890">
        <f t="shared" si="438"/>
        <v>0.329974206241625</v>
      </c>
      <c r="AH3890" t="str">
        <f t="shared" si="441"/>
        <v>3rd Quality</v>
      </c>
      <c r="AJ3890">
        <f>((T3890-X3890)*2)/22.2</f>
        <v>14.0587861075458</v>
      </c>
      <c r="AK3890">
        <f t="shared" si="439"/>
        <v>133237.89</v>
      </c>
    </row>
    <row r="3891" spans="1:37">
      <c r="A3891" t="s">
        <v>3957</v>
      </c>
      <c r="B3891">
        <v>44</v>
      </c>
      <c r="C3891" t="s">
        <v>44</v>
      </c>
      <c r="D3891" t="s">
        <v>60</v>
      </c>
      <c r="E3891">
        <v>416</v>
      </c>
      <c r="F3891">
        <v>40</v>
      </c>
      <c r="G3891">
        <v>7</v>
      </c>
      <c r="H3891">
        <v>955.31</v>
      </c>
      <c r="I3891">
        <v>7005.38</v>
      </c>
      <c r="J3891">
        <v>23</v>
      </c>
      <c r="K3891">
        <v>2</v>
      </c>
      <c r="L3891">
        <v>30.2</v>
      </c>
      <c r="M3891">
        <v>22</v>
      </c>
      <c r="N3891" t="s">
        <v>78</v>
      </c>
      <c r="O3891" t="s">
        <v>53</v>
      </c>
      <c r="P3891" t="s">
        <v>58</v>
      </c>
      <c r="R3891">
        <f>SUMIF(A3891:A8890,"C03890",I3891:I8890)</f>
        <v>7005.38</v>
      </c>
      <c r="S3891" s="1">
        <v>21128.14</v>
      </c>
      <c r="T3891">
        <f t="shared" si="443"/>
        <v>304.581739130435</v>
      </c>
      <c r="U3891">
        <f t="shared" si="442"/>
        <v>506</v>
      </c>
      <c r="V3891">
        <f>U3891*2</f>
        <v>1012</v>
      </c>
      <c r="W3891">
        <f t="shared" si="440"/>
        <v>2653.89666666667</v>
      </c>
      <c r="X3891">
        <f t="shared" si="438"/>
        <v>0.435460740492615</v>
      </c>
      <c r="AH3891" t="str">
        <f t="shared" si="441"/>
        <v>3rd Quality</v>
      </c>
      <c r="AJ3891">
        <f>((T3891-X3891)*2)/30.2</f>
        <v>20.142137641718</v>
      </c>
      <c r="AK3891">
        <f t="shared" si="439"/>
        <v>126706.003478261</v>
      </c>
    </row>
    <row r="3892" spans="1:37">
      <c r="A3892" t="s">
        <v>3958</v>
      </c>
      <c r="B3892">
        <v>33</v>
      </c>
      <c r="C3892" t="s">
        <v>50</v>
      </c>
      <c r="D3892" t="s">
        <v>60</v>
      </c>
      <c r="E3892">
        <v>703</v>
      </c>
      <c r="F3892">
        <v>6</v>
      </c>
      <c r="G3892">
        <v>19</v>
      </c>
      <c r="H3892">
        <v>1872.42</v>
      </c>
      <c r="I3892">
        <v>34748.86</v>
      </c>
      <c r="J3892">
        <v>160</v>
      </c>
      <c r="K3892">
        <v>2</v>
      </c>
      <c r="L3892">
        <v>17.5</v>
      </c>
      <c r="M3892">
        <v>26.2</v>
      </c>
      <c r="N3892" t="s">
        <v>63</v>
      </c>
      <c r="O3892" t="s">
        <v>47</v>
      </c>
      <c r="P3892" t="s">
        <v>58</v>
      </c>
      <c r="R3892">
        <f>SUMIF(A3892:A8891,"C03891",I3892:I8891)</f>
        <v>34748.86</v>
      </c>
      <c r="S3892" s="1">
        <v>23560.35</v>
      </c>
      <c r="T3892">
        <f t="shared" si="443"/>
        <v>217.180375</v>
      </c>
      <c r="U3892">
        <f t="shared" si="442"/>
        <v>4192</v>
      </c>
      <c r="V3892">
        <f>U3892*2</f>
        <v>8384</v>
      </c>
      <c r="W3892">
        <f t="shared" si="440"/>
        <v>12207.4266666667</v>
      </c>
      <c r="X3892">
        <f t="shared" si="438"/>
        <v>0.375449952467929</v>
      </c>
      <c r="AH3892" t="str">
        <f t="shared" si="441"/>
        <v>2nd Quality</v>
      </c>
      <c r="AJ3892">
        <f>((T3892-X3892)*2)/17.5</f>
        <v>24.777705719718</v>
      </c>
      <c r="AK3892">
        <f t="shared" si="439"/>
        <v>152677.803625</v>
      </c>
    </row>
    <row r="3893" spans="1:37">
      <c r="A3893" t="s">
        <v>3959</v>
      </c>
      <c r="B3893">
        <v>22</v>
      </c>
      <c r="C3893" t="s">
        <v>50</v>
      </c>
      <c r="D3893" t="s">
        <v>60</v>
      </c>
      <c r="E3893">
        <v>393</v>
      </c>
      <c r="F3893">
        <v>175</v>
      </c>
      <c r="G3893">
        <v>2</v>
      </c>
      <c r="H3893">
        <v>677.82</v>
      </c>
      <c r="I3893">
        <v>1392.93</v>
      </c>
      <c r="J3893">
        <v>21</v>
      </c>
      <c r="K3893">
        <v>0</v>
      </c>
      <c r="L3893">
        <v>40.1</v>
      </c>
      <c r="M3893">
        <v>50.8</v>
      </c>
      <c r="N3893" t="s">
        <v>52</v>
      </c>
      <c r="O3893" t="s">
        <v>53</v>
      </c>
      <c r="P3893" t="s">
        <v>58</v>
      </c>
      <c r="R3893">
        <f>SUMIF(A3893:A8892,"C03892",I3893:I8892)</f>
        <v>1392.93</v>
      </c>
      <c r="S3893" s="1">
        <v>1042.71</v>
      </c>
      <c r="T3893">
        <f t="shared" si="443"/>
        <v>66.33</v>
      </c>
      <c r="U3893">
        <f t="shared" si="442"/>
        <v>1066.8</v>
      </c>
      <c r="V3893">
        <f t="shared" si="437"/>
        <v>88.9</v>
      </c>
      <c r="W3893">
        <f t="shared" si="440"/>
        <v>690.583333333333</v>
      </c>
      <c r="X3893">
        <f t="shared" si="438"/>
        <v>0.579799946888554</v>
      </c>
      <c r="AH3893" t="str">
        <f t="shared" si="441"/>
        <v>3rd Quality</v>
      </c>
      <c r="AJ3893">
        <f>((T3893-X3893)*2)/40.1</f>
        <v>3.2793117233472</v>
      </c>
      <c r="AK3893">
        <f t="shared" si="439"/>
        <v>26067.69</v>
      </c>
    </row>
    <row r="3894" spans="1:37">
      <c r="A3894" t="s">
        <v>3960</v>
      </c>
      <c r="B3894">
        <v>23</v>
      </c>
      <c r="C3894" t="s">
        <v>50</v>
      </c>
      <c r="D3894" t="s">
        <v>60</v>
      </c>
      <c r="E3894">
        <v>488</v>
      </c>
      <c r="F3894">
        <v>3</v>
      </c>
      <c r="G3894">
        <v>3</v>
      </c>
      <c r="H3894">
        <v>6767</v>
      </c>
      <c r="I3894">
        <v>21128.14</v>
      </c>
      <c r="J3894">
        <v>21</v>
      </c>
      <c r="K3894">
        <v>0</v>
      </c>
      <c r="L3894">
        <v>18.7</v>
      </c>
      <c r="M3894">
        <v>9.3</v>
      </c>
      <c r="N3894" t="s">
        <v>61</v>
      </c>
      <c r="O3894" t="s">
        <v>75</v>
      </c>
      <c r="P3894" t="s">
        <v>68</v>
      </c>
      <c r="R3894">
        <f>SUMIF(A3894:A8893,"C03893",I3894:I8893)</f>
        <v>21128.14</v>
      </c>
      <c r="S3894" s="1">
        <v>31409.59</v>
      </c>
      <c r="T3894">
        <f t="shared" si="443"/>
        <v>1006.1019047619</v>
      </c>
      <c r="U3894">
        <f t="shared" si="442"/>
        <v>195.3</v>
      </c>
      <c r="V3894">
        <f t="shared" ref="V3894:V3957" si="444">U3894/12</f>
        <v>16.275</v>
      </c>
      <c r="W3894">
        <f t="shared" si="440"/>
        <v>9298.71333333333</v>
      </c>
      <c r="X3894">
        <f t="shared" si="438"/>
        <v>0.0721146741539826</v>
      </c>
      <c r="AH3894" t="str">
        <f t="shared" si="441"/>
        <v>2nd Quality</v>
      </c>
      <c r="AJ3894">
        <f>((T3894-X3894)*2)/18.7</f>
        <v>107.596768993342</v>
      </c>
      <c r="AK3894">
        <f t="shared" si="439"/>
        <v>490977.72952381</v>
      </c>
    </row>
    <row r="3895" spans="1:37">
      <c r="A3895" t="s">
        <v>3961</v>
      </c>
      <c r="B3895">
        <v>29</v>
      </c>
      <c r="C3895" t="s">
        <v>44</v>
      </c>
      <c r="D3895" t="s">
        <v>45</v>
      </c>
      <c r="E3895">
        <v>1005</v>
      </c>
      <c r="F3895">
        <v>4</v>
      </c>
      <c r="G3895">
        <v>3</v>
      </c>
      <c r="H3895">
        <v>8612.03</v>
      </c>
      <c r="I3895">
        <v>23560.35</v>
      </c>
      <c r="J3895">
        <v>18</v>
      </c>
      <c r="K3895">
        <v>1</v>
      </c>
      <c r="L3895">
        <v>3.5</v>
      </c>
      <c r="M3895">
        <v>11.8</v>
      </c>
      <c r="N3895" t="s">
        <v>81</v>
      </c>
      <c r="O3895" t="s">
        <v>47</v>
      </c>
      <c r="P3895" t="s">
        <v>58</v>
      </c>
      <c r="R3895">
        <f>SUMIF(A3895:A8894,"C03894",I3895:I8894)</f>
        <v>23560.35</v>
      </c>
      <c r="S3895" s="1">
        <v>16585.54</v>
      </c>
      <c r="T3895">
        <f t="shared" si="443"/>
        <v>1308.90833333333</v>
      </c>
      <c r="U3895">
        <f t="shared" si="442"/>
        <v>212.4</v>
      </c>
      <c r="V3895">
        <f>U3895*1</f>
        <v>212.4</v>
      </c>
      <c r="W3895">
        <f t="shared" si="440"/>
        <v>10724.46</v>
      </c>
      <c r="X3895">
        <f t="shared" si="438"/>
        <v>0.116697224696152</v>
      </c>
      <c r="AH3895" t="str">
        <f t="shared" si="441"/>
        <v>2nd Quality</v>
      </c>
      <c r="AJ3895">
        <f>((T3895-X3895)*2)/3.5</f>
        <v>747.880934919219</v>
      </c>
      <c r="AK3895">
        <f t="shared" si="439"/>
        <v>1315452.875</v>
      </c>
    </row>
    <row r="3896" spans="1:37">
      <c r="A3896" t="s">
        <v>3962</v>
      </c>
      <c r="B3896">
        <v>31</v>
      </c>
      <c r="C3896" t="s">
        <v>44</v>
      </c>
      <c r="D3896" t="s">
        <v>45</v>
      </c>
      <c r="E3896">
        <v>899</v>
      </c>
      <c r="F3896">
        <v>106</v>
      </c>
      <c r="G3896">
        <v>1</v>
      </c>
      <c r="H3896">
        <v>1060.24</v>
      </c>
      <c r="I3896">
        <v>1042.71</v>
      </c>
      <c r="J3896">
        <v>9</v>
      </c>
      <c r="K3896">
        <v>0</v>
      </c>
      <c r="L3896">
        <v>33.1</v>
      </c>
      <c r="M3896">
        <v>10.6</v>
      </c>
      <c r="N3896" t="s">
        <v>57</v>
      </c>
      <c r="O3896" t="s">
        <v>75</v>
      </c>
      <c r="P3896" t="s">
        <v>58</v>
      </c>
      <c r="R3896">
        <f>SUMIF(A3896:A8895,"C03895",I3896:I8895)</f>
        <v>1042.71</v>
      </c>
      <c r="S3896" s="1">
        <v>8618.6</v>
      </c>
      <c r="T3896">
        <f t="shared" si="443"/>
        <v>115.856666666667</v>
      </c>
      <c r="U3896">
        <f t="shared" si="442"/>
        <v>95.4</v>
      </c>
      <c r="V3896">
        <f t="shared" si="444"/>
        <v>7.95</v>
      </c>
      <c r="W3896">
        <f t="shared" si="440"/>
        <v>701.316666666667</v>
      </c>
      <c r="X3896">
        <f t="shared" ref="X3896:X3959" si="445">E3896/H3896</f>
        <v>0.847921225382932</v>
      </c>
      <c r="AH3896" t="str">
        <f t="shared" si="441"/>
        <v>3rd Quality</v>
      </c>
      <c r="AJ3896">
        <f>((T3896-X3896)*2)/33.1</f>
        <v>6.94916890883892</v>
      </c>
      <c r="AK3896">
        <f t="shared" si="439"/>
        <v>104155.143333333</v>
      </c>
    </row>
    <row r="3897" spans="1:37">
      <c r="A3897" t="s">
        <v>3963</v>
      </c>
      <c r="B3897">
        <v>28</v>
      </c>
      <c r="C3897" t="s">
        <v>50</v>
      </c>
      <c r="D3897" t="s">
        <v>45</v>
      </c>
      <c r="E3897">
        <v>983</v>
      </c>
      <c r="F3897">
        <v>27</v>
      </c>
      <c r="G3897">
        <v>3</v>
      </c>
      <c r="H3897">
        <v>11262.98</v>
      </c>
      <c r="I3897">
        <v>31409.59</v>
      </c>
      <c r="J3897">
        <v>24</v>
      </c>
      <c r="K3897">
        <v>0</v>
      </c>
      <c r="L3897">
        <v>26.2</v>
      </c>
      <c r="M3897">
        <v>36.2</v>
      </c>
      <c r="N3897" t="s">
        <v>78</v>
      </c>
      <c r="O3897" t="s">
        <v>47</v>
      </c>
      <c r="P3897" t="s">
        <v>58</v>
      </c>
      <c r="R3897">
        <f>SUMIF(A3897:A8896,"C03896",I3897:I8896)</f>
        <v>31409.59</v>
      </c>
      <c r="S3897" s="1">
        <v>46280.82</v>
      </c>
      <c r="T3897">
        <f t="shared" si="443"/>
        <v>1308.73291666667</v>
      </c>
      <c r="U3897">
        <f t="shared" si="442"/>
        <v>868.8</v>
      </c>
      <c r="V3897">
        <f t="shared" si="444"/>
        <v>72.4</v>
      </c>
      <c r="W3897">
        <f t="shared" si="440"/>
        <v>14224.5233333333</v>
      </c>
      <c r="X3897">
        <f t="shared" si="445"/>
        <v>0.0872770794230301</v>
      </c>
      <c r="AH3897" t="str">
        <f t="shared" si="441"/>
        <v>1st Quality</v>
      </c>
      <c r="AJ3897">
        <f>((T3897-X3897)*2)/26.2</f>
        <v>99.8966137089502</v>
      </c>
      <c r="AK3897">
        <f t="shared" si="439"/>
        <v>1286484.45708333</v>
      </c>
    </row>
    <row r="3898" spans="1:37">
      <c r="A3898" t="s">
        <v>3964</v>
      </c>
      <c r="B3898">
        <v>33</v>
      </c>
      <c r="C3898" t="s">
        <v>50</v>
      </c>
      <c r="D3898" t="s">
        <v>45</v>
      </c>
      <c r="E3898">
        <v>1250</v>
      </c>
      <c r="F3898">
        <v>33</v>
      </c>
      <c r="G3898">
        <v>8</v>
      </c>
      <c r="H3898">
        <v>2281.66</v>
      </c>
      <c r="I3898">
        <v>16585.54</v>
      </c>
      <c r="J3898">
        <v>67</v>
      </c>
      <c r="K3898">
        <v>0</v>
      </c>
      <c r="L3898">
        <v>12.9</v>
      </c>
      <c r="M3898">
        <v>16.4</v>
      </c>
      <c r="N3898" t="s">
        <v>63</v>
      </c>
      <c r="O3898" t="s">
        <v>75</v>
      </c>
      <c r="P3898" t="s">
        <v>68</v>
      </c>
      <c r="R3898">
        <f>SUMIF(A3898:A8897,"C03897",I3898:I8897)</f>
        <v>16585.54</v>
      </c>
      <c r="S3898" s="1">
        <v>63903.74</v>
      </c>
      <c r="T3898">
        <f t="shared" si="443"/>
        <v>247.545373134328</v>
      </c>
      <c r="U3898">
        <f t="shared" si="442"/>
        <v>1098.8</v>
      </c>
      <c r="V3898">
        <f t="shared" si="444"/>
        <v>91.5666666666667</v>
      </c>
      <c r="W3898">
        <f t="shared" si="440"/>
        <v>6289.4</v>
      </c>
      <c r="X3898">
        <f t="shared" si="445"/>
        <v>0.547846743160681</v>
      </c>
      <c r="AH3898" t="str">
        <f t="shared" si="441"/>
        <v>2nd Quality</v>
      </c>
      <c r="AJ3898">
        <f>((T3898-X3898)*2)/12.9</f>
        <v>38.2941901381655</v>
      </c>
      <c r="AK3898">
        <f t="shared" si="439"/>
        <v>309431.71641791</v>
      </c>
    </row>
    <row r="3899" spans="1:37">
      <c r="A3899" t="s">
        <v>3965</v>
      </c>
      <c r="B3899">
        <v>21</v>
      </c>
      <c r="C3899" t="s">
        <v>50</v>
      </c>
      <c r="D3899" t="s">
        <v>60</v>
      </c>
      <c r="E3899">
        <v>1250</v>
      </c>
      <c r="F3899">
        <v>6</v>
      </c>
      <c r="G3899">
        <v>6</v>
      </c>
      <c r="H3899">
        <v>1405.42</v>
      </c>
      <c r="I3899">
        <v>8618.6</v>
      </c>
      <c r="J3899">
        <v>56</v>
      </c>
      <c r="K3899">
        <v>1</v>
      </c>
      <c r="L3899">
        <v>17.9</v>
      </c>
      <c r="M3899">
        <v>33.2</v>
      </c>
      <c r="N3899" t="s">
        <v>52</v>
      </c>
      <c r="O3899" t="s">
        <v>75</v>
      </c>
      <c r="P3899" t="s">
        <v>66</v>
      </c>
      <c r="R3899">
        <f>SUMIF(A3899:A8898,"C03898",I3899:I8898)</f>
        <v>8618.6</v>
      </c>
      <c r="S3899" s="1">
        <v>76728.6</v>
      </c>
      <c r="T3899">
        <f t="shared" si="443"/>
        <v>153.903571428571</v>
      </c>
      <c r="U3899">
        <f t="shared" si="442"/>
        <v>1859.2</v>
      </c>
      <c r="V3899">
        <f>U3899*1</f>
        <v>1859.2</v>
      </c>
      <c r="W3899">
        <f t="shared" si="440"/>
        <v>3341.67333333333</v>
      </c>
      <c r="X3899">
        <f t="shared" si="445"/>
        <v>0.889413840702423</v>
      </c>
      <c r="AH3899" t="str">
        <f t="shared" si="441"/>
        <v>3rd Quality</v>
      </c>
      <c r="AJ3899">
        <f>((T3899-X3899)*2)/17.9</f>
        <v>17.0965539204322</v>
      </c>
      <c r="AK3899">
        <f t="shared" si="439"/>
        <v>192379.464285714</v>
      </c>
    </row>
    <row r="3900" spans="1:37">
      <c r="A3900" t="s">
        <v>3966</v>
      </c>
      <c r="B3900">
        <v>53</v>
      </c>
      <c r="C3900" t="s">
        <v>50</v>
      </c>
      <c r="D3900" t="s">
        <v>45</v>
      </c>
      <c r="E3900">
        <v>1331</v>
      </c>
      <c r="F3900">
        <v>12</v>
      </c>
      <c r="G3900">
        <v>24</v>
      </c>
      <c r="H3900">
        <v>1848.4</v>
      </c>
      <c r="I3900">
        <v>46280.82</v>
      </c>
      <c r="J3900">
        <v>75</v>
      </c>
      <c r="K3900">
        <v>1</v>
      </c>
      <c r="L3900">
        <v>11.5</v>
      </c>
      <c r="M3900">
        <v>21.8</v>
      </c>
      <c r="N3900" t="s">
        <v>46</v>
      </c>
      <c r="O3900" t="s">
        <v>47</v>
      </c>
      <c r="P3900" t="s">
        <v>68</v>
      </c>
      <c r="R3900">
        <f>SUMIF(A3900:A8899,"C03899",I3900:I8899)</f>
        <v>46280.82</v>
      </c>
      <c r="S3900" s="1">
        <v>1344.06</v>
      </c>
      <c r="T3900">
        <f t="shared" si="443"/>
        <v>617.0776</v>
      </c>
      <c r="U3900">
        <f t="shared" si="442"/>
        <v>1635</v>
      </c>
      <c r="V3900">
        <f>U3900*1</f>
        <v>1635</v>
      </c>
      <c r="W3900">
        <f t="shared" si="440"/>
        <v>16043.4066666667</v>
      </c>
      <c r="X3900">
        <f t="shared" si="445"/>
        <v>0.720082233282839</v>
      </c>
      <c r="AH3900" t="str">
        <f t="shared" si="441"/>
        <v>3rd Quality</v>
      </c>
      <c r="AJ3900">
        <f>((T3900-X3900)*2)/11.5</f>
        <v>107.192611785516</v>
      </c>
      <c r="AK3900">
        <f t="shared" si="439"/>
        <v>821330.2856</v>
      </c>
    </row>
    <row r="3901" spans="1:37">
      <c r="A3901" t="s">
        <v>3967</v>
      </c>
      <c r="B3901">
        <v>29</v>
      </c>
      <c r="C3901" t="s">
        <v>44</v>
      </c>
      <c r="D3901" t="s">
        <v>51</v>
      </c>
      <c r="E3901">
        <v>454</v>
      </c>
      <c r="F3901">
        <v>14</v>
      </c>
      <c r="G3901">
        <v>30</v>
      </c>
      <c r="H3901">
        <v>2261.72</v>
      </c>
      <c r="I3901">
        <v>63903.74</v>
      </c>
      <c r="J3901">
        <v>187</v>
      </c>
      <c r="K3901">
        <v>2</v>
      </c>
      <c r="L3901">
        <v>10.6</v>
      </c>
      <c r="M3901">
        <v>8.5</v>
      </c>
      <c r="N3901" t="s">
        <v>81</v>
      </c>
      <c r="O3901" t="s">
        <v>75</v>
      </c>
      <c r="P3901" t="s">
        <v>68</v>
      </c>
      <c r="R3901">
        <f>SUMIF(A3901:A8900,"C03900",I3901:I8900)</f>
        <v>63903.74</v>
      </c>
      <c r="S3901" s="1">
        <v>2115.43</v>
      </c>
      <c r="T3901">
        <f t="shared" si="443"/>
        <v>341.731229946524</v>
      </c>
      <c r="U3901">
        <f t="shared" si="442"/>
        <v>1589.5</v>
      </c>
      <c r="V3901">
        <f>U3901*2</f>
        <v>3179</v>
      </c>
      <c r="W3901">
        <f t="shared" si="440"/>
        <v>22055.4866666667</v>
      </c>
      <c r="X3901">
        <f t="shared" si="445"/>
        <v>0.200732186123835</v>
      </c>
      <c r="AH3901" t="str">
        <f t="shared" si="441"/>
        <v>3rd Quality</v>
      </c>
      <c r="AJ3901">
        <f>((T3901-X3901)*2)/10.6</f>
        <v>64.4397165585661</v>
      </c>
      <c r="AK3901">
        <f t="shared" si="439"/>
        <v>155145.978395722</v>
      </c>
    </row>
    <row r="3902" spans="1:37">
      <c r="A3902" t="s">
        <v>3968</v>
      </c>
      <c r="B3902">
        <v>22</v>
      </c>
      <c r="C3902" t="s">
        <v>50</v>
      </c>
      <c r="D3902" t="s">
        <v>60</v>
      </c>
      <c r="E3902">
        <v>451</v>
      </c>
      <c r="F3902">
        <v>9</v>
      </c>
      <c r="G3902">
        <v>25</v>
      </c>
      <c r="H3902">
        <v>3480.71</v>
      </c>
      <c r="I3902">
        <v>76728.6</v>
      </c>
      <c r="J3902">
        <v>57</v>
      </c>
      <c r="K3902">
        <v>0</v>
      </c>
      <c r="L3902">
        <v>0</v>
      </c>
      <c r="M3902">
        <v>38.6</v>
      </c>
      <c r="N3902" t="s">
        <v>61</v>
      </c>
      <c r="O3902" t="s">
        <v>47</v>
      </c>
      <c r="P3902" t="s">
        <v>58</v>
      </c>
      <c r="R3902">
        <f>SUMIF(A3902:A8901,"C03901",I3902:I8901)</f>
        <v>76728.6</v>
      </c>
      <c r="S3902" s="1">
        <v>21058.93</v>
      </c>
      <c r="T3902">
        <f t="shared" si="443"/>
        <v>1346.11578947368</v>
      </c>
      <c r="U3902">
        <f t="shared" si="442"/>
        <v>2200.2</v>
      </c>
      <c r="V3902">
        <f t="shared" si="444"/>
        <v>183.35</v>
      </c>
      <c r="W3902">
        <f t="shared" si="440"/>
        <v>26736.77</v>
      </c>
      <c r="X3902">
        <f t="shared" si="445"/>
        <v>0.129571265632586</v>
      </c>
      <c r="AH3902" t="str">
        <f t="shared" si="441"/>
        <v>3rd Quality</v>
      </c>
      <c r="AJ3902">
        <f>((T3902-X3902)*2)</f>
        <v>2691.97243641609</v>
      </c>
      <c r="AK3902">
        <f t="shared" si="439"/>
        <v>607098.221052632</v>
      </c>
    </row>
    <row r="3903" spans="1:37">
      <c r="A3903" t="s">
        <v>3969</v>
      </c>
      <c r="B3903">
        <v>37</v>
      </c>
      <c r="C3903" t="s">
        <v>50</v>
      </c>
      <c r="D3903" t="s">
        <v>45</v>
      </c>
      <c r="E3903">
        <v>1348</v>
      </c>
      <c r="F3903">
        <v>178</v>
      </c>
      <c r="G3903">
        <v>3</v>
      </c>
      <c r="H3903">
        <v>402.54</v>
      </c>
      <c r="I3903">
        <v>1344.06</v>
      </c>
      <c r="J3903">
        <v>18</v>
      </c>
      <c r="K3903">
        <v>0</v>
      </c>
      <c r="L3903">
        <v>22.4</v>
      </c>
      <c r="M3903">
        <v>34.5</v>
      </c>
      <c r="N3903" t="s">
        <v>46</v>
      </c>
      <c r="O3903" t="s">
        <v>75</v>
      </c>
      <c r="P3903" t="s">
        <v>68</v>
      </c>
      <c r="R3903">
        <f>SUMIF(A3903:A8902,"C03902",I3903:I8902)</f>
        <v>1344.06</v>
      </c>
      <c r="S3903" s="1">
        <v>11400.58</v>
      </c>
      <c r="T3903">
        <f t="shared" si="443"/>
        <v>74.67</v>
      </c>
      <c r="U3903">
        <f t="shared" si="442"/>
        <v>621</v>
      </c>
      <c r="V3903">
        <f t="shared" si="444"/>
        <v>51.75</v>
      </c>
      <c r="W3903">
        <f t="shared" si="440"/>
        <v>582.533333333333</v>
      </c>
      <c r="X3903">
        <f t="shared" si="445"/>
        <v>3.34873552938838</v>
      </c>
      <c r="AH3903" t="str">
        <f t="shared" si="441"/>
        <v>3rd Quality</v>
      </c>
      <c r="AJ3903">
        <f>((T3903-X3903)*2)/22.4</f>
        <v>6.3679700420189</v>
      </c>
      <c r="AK3903">
        <f t="shared" si="439"/>
        <v>100655.16</v>
      </c>
    </row>
    <row r="3904" spans="1:37">
      <c r="A3904" t="s">
        <v>3970</v>
      </c>
      <c r="B3904">
        <v>28</v>
      </c>
      <c r="C3904" t="s">
        <v>44</v>
      </c>
      <c r="D3904" t="s">
        <v>45</v>
      </c>
      <c r="E3904">
        <v>1319</v>
      </c>
      <c r="F3904">
        <v>123</v>
      </c>
      <c r="G3904">
        <v>4</v>
      </c>
      <c r="H3904">
        <v>532.07</v>
      </c>
      <c r="I3904">
        <v>2115.43</v>
      </c>
      <c r="J3904">
        <v>19</v>
      </c>
      <c r="K3904">
        <v>1</v>
      </c>
      <c r="L3904">
        <v>30.5</v>
      </c>
      <c r="M3904">
        <v>21.1</v>
      </c>
      <c r="N3904" t="s">
        <v>61</v>
      </c>
      <c r="O3904" t="s">
        <v>75</v>
      </c>
      <c r="P3904" t="s">
        <v>68</v>
      </c>
      <c r="R3904">
        <f>SUMIF(A3904:A8903,"C03903",I3904:I8903)</f>
        <v>2115.43</v>
      </c>
      <c r="S3904" s="1">
        <v>5966.53</v>
      </c>
      <c r="T3904">
        <f t="shared" si="443"/>
        <v>111.338421052632</v>
      </c>
      <c r="U3904">
        <f t="shared" si="442"/>
        <v>400.9</v>
      </c>
      <c r="V3904">
        <f>U3904*1</f>
        <v>400.9</v>
      </c>
      <c r="W3904">
        <f t="shared" si="440"/>
        <v>882.833333333333</v>
      </c>
      <c r="X3904">
        <f t="shared" si="445"/>
        <v>2.47899712443851</v>
      </c>
      <c r="AH3904" t="str">
        <f t="shared" si="441"/>
        <v>3rd Quality</v>
      </c>
      <c r="AJ3904">
        <f>((T3904-X3904)*2)/30.5</f>
        <v>7.13832288053728</v>
      </c>
      <c r="AK3904">
        <f t="shared" si="439"/>
        <v>146855.377368421</v>
      </c>
    </row>
    <row r="3905" spans="1:37">
      <c r="A3905" t="s">
        <v>3971</v>
      </c>
      <c r="B3905">
        <v>30</v>
      </c>
      <c r="C3905" t="s">
        <v>44</v>
      </c>
      <c r="D3905" t="s">
        <v>45</v>
      </c>
      <c r="E3905">
        <v>390</v>
      </c>
      <c r="F3905">
        <v>18</v>
      </c>
      <c r="G3905">
        <v>4</v>
      </c>
      <c r="H3905">
        <v>5079.64</v>
      </c>
      <c r="I3905">
        <v>21058.93</v>
      </c>
      <c r="J3905">
        <v>17</v>
      </c>
      <c r="K3905">
        <v>1</v>
      </c>
      <c r="L3905">
        <v>4.5</v>
      </c>
      <c r="M3905">
        <v>36.8</v>
      </c>
      <c r="N3905" t="s">
        <v>52</v>
      </c>
      <c r="O3905" t="s">
        <v>47</v>
      </c>
      <c r="P3905" t="s">
        <v>68</v>
      </c>
      <c r="R3905">
        <f>SUMIF(A3905:A8904,"C03904",I3905:I8904)</f>
        <v>21058.93</v>
      </c>
      <c r="S3905" s="1">
        <v>3357.46</v>
      </c>
      <c r="T3905">
        <f t="shared" si="443"/>
        <v>1238.76058823529</v>
      </c>
      <c r="U3905">
        <f t="shared" si="442"/>
        <v>625.6</v>
      </c>
      <c r="V3905">
        <f>U3905*1</f>
        <v>625.6</v>
      </c>
      <c r="W3905">
        <f t="shared" si="440"/>
        <v>8713.19</v>
      </c>
      <c r="X3905">
        <f t="shared" si="445"/>
        <v>0.0767770944397634</v>
      </c>
      <c r="AH3905" t="str">
        <f t="shared" si="441"/>
        <v>3rd Quality</v>
      </c>
      <c r="AJ3905">
        <f>((T3905-X3905)*2)/4.5</f>
        <v>550.526138284822</v>
      </c>
      <c r="AK3905">
        <f t="shared" si="439"/>
        <v>483116.629411765</v>
      </c>
    </row>
    <row r="3906" spans="1:37">
      <c r="A3906" t="s">
        <v>3972</v>
      </c>
      <c r="B3906">
        <v>36</v>
      </c>
      <c r="C3906" t="s">
        <v>44</v>
      </c>
      <c r="D3906" t="s">
        <v>60</v>
      </c>
      <c r="E3906">
        <v>402</v>
      </c>
      <c r="F3906">
        <v>83</v>
      </c>
      <c r="G3906">
        <v>9</v>
      </c>
      <c r="H3906">
        <v>1410.53</v>
      </c>
      <c r="I3906">
        <v>11400.58</v>
      </c>
      <c r="J3906">
        <v>47</v>
      </c>
      <c r="K3906">
        <v>1</v>
      </c>
      <c r="L3906">
        <v>26.3</v>
      </c>
      <c r="M3906">
        <v>24.3</v>
      </c>
      <c r="N3906" t="s">
        <v>81</v>
      </c>
      <c r="O3906" t="s">
        <v>47</v>
      </c>
      <c r="P3906" t="s">
        <v>58</v>
      </c>
      <c r="R3906">
        <f>SUMIF(A3906:A8905,"C03905",I3906:I8905)</f>
        <v>11400.58</v>
      </c>
      <c r="S3906" s="1">
        <v>4132.94</v>
      </c>
      <c r="T3906">
        <f t="shared" si="443"/>
        <v>242.565531914894</v>
      </c>
      <c r="U3906">
        <f t="shared" si="442"/>
        <v>1142.1</v>
      </c>
      <c r="V3906">
        <f>U3906*1</f>
        <v>1142.1</v>
      </c>
      <c r="W3906">
        <f t="shared" si="440"/>
        <v>4270.70333333333</v>
      </c>
      <c r="X3906">
        <f t="shared" si="445"/>
        <v>0.284999255598959</v>
      </c>
      <c r="AH3906" t="str">
        <f t="shared" si="441"/>
        <v>3rd Quality</v>
      </c>
      <c r="AJ3906">
        <f>((T3906-X3906)*2)/26.3</f>
        <v>18.4243751071707</v>
      </c>
      <c r="AK3906">
        <f t="shared" si="439"/>
        <v>97511.3438297872</v>
      </c>
    </row>
    <row r="3907" spans="1:37">
      <c r="A3907" t="s">
        <v>3973</v>
      </c>
      <c r="B3907">
        <v>35</v>
      </c>
      <c r="C3907" t="s">
        <v>50</v>
      </c>
      <c r="D3907" t="s">
        <v>45</v>
      </c>
      <c r="E3907">
        <v>698</v>
      </c>
      <c r="F3907">
        <v>241</v>
      </c>
      <c r="G3907">
        <v>3</v>
      </c>
      <c r="H3907">
        <v>1933.07</v>
      </c>
      <c r="I3907">
        <v>5966.53</v>
      </c>
      <c r="J3907">
        <v>24</v>
      </c>
      <c r="K3907">
        <v>0</v>
      </c>
      <c r="L3907">
        <v>42.7</v>
      </c>
      <c r="M3907">
        <v>33.8</v>
      </c>
      <c r="N3907" t="s">
        <v>61</v>
      </c>
      <c r="O3907" t="s">
        <v>47</v>
      </c>
      <c r="P3907" t="s">
        <v>58</v>
      </c>
      <c r="R3907">
        <f>SUMIF(A3907:A8906,"C03906",I3907:I8906)</f>
        <v>5966.53</v>
      </c>
      <c r="S3907" s="1">
        <v>38555.49</v>
      </c>
      <c r="T3907">
        <f t="shared" si="443"/>
        <v>248.605416666667</v>
      </c>
      <c r="U3907">
        <f t="shared" si="442"/>
        <v>811.2</v>
      </c>
      <c r="V3907">
        <f t="shared" si="444"/>
        <v>67.6</v>
      </c>
      <c r="W3907">
        <f t="shared" si="440"/>
        <v>2633.53333333333</v>
      </c>
      <c r="X3907">
        <f t="shared" si="445"/>
        <v>0.361083664844005</v>
      </c>
      <c r="AH3907" t="str">
        <f t="shared" si="441"/>
        <v>3rd Quality</v>
      </c>
      <c r="AJ3907">
        <f>((T3907-X3907)*2)/42.7</f>
        <v>11.6273692272517</v>
      </c>
      <c r="AK3907">
        <f t="shared" ref="AK3907:AK3970" si="446">I3907/J3907*E3907</f>
        <v>173526.580833333</v>
      </c>
    </row>
    <row r="3908" spans="1:37">
      <c r="A3908" t="s">
        <v>3974</v>
      </c>
      <c r="B3908">
        <v>20</v>
      </c>
      <c r="C3908" t="s">
        <v>44</v>
      </c>
      <c r="D3908" t="s">
        <v>60</v>
      </c>
      <c r="E3908">
        <v>969</v>
      </c>
      <c r="F3908">
        <v>108</v>
      </c>
      <c r="G3908">
        <v>6</v>
      </c>
      <c r="H3908">
        <v>526.4</v>
      </c>
      <c r="I3908">
        <v>3357.46</v>
      </c>
      <c r="J3908">
        <v>29</v>
      </c>
      <c r="K3908">
        <v>1</v>
      </c>
      <c r="L3908">
        <v>20.3</v>
      </c>
      <c r="M3908">
        <v>2.5</v>
      </c>
      <c r="N3908" t="s">
        <v>52</v>
      </c>
      <c r="O3908" t="s">
        <v>47</v>
      </c>
      <c r="P3908" t="s">
        <v>68</v>
      </c>
      <c r="R3908">
        <f>SUMIF(A3908:A8907,"C03907",I3908:I8907)</f>
        <v>3357.46</v>
      </c>
      <c r="S3908" s="1">
        <v>1411.41</v>
      </c>
      <c r="T3908">
        <f t="shared" si="443"/>
        <v>115.774482758621</v>
      </c>
      <c r="U3908">
        <f t="shared" si="442"/>
        <v>72.5</v>
      </c>
      <c r="V3908">
        <f>U3908*1</f>
        <v>72.5</v>
      </c>
      <c r="W3908">
        <f t="shared" si="440"/>
        <v>1294.95333333333</v>
      </c>
      <c r="X3908">
        <f t="shared" si="445"/>
        <v>1.84080547112462</v>
      </c>
      <c r="AH3908" t="str">
        <f t="shared" si="441"/>
        <v>3rd Quality</v>
      </c>
      <c r="AJ3908">
        <f>((T3908-X3908)*2)/20.3</f>
        <v>11.2249928362065</v>
      </c>
      <c r="AK3908">
        <f t="shared" si="446"/>
        <v>112185.473793103</v>
      </c>
    </row>
    <row r="3909" spans="1:37">
      <c r="A3909" t="s">
        <v>3975</v>
      </c>
      <c r="B3909">
        <v>41</v>
      </c>
      <c r="C3909" t="s">
        <v>50</v>
      </c>
      <c r="D3909" t="s">
        <v>60</v>
      </c>
      <c r="E3909">
        <v>423</v>
      </c>
      <c r="F3909">
        <v>88</v>
      </c>
      <c r="G3909">
        <v>2</v>
      </c>
      <c r="H3909">
        <v>2318.3</v>
      </c>
      <c r="I3909">
        <v>4132.94</v>
      </c>
      <c r="J3909">
        <v>13</v>
      </c>
      <c r="K3909">
        <v>0</v>
      </c>
      <c r="L3909">
        <v>33.2</v>
      </c>
      <c r="M3909">
        <v>12</v>
      </c>
      <c r="N3909" t="s">
        <v>52</v>
      </c>
      <c r="O3909" t="s">
        <v>47</v>
      </c>
      <c r="P3909" t="s">
        <v>66</v>
      </c>
      <c r="R3909">
        <f>SUMIF(A3909:A8908,"C03908",I3909:I8908)</f>
        <v>4132.94</v>
      </c>
      <c r="S3909" s="1">
        <v>31508.64</v>
      </c>
      <c r="T3909">
        <f t="shared" si="443"/>
        <v>317.918461538461</v>
      </c>
      <c r="U3909">
        <f t="shared" si="442"/>
        <v>156</v>
      </c>
      <c r="V3909">
        <f t="shared" si="444"/>
        <v>13</v>
      </c>
      <c r="W3909">
        <f t="shared" si="440"/>
        <v>2150.74666666667</v>
      </c>
      <c r="X3909">
        <f t="shared" si="445"/>
        <v>0.182461286287366</v>
      </c>
      <c r="AH3909" t="str">
        <f t="shared" si="441"/>
        <v>3rd Quality</v>
      </c>
      <c r="AJ3909">
        <f>((T3909-X3909)*2)/33.2</f>
        <v>19.1407229067574</v>
      </c>
      <c r="AK3909">
        <f t="shared" si="446"/>
        <v>134479.509230769</v>
      </c>
    </row>
    <row r="3910" spans="1:37">
      <c r="A3910" t="s">
        <v>3976</v>
      </c>
      <c r="B3910">
        <v>32</v>
      </c>
      <c r="C3910" t="s">
        <v>50</v>
      </c>
      <c r="D3910" t="s">
        <v>60</v>
      </c>
      <c r="E3910">
        <v>859</v>
      </c>
      <c r="F3910">
        <v>55</v>
      </c>
      <c r="G3910">
        <v>5</v>
      </c>
      <c r="H3910">
        <v>7667.72</v>
      </c>
      <c r="I3910">
        <v>38555.49</v>
      </c>
      <c r="J3910">
        <v>30</v>
      </c>
      <c r="K3910">
        <v>0</v>
      </c>
      <c r="L3910">
        <v>19.2</v>
      </c>
      <c r="M3910">
        <v>4.7</v>
      </c>
      <c r="N3910" t="s">
        <v>81</v>
      </c>
      <c r="O3910" t="s">
        <v>47</v>
      </c>
      <c r="P3910" t="s">
        <v>54</v>
      </c>
      <c r="R3910">
        <f>SUMIF(A3910:A8909,"C03909",I3910:I8909)</f>
        <v>38555.49</v>
      </c>
      <c r="S3910" s="1">
        <v>12607.86</v>
      </c>
      <c r="T3910">
        <f t="shared" si="443"/>
        <v>1285.183</v>
      </c>
      <c r="U3910">
        <f t="shared" si="442"/>
        <v>141</v>
      </c>
      <c r="V3910">
        <f t="shared" si="444"/>
        <v>11.75</v>
      </c>
      <c r="W3910">
        <f t="shared" si="440"/>
        <v>15408.07</v>
      </c>
      <c r="X3910">
        <f t="shared" si="445"/>
        <v>0.112028086575931</v>
      </c>
      <c r="AH3910" t="str">
        <f t="shared" si="441"/>
        <v>2nd Quality</v>
      </c>
      <c r="AJ3910">
        <f>((T3910-X3910)*2)/19.2</f>
        <v>133.861559574315</v>
      </c>
      <c r="AK3910">
        <f t="shared" si="446"/>
        <v>1103972.197</v>
      </c>
    </row>
    <row r="3911" spans="1:37">
      <c r="A3911" t="s">
        <v>3977</v>
      </c>
      <c r="B3911">
        <v>27</v>
      </c>
      <c r="C3911" t="s">
        <v>50</v>
      </c>
      <c r="D3911" t="s">
        <v>60</v>
      </c>
      <c r="E3911">
        <v>636</v>
      </c>
      <c r="F3911">
        <v>26</v>
      </c>
      <c r="G3911">
        <v>3</v>
      </c>
      <c r="H3911">
        <v>514.69</v>
      </c>
      <c r="I3911">
        <v>1411.41</v>
      </c>
      <c r="J3911">
        <v>12</v>
      </c>
      <c r="K3911">
        <v>0</v>
      </c>
      <c r="L3911">
        <v>16.9</v>
      </c>
      <c r="M3911">
        <v>23.6</v>
      </c>
      <c r="N3911" t="s">
        <v>52</v>
      </c>
      <c r="O3911" t="s">
        <v>75</v>
      </c>
      <c r="P3911" t="s">
        <v>58</v>
      </c>
      <c r="R3911">
        <f>SUMIF(A3911:A8910,"C03910",I3911:I8910)</f>
        <v>1411.41</v>
      </c>
      <c r="S3911" s="1">
        <v>8179.64</v>
      </c>
      <c r="T3911">
        <f t="shared" si="443"/>
        <v>117.6175</v>
      </c>
      <c r="U3911">
        <f t="shared" si="442"/>
        <v>283.2</v>
      </c>
      <c r="V3911">
        <f t="shared" si="444"/>
        <v>23.6</v>
      </c>
      <c r="W3911">
        <f t="shared" si="440"/>
        <v>642.366666666667</v>
      </c>
      <c r="X3911">
        <f t="shared" si="445"/>
        <v>1.23569527288271</v>
      </c>
      <c r="AH3911" t="str">
        <f t="shared" si="441"/>
        <v>3rd Quality</v>
      </c>
      <c r="AJ3911">
        <f>((T3911-X3911)*2)/16.9</f>
        <v>13.7729946422624</v>
      </c>
      <c r="AK3911">
        <f t="shared" si="446"/>
        <v>74804.73</v>
      </c>
    </row>
    <row r="3912" spans="1:37">
      <c r="A3912" t="s">
        <v>3978</v>
      </c>
      <c r="B3912">
        <v>50</v>
      </c>
      <c r="C3912" t="s">
        <v>44</v>
      </c>
      <c r="D3912" t="s">
        <v>45</v>
      </c>
      <c r="E3912">
        <v>1374</v>
      </c>
      <c r="F3912">
        <v>13</v>
      </c>
      <c r="G3912">
        <v>2</v>
      </c>
      <c r="H3912">
        <v>17212.93</v>
      </c>
      <c r="I3912">
        <v>31508.64</v>
      </c>
      <c r="J3912">
        <v>29</v>
      </c>
      <c r="K3912">
        <v>0</v>
      </c>
      <c r="L3912">
        <v>0</v>
      </c>
      <c r="M3912">
        <v>39</v>
      </c>
      <c r="N3912" t="s">
        <v>52</v>
      </c>
      <c r="O3912" t="s">
        <v>47</v>
      </c>
      <c r="P3912" t="s">
        <v>68</v>
      </c>
      <c r="R3912">
        <f>SUMIF(A3912:A8911,"C03911",I3912:I8911)</f>
        <v>31508.64</v>
      </c>
      <c r="S3912" s="1">
        <v>15693.85</v>
      </c>
      <c r="T3912">
        <f t="shared" si="443"/>
        <v>1086.50482758621</v>
      </c>
      <c r="U3912">
        <f t="shared" si="442"/>
        <v>1131</v>
      </c>
      <c r="V3912">
        <f t="shared" si="444"/>
        <v>94.25</v>
      </c>
      <c r="W3912">
        <f t="shared" si="440"/>
        <v>16240.8566666667</v>
      </c>
      <c r="X3912">
        <f t="shared" si="445"/>
        <v>0.0798237139173865</v>
      </c>
      <c r="AH3912" t="str">
        <f t="shared" si="441"/>
        <v>3rd Quality</v>
      </c>
      <c r="AJ3912">
        <f>((T3912-X3912)*2)</f>
        <v>2172.85000774459</v>
      </c>
      <c r="AK3912">
        <f t="shared" si="446"/>
        <v>1492857.63310345</v>
      </c>
    </row>
    <row r="3913" spans="1:37">
      <c r="A3913" t="s">
        <v>3979</v>
      </c>
      <c r="B3913">
        <v>39</v>
      </c>
      <c r="C3913" t="s">
        <v>44</v>
      </c>
      <c r="D3913" t="s">
        <v>45</v>
      </c>
      <c r="E3913">
        <v>1259</v>
      </c>
      <c r="F3913">
        <v>60</v>
      </c>
      <c r="G3913">
        <v>4</v>
      </c>
      <c r="H3913">
        <v>3067.45</v>
      </c>
      <c r="I3913">
        <v>12607.86</v>
      </c>
      <c r="J3913">
        <v>27</v>
      </c>
      <c r="K3913">
        <v>1</v>
      </c>
      <c r="L3913">
        <v>19.2</v>
      </c>
      <c r="M3913">
        <v>16.1</v>
      </c>
      <c r="N3913" t="s">
        <v>61</v>
      </c>
      <c r="O3913" t="s">
        <v>47</v>
      </c>
      <c r="P3913" t="s">
        <v>58</v>
      </c>
      <c r="R3913">
        <f>SUMIF(A3913:A8912,"C03912",I3913:I8912)</f>
        <v>12607.86</v>
      </c>
      <c r="S3913" s="1">
        <v>8314.22</v>
      </c>
      <c r="T3913">
        <f t="shared" si="443"/>
        <v>466.957777777778</v>
      </c>
      <c r="U3913">
        <f t="shared" si="442"/>
        <v>434.7</v>
      </c>
      <c r="V3913">
        <f>U3913*1</f>
        <v>434.7</v>
      </c>
      <c r="W3913">
        <f t="shared" ref="W3913:W3976" si="447">(H3913+I3913+1)/3</f>
        <v>5225.43666666667</v>
      </c>
      <c r="X3913">
        <f t="shared" si="445"/>
        <v>0.410438637956609</v>
      </c>
      <c r="AH3913" t="str">
        <f t="shared" si="441"/>
        <v>3rd Quality</v>
      </c>
      <c r="AJ3913">
        <f>((T3913-X3913)*2)/19.2</f>
        <v>48.5986811603981</v>
      </c>
      <c r="AK3913">
        <f t="shared" si="446"/>
        <v>587899.842222222</v>
      </c>
    </row>
    <row r="3914" spans="1:37">
      <c r="A3914" t="s">
        <v>3980</v>
      </c>
      <c r="B3914">
        <v>22</v>
      </c>
      <c r="C3914" t="s">
        <v>44</v>
      </c>
      <c r="D3914" t="s">
        <v>51</v>
      </c>
      <c r="E3914">
        <v>941</v>
      </c>
      <c r="F3914">
        <v>83</v>
      </c>
      <c r="G3914">
        <v>4</v>
      </c>
      <c r="H3914">
        <v>1988.01</v>
      </c>
      <c r="I3914">
        <v>8179.64</v>
      </c>
      <c r="J3914">
        <v>39</v>
      </c>
      <c r="K3914">
        <v>0</v>
      </c>
      <c r="L3914">
        <v>10.3</v>
      </c>
      <c r="M3914">
        <v>7.9</v>
      </c>
      <c r="N3914" t="s">
        <v>78</v>
      </c>
      <c r="O3914" t="s">
        <v>47</v>
      </c>
      <c r="P3914" t="s">
        <v>68</v>
      </c>
      <c r="R3914">
        <f>SUMIF(A3914:A8913,"C03913",I3914:I8913)</f>
        <v>8179.64</v>
      </c>
      <c r="S3914" s="1">
        <v>10134.87</v>
      </c>
      <c r="T3914">
        <f t="shared" si="443"/>
        <v>209.734358974359</v>
      </c>
      <c r="U3914">
        <f t="shared" si="442"/>
        <v>308.1</v>
      </c>
      <c r="V3914">
        <f t="shared" si="444"/>
        <v>25.675</v>
      </c>
      <c r="W3914">
        <f t="shared" si="447"/>
        <v>3389.55</v>
      </c>
      <c r="X3914">
        <f t="shared" si="445"/>
        <v>0.473337659267308</v>
      </c>
      <c r="AH3914" t="str">
        <f t="shared" si="441"/>
        <v>3rd Quality</v>
      </c>
      <c r="AJ3914">
        <f>((T3914-X3914)*2)/10.3</f>
        <v>40.6332080223479</v>
      </c>
      <c r="AK3914">
        <f t="shared" si="446"/>
        <v>197360.031794872</v>
      </c>
    </row>
    <row r="3915" spans="1:37">
      <c r="A3915" t="s">
        <v>3981</v>
      </c>
      <c r="B3915">
        <v>27</v>
      </c>
      <c r="C3915" t="s">
        <v>44</v>
      </c>
      <c r="D3915" t="s">
        <v>60</v>
      </c>
      <c r="E3915">
        <v>506</v>
      </c>
      <c r="F3915">
        <v>78</v>
      </c>
      <c r="G3915">
        <v>10</v>
      </c>
      <c r="H3915">
        <v>1549.39</v>
      </c>
      <c r="I3915">
        <v>15693.85</v>
      </c>
      <c r="J3915">
        <v>34</v>
      </c>
      <c r="K3915">
        <v>1</v>
      </c>
      <c r="L3915">
        <v>26.1</v>
      </c>
      <c r="M3915">
        <v>33</v>
      </c>
      <c r="N3915" t="s">
        <v>46</v>
      </c>
      <c r="O3915" t="s">
        <v>47</v>
      </c>
      <c r="P3915" t="s">
        <v>58</v>
      </c>
      <c r="R3915">
        <f>SUMIF(A3915:A8914,"C03914",I3915:I8914)</f>
        <v>15693.85</v>
      </c>
      <c r="S3915" s="1">
        <v>10761.82</v>
      </c>
      <c r="T3915">
        <f t="shared" si="443"/>
        <v>461.583823529412</v>
      </c>
      <c r="U3915">
        <f t="shared" si="442"/>
        <v>1122</v>
      </c>
      <c r="V3915">
        <f>U3915*1</f>
        <v>1122</v>
      </c>
      <c r="W3915">
        <f t="shared" si="447"/>
        <v>5748.08</v>
      </c>
      <c r="X3915">
        <f t="shared" si="445"/>
        <v>0.32658013798979</v>
      </c>
      <c r="AH3915" t="str">
        <f t="shared" si="441"/>
        <v>3rd Quality</v>
      </c>
      <c r="AJ3915">
        <f>((T3915-X3915)*2)/26.1</f>
        <v>35.345382635358</v>
      </c>
      <c r="AK3915">
        <f t="shared" si="446"/>
        <v>233561.414705882</v>
      </c>
    </row>
    <row r="3916" spans="1:37">
      <c r="A3916" t="s">
        <v>3982</v>
      </c>
      <c r="B3916">
        <v>28</v>
      </c>
      <c r="C3916" t="s">
        <v>44</v>
      </c>
      <c r="D3916" t="s">
        <v>51</v>
      </c>
      <c r="E3916">
        <v>658</v>
      </c>
      <c r="F3916">
        <v>15</v>
      </c>
      <c r="G3916">
        <v>6</v>
      </c>
      <c r="H3916">
        <v>1382.33</v>
      </c>
      <c r="I3916">
        <v>8314.22</v>
      </c>
      <c r="J3916">
        <v>35</v>
      </c>
      <c r="K3916">
        <v>0</v>
      </c>
      <c r="L3916">
        <v>26.4</v>
      </c>
      <c r="M3916">
        <v>19.1</v>
      </c>
      <c r="N3916" t="s">
        <v>61</v>
      </c>
      <c r="O3916" t="s">
        <v>47</v>
      </c>
      <c r="P3916" t="s">
        <v>58</v>
      </c>
      <c r="R3916">
        <f>SUMIF(A3916:A8915,"C03915",I3916:I8915)</f>
        <v>8314.22</v>
      </c>
      <c r="S3916" s="1">
        <v>70770.06</v>
      </c>
      <c r="T3916">
        <f t="shared" si="443"/>
        <v>237.549142857143</v>
      </c>
      <c r="U3916">
        <f t="shared" si="442"/>
        <v>668.5</v>
      </c>
      <c r="V3916">
        <f t="shared" si="444"/>
        <v>55.7083333333333</v>
      </c>
      <c r="W3916">
        <f t="shared" si="447"/>
        <v>3232.51666666667</v>
      </c>
      <c r="X3916">
        <f t="shared" si="445"/>
        <v>0.47600789970557</v>
      </c>
      <c r="AH3916" t="str">
        <f t="shared" si="441"/>
        <v>3rd Quality</v>
      </c>
      <c r="AJ3916">
        <f>((T3916-X3916)*2)/26.4</f>
        <v>17.9600859816241</v>
      </c>
      <c r="AK3916">
        <f t="shared" si="446"/>
        <v>156307.336</v>
      </c>
    </row>
    <row r="3917" spans="1:37">
      <c r="A3917" t="s">
        <v>3983</v>
      </c>
      <c r="B3917">
        <v>44</v>
      </c>
      <c r="C3917" t="s">
        <v>44</v>
      </c>
      <c r="D3917" t="s">
        <v>60</v>
      </c>
      <c r="E3917">
        <v>590</v>
      </c>
      <c r="F3917">
        <v>25</v>
      </c>
      <c r="G3917">
        <v>8</v>
      </c>
      <c r="H3917">
        <v>1276.05</v>
      </c>
      <c r="I3917">
        <v>10134.87</v>
      </c>
      <c r="J3917">
        <v>61</v>
      </c>
      <c r="K3917">
        <v>0</v>
      </c>
      <c r="L3917">
        <v>23</v>
      </c>
      <c r="M3917">
        <v>19.4</v>
      </c>
      <c r="N3917" t="s">
        <v>63</v>
      </c>
      <c r="O3917" t="s">
        <v>47</v>
      </c>
      <c r="P3917" t="s">
        <v>58</v>
      </c>
      <c r="R3917">
        <f>SUMIF(A3917:A8916,"C03916",I3917:I8916)</f>
        <v>10134.87</v>
      </c>
      <c r="S3917" s="1">
        <v>4518.41</v>
      </c>
      <c r="T3917">
        <f t="shared" si="443"/>
        <v>166.145409836066</v>
      </c>
      <c r="U3917">
        <f t="shared" si="442"/>
        <v>1183.4</v>
      </c>
      <c r="V3917">
        <f t="shared" si="444"/>
        <v>98.6166666666667</v>
      </c>
      <c r="W3917">
        <f t="shared" si="447"/>
        <v>3803.97333333333</v>
      </c>
      <c r="X3917">
        <f t="shared" si="445"/>
        <v>0.462364327416637</v>
      </c>
      <c r="AH3917" t="str">
        <f t="shared" si="441"/>
        <v>3rd Quality</v>
      </c>
      <c r="AJ3917">
        <f>((T3917-X3917)*2)/23</f>
        <v>14.4072213485782</v>
      </c>
      <c r="AK3917">
        <f t="shared" si="446"/>
        <v>98025.7918032787</v>
      </c>
    </row>
    <row r="3918" spans="1:37">
      <c r="A3918" t="s">
        <v>3984</v>
      </c>
      <c r="B3918">
        <v>26</v>
      </c>
      <c r="C3918" t="s">
        <v>44</v>
      </c>
      <c r="D3918" t="s">
        <v>60</v>
      </c>
      <c r="E3918">
        <v>1306</v>
      </c>
      <c r="F3918">
        <v>19</v>
      </c>
      <c r="G3918">
        <v>1</v>
      </c>
      <c r="H3918">
        <v>10810.54</v>
      </c>
      <c r="I3918">
        <v>10761.82</v>
      </c>
      <c r="J3918">
        <v>9</v>
      </c>
      <c r="K3918">
        <v>1</v>
      </c>
      <c r="L3918">
        <v>8.6</v>
      </c>
      <c r="M3918">
        <v>26.6</v>
      </c>
      <c r="N3918" t="s">
        <v>52</v>
      </c>
      <c r="O3918" t="s">
        <v>47</v>
      </c>
      <c r="P3918" t="s">
        <v>58</v>
      </c>
      <c r="R3918">
        <f>SUMIF(A3918:A8917,"C03917",I3918:I8917)</f>
        <v>10761.82</v>
      </c>
      <c r="S3918" s="1">
        <v>10445.38</v>
      </c>
      <c r="T3918">
        <f t="shared" si="443"/>
        <v>1195.75777777778</v>
      </c>
      <c r="U3918">
        <f t="shared" si="442"/>
        <v>239.4</v>
      </c>
      <c r="V3918">
        <f>U3918*1</f>
        <v>239.4</v>
      </c>
      <c r="W3918">
        <f t="shared" si="447"/>
        <v>7191.12</v>
      </c>
      <c r="X3918">
        <f t="shared" si="445"/>
        <v>0.120808026241057</v>
      </c>
      <c r="AH3918" t="str">
        <f t="shared" ref="AH3918:AH3981" si="448">IF(AND(W3918&gt;=12550,B3918&lt;=33,E3918&gt;=915),"1st Quality",IF(AND(W3918&gt;=6275,B3918&lt;=43,E3918&gt;=457),"2nd Quality","3rd Quality"))</f>
        <v>2nd Quality</v>
      </c>
      <c r="AJ3918">
        <f>((T3918-X3918)*2)/806</f>
        <v>2.96684111600878</v>
      </c>
      <c r="AK3918">
        <f t="shared" si="446"/>
        <v>1561659.65777778</v>
      </c>
    </row>
    <row r="3919" spans="1:37">
      <c r="A3919" t="s">
        <v>3985</v>
      </c>
      <c r="B3919">
        <v>27</v>
      </c>
      <c r="C3919" t="s">
        <v>44</v>
      </c>
      <c r="D3919" t="s">
        <v>60</v>
      </c>
      <c r="E3919">
        <v>1037</v>
      </c>
      <c r="F3919">
        <v>42</v>
      </c>
      <c r="G3919">
        <v>6</v>
      </c>
      <c r="H3919">
        <v>12283.01</v>
      </c>
      <c r="I3919">
        <v>70770.06</v>
      </c>
      <c r="J3919">
        <v>29</v>
      </c>
      <c r="K3919">
        <v>0</v>
      </c>
      <c r="L3919">
        <v>5.1</v>
      </c>
      <c r="M3919">
        <v>49.8</v>
      </c>
      <c r="N3919" t="s">
        <v>78</v>
      </c>
      <c r="O3919" t="s">
        <v>47</v>
      </c>
      <c r="P3919" t="s">
        <v>58</v>
      </c>
      <c r="R3919">
        <f>SUMIF(A3919:A8918,"C03918",I3919:I8918)</f>
        <v>70770.06</v>
      </c>
      <c r="S3919" s="1">
        <v>99567.24</v>
      </c>
      <c r="T3919">
        <f t="shared" si="443"/>
        <v>2440.34689655172</v>
      </c>
      <c r="U3919">
        <f t="shared" si="442"/>
        <v>1444.2</v>
      </c>
      <c r="V3919">
        <f t="shared" si="444"/>
        <v>120.35</v>
      </c>
      <c r="W3919">
        <f t="shared" si="447"/>
        <v>27684.69</v>
      </c>
      <c r="X3919">
        <f t="shared" si="445"/>
        <v>0.0844255601843522</v>
      </c>
      <c r="AH3919" t="str">
        <f t="shared" si="448"/>
        <v>1st Quality</v>
      </c>
      <c r="AJ3919">
        <f>((T3919-X3919)*2)/5.1</f>
        <v>956.965674898642</v>
      </c>
      <c r="AK3919">
        <f t="shared" si="446"/>
        <v>2530639.73172414</v>
      </c>
    </row>
    <row r="3920" spans="1:37">
      <c r="A3920" t="s">
        <v>3986</v>
      </c>
      <c r="B3920">
        <v>22</v>
      </c>
      <c r="C3920" t="s">
        <v>44</v>
      </c>
      <c r="D3920" t="s">
        <v>60</v>
      </c>
      <c r="E3920">
        <v>745</v>
      </c>
      <c r="F3920">
        <v>132</v>
      </c>
      <c r="G3920">
        <v>3</v>
      </c>
      <c r="H3920">
        <v>1599.28</v>
      </c>
      <c r="I3920">
        <v>4518.41</v>
      </c>
      <c r="J3920">
        <v>16</v>
      </c>
      <c r="K3920">
        <v>1</v>
      </c>
      <c r="L3920">
        <v>31.8</v>
      </c>
      <c r="M3920">
        <v>18.5</v>
      </c>
      <c r="N3920" t="s">
        <v>57</v>
      </c>
      <c r="O3920" t="s">
        <v>53</v>
      </c>
      <c r="P3920" t="s">
        <v>66</v>
      </c>
      <c r="R3920">
        <f>SUMIF(A3920:A8919,"C03919",I3920:I8919)</f>
        <v>4518.41</v>
      </c>
      <c r="S3920" s="1">
        <v>1551.77</v>
      </c>
      <c r="T3920">
        <f t="shared" si="443"/>
        <v>282.400625</v>
      </c>
      <c r="U3920">
        <f t="shared" si="442"/>
        <v>296</v>
      </c>
      <c r="V3920">
        <f>U3920*1</f>
        <v>296</v>
      </c>
      <c r="W3920">
        <f t="shared" si="447"/>
        <v>2039.56333333333</v>
      </c>
      <c r="X3920">
        <f t="shared" si="445"/>
        <v>0.465834625581512</v>
      </c>
      <c r="AH3920" t="str">
        <f t="shared" si="448"/>
        <v>3rd Quality</v>
      </c>
      <c r="AJ3920">
        <f>((T3920-X3920)*2)/31.98</f>
        <v>17.6319443636284</v>
      </c>
      <c r="AK3920">
        <f t="shared" si="446"/>
        <v>210388.465625</v>
      </c>
    </row>
    <row r="3921" spans="1:37">
      <c r="A3921" t="s">
        <v>3987</v>
      </c>
      <c r="B3921">
        <v>42</v>
      </c>
      <c r="C3921" t="s">
        <v>44</v>
      </c>
      <c r="D3921" t="s">
        <v>45</v>
      </c>
      <c r="E3921">
        <v>393</v>
      </c>
      <c r="F3921">
        <v>23</v>
      </c>
      <c r="G3921">
        <v>10</v>
      </c>
      <c r="H3921">
        <v>1106.79</v>
      </c>
      <c r="I3921">
        <v>10445.38</v>
      </c>
      <c r="J3921">
        <v>55</v>
      </c>
      <c r="K3921">
        <v>0</v>
      </c>
      <c r="L3921">
        <v>35.4</v>
      </c>
      <c r="M3921">
        <v>14.5</v>
      </c>
      <c r="N3921" t="s">
        <v>52</v>
      </c>
      <c r="O3921" t="s">
        <v>47</v>
      </c>
      <c r="P3921" t="s">
        <v>68</v>
      </c>
      <c r="R3921">
        <f>SUMIF(A3921:A8920,"C03920",I3921:I8920)</f>
        <v>10445.38</v>
      </c>
      <c r="S3921" s="1">
        <v>17389.99</v>
      </c>
      <c r="T3921">
        <f t="shared" si="443"/>
        <v>189.916</v>
      </c>
      <c r="U3921">
        <f t="shared" si="442"/>
        <v>797.5</v>
      </c>
      <c r="V3921">
        <f t="shared" si="444"/>
        <v>66.4583333333333</v>
      </c>
      <c r="W3921">
        <f t="shared" si="447"/>
        <v>3851.05666666667</v>
      </c>
      <c r="X3921">
        <f t="shared" si="445"/>
        <v>0.355080909657659</v>
      </c>
      <c r="AH3921" t="str">
        <f t="shared" si="448"/>
        <v>3rd Quality</v>
      </c>
      <c r="AJ3921">
        <f>((T3921-X3921)*2)/35.4</f>
        <v>10.7096564457821</v>
      </c>
      <c r="AK3921">
        <f t="shared" si="446"/>
        <v>74636.988</v>
      </c>
    </row>
    <row r="3922" spans="1:37">
      <c r="A3922" t="s">
        <v>3988</v>
      </c>
      <c r="B3922">
        <v>31</v>
      </c>
      <c r="C3922" t="s">
        <v>56</v>
      </c>
      <c r="D3922" t="s">
        <v>60</v>
      </c>
      <c r="E3922">
        <v>1276</v>
      </c>
      <c r="F3922">
        <v>13</v>
      </c>
      <c r="G3922">
        <v>27</v>
      </c>
      <c r="H3922">
        <v>3358.71</v>
      </c>
      <c r="I3922">
        <v>99567.24</v>
      </c>
      <c r="J3922">
        <v>172</v>
      </c>
      <c r="K3922">
        <v>2</v>
      </c>
      <c r="L3922">
        <v>0</v>
      </c>
      <c r="M3922">
        <v>38.2</v>
      </c>
      <c r="N3922" t="s">
        <v>61</v>
      </c>
      <c r="O3922" t="s">
        <v>53</v>
      </c>
      <c r="P3922" t="s">
        <v>48</v>
      </c>
      <c r="R3922">
        <f>SUMIF(A3922:A8921,"C03921",I3922:I8921)</f>
        <v>99567.24</v>
      </c>
      <c r="S3922" s="1">
        <v>8472.16</v>
      </c>
      <c r="T3922">
        <f t="shared" si="443"/>
        <v>578.879302325581</v>
      </c>
      <c r="U3922">
        <f t="shared" si="442"/>
        <v>6570.4</v>
      </c>
      <c r="V3922">
        <f>U3922*2</f>
        <v>13140.8</v>
      </c>
      <c r="W3922">
        <f t="shared" si="447"/>
        <v>34308.9833333333</v>
      </c>
      <c r="X3922">
        <f t="shared" si="445"/>
        <v>0.379907762206323</v>
      </c>
      <c r="AH3922" t="str">
        <f t="shared" si="448"/>
        <v>1st Quality</v>
      </c>
      <c r="AJ3922">
        <f>((T3922-X3922)*2)</f>
        <v>1156.99878912675</v>
      </c>
      <c r="AK3922">
        <f t="shared" si="446"/>
        <v>738649.989767442</v>
      </c>
    </row>
    <row r="3923" spans="1:37">
      <c r="A3923" t="s">
        <v>3989</v>
      </c>
      <c r="B3923">
        <v>22</v>
      </c>
      <c r="C3923" t="s">
        <v>44</v>
      </c>
      <c r="D3923" t="s">
        <v>60</v>
      </c>
      <c r="E3923">
        <v>1027</v>
      </c>
      <c r="F3923">
        <v>217</v>
      </c>
      <c r="G3923">
        <v>1</v>
      </c>
      <c r="H3923">
        <v>1643.81</v>
      </c>
      <c r="I3923">
        <v>1551.77</v>
      </c>
      <c r="J3923">
        <v>16</v>
      </c>
      <c r="K3923">
        <v>0</v>
      </c>
      <c r="L3923">
        <v>17.1</v>
      </c>
      <c r="M3923">
        <v>23.4</v>
      </c>
      <c r="N3923" t="s">
        <v>61</v>
      </c>
      <c r="O3923" t="s">
        <v>75</v>
      </c>
      <c r="P3923" t="s">
        <v>58</v>
      </c>
      <c r="R3923">
        <f>SUMIF(A3923:A8922,"C03922",I3923:I8922)</f>
        <v>1551.77</v>
      </c>
      <c r="S3923" s="1">
        <v>131645.7</v>
      </c>
      <c r="T3923">
        <f t="shared" si="443"/>
        <v>96.985625</v>
      </c>
      <c r="U3923">
        <f t="shared" si="442"/>
        <v>374.4</v>
      </c>
      <c r="V3923">
        <f t="shared" si="444"/>
        <v>31.2</v>
      </c>
      <c r="W3923">
        <f t="shared" si="447"/>
        <v>1065.52666666667</v>
      </c>
      <c r="X3923">
        <f t="shared" si="445"/>
        <v>0.624768069302413</v>
      </c>
      <c r="AH3923" t="str">
        <f t="shared" si="448"/>
        <v>3rd Quality</v>
      </c>
      <c r="AJ3923">
        <f>((T3923-X3923)*2)/17.1</f>
        <v>11.2702756644091</v>
      </c>
      <c r="AK3923">
        <f t="shared" si="446"/>
        <v>99604.236875</v>
      </c>
    </row>
    <row r="3924" spans="1:37">
      <c r="A3924" t="s">
        <v>3990</v>
      </c>
      <c r="B3924">
        <v>18</v>
      </c>
      <c r="C3924" t="s">
        <v>44</v>
      </c>
      <c r="D3924" t="s">
        <v>60</v>
      </c>
      <c r="E3924">
        <v>632</v>
      </c>
      <c r="F3924">
        <v>53</v>
      </c>
      <c r="G3924">
        <v>9</v>
      </c>
      <c r="H3924">
        <v>1992.22</v>
      </c>
      <c r="I3924">
        <v>17389.99</v>
      </c>
      <c r="J3924">
        <v>39</v>
      </c>
      <c r="K3924">
        <v>3</v>
      </c>
      <c r="L3924">
        <v>25.3</v>
      </c>
      <c r="M3924">
        <v>3.7</v>
      </c>
      <c r="N3924" t="s">
        <v>61</v>
      </c>
      <c r="O3924" t="s">
        <v>47</v>
      </c>
      <c r="P3924" t="s">
        <v>58</v>
      </c>
      <c r="R3924">
        <f>SUMIF(A3924:A8923,"C03923",I3924:I8923)</f>
        <v>17389.99</v>
      </c>
      <c r="S3924" s="1">
        <v>82332.8</v>
      </c>
      <c r="T3924">
        <f t="shared" si="443"/>
        <v>445.89717948718</v>
      </c>
      <c r="U3924">
        <f t="shared" si="442"/>
        <v>144.3</v>
      </c>
      <c r="V3924">
        <f>U3924*3</f>
        <v>432.9</v>
      </c>
      <c r="W3924">
        <f t="shared" si="447"/>
        <v>6461.07</v>
      </c>
      <c r="X3924">
        <f t="shared" si="445"/>
        <v>0.317234040417223</v>
      </c>
      <c r="AH3924" t="str">
        <f t="shared" si="448"/>
        <v>2nd Quality</v>
      </c>
      <c r="AJ3924">
        <f>((T3924-X3924)*2)/25.3</f>
        <v>35.2237111025109</v>
      </c>
      <c r="AK3924">
        <f t="shared" si="446"/>
        <v>281807.017435897</v>
      </c>
    </row>
    <row r="3925" spans="1:37">
      <c r="A3925" t="s">
        <v>3991</v>
      </c>
      <c r="B3925">
        <v>30</v>
      </c>
      <c r="C3925" t="s">
        <v>101</v>
      </c>
      <c r="D3925" t="s">
        <v>60</v>
      </c>
      <c r="E3925">
        <v>1345</v>
      </c>
      <c r="F3925">
        <v>284</v>
      </c>
      <c r="G3925">
        <v>2</v>
      </c>
      <c r="H3925">
        <v>4231.93</v>
      </c>
      <c r="I3925">
        <v>8472.16</v>
      </c>
      <c r="J3925">
        <v>20</v>
      </c>
      <c r="K3925">
        <v>0</v>
      </c>
      <c r="L3925">
        <v>16.3</v>
      </c>
      <c r="M3925">
        <v>44.8</v>
      </c>
      <c r="N3925" t="s">
        <v>78</v>
      </c>
      <c r="O3925" t="s">
        <v>75</v>
      </c>
      <c r="P3925" t="s">
        <v>68</v>
      </c>
      <c r="R3925">
        <f>SUMIF(A3925:A8924,"C03924",I3925:I8924)</f>
        <v>8472.16</v>
      </c>
      <c r="S3925" s="1">
        <v>28254.9</v>
      </c>
      <c r="T3925">
        <f t="shared" si="443"/>
        <v>423.608</v>
      </c>
      <c r="U3925">
        <f t="shared" si="442"/>
        <v>896</v>
      </c>
      <c r="V3925">
        <f t="shared" si="444"/>
        <v>74.6666666666667</v>
      </c>
      <c r="W3925">
        <f t="shared" si="447"/>
        <v>4235.03</v>
      </c>
      <c r="X3925">
        <f t="shared" si="445"/>
        <v>0.317821892139048</v>
      </c>
      <c r="AH3925" t="str">
        <f t="shared" si="448"/>
        <v>3rd Quality</v>
      </c>
      <c r="AJ3925">
        <f>((T3925-X3925)*2)/16.3</f>
        <v>51.9374451666087</v>
      </c>
      <c r="AK3925">
        <f t="shared" si="446"/>
        <v>569752.76</v>
      </c>
    </row>
    <row r="3926" spans="1:37">
      <c r="A3926" t="s">
        <v>3992</v>
      </c>
      <c r="B3926">
        <v>25</v>
      </c>
      <c r="C3926" t="s">
        <v>44</v>
      </c>
      <c r="D3926" t="s">
        <v>60</v>
      </c>
      <c r="E3926">
        <v>1194</v>
      </c>
      <c r="F3926">
        <v>4</v>
      </c>
      <c r="G3926">
        <v>26</v>
      </c>
      <c r="H3926">
        <v>4784.61</v>
      </c>
      <c r="I3926">
        <v>131645.7</v>
      </c>
      <c r="J3926">
        <v>57</v>
      </c>
      <c r="K3926">
        <v>0</v>
      </c>
      <c r="L3926">
        <v>11.2</v>
      </c>
      <c r="M3926">
        <v>72.7</v>
      </c>
      <c r="N3926" t="s">
        <v>78</v>
      </c>
      <c r="O3926" t="s">
        <v>47</v>
      </c>
      <c r="P3926" t="s">
        <v>58</v>
      </c>
      <c r="R3926">
        <f>SUMIF(A3926:A8925,"C03925",I3926:I8925)</f>
        <v>131645.7</v>
      </c>
      <c r="S3926" s="1">
        <v>3932.54</v>
      </c>
      <c r="T3926">
        <f t="shared" si="443"/>
        <v>2309.57368421053</v>
      </c>
      <c r="U3926">
        <f t="shared" si="442"/>
        <v>4143.9</v>
      </c>
      <c r="V3926">
        <f t="shared" si="444"/>
        <v>345.325</v>
      </c>
      <c r="W3926">
        <f t="shared" si="447"/>
        <v>45477.1033333333</v>
      </c>
      <c r="X3926">
        <f t="shared" si="445"/>
        <v>0.249550120072482</v>
      </c>
      <c r="AH3926" t="str">
        <f t="shared" si="448"/>
        <v>1st Quality</v>
      </c>
      <c r="AJ3926">
        <f>((T3926-X3926)*2)/11.2</f>
        <v>412.37930965901</v>
      </c>
      <c r="AK3926">
        <f t="shared" si="446"/>
        <v>2757630.97894737</v>
      </c>
    </row>
    <row r="3927" spans="1:37">
      <c r="A3927" t="s">
        <v>3993</v>
      </c>
      <c r="B3927">
        <v>30</v>
      </c>
      <c r="C3927" t="s">
        <v>50</v>
      </c>
      <c r="D3927" t="s">
        <v>45</v>
      </c>
      <c r="E3927">
        <v>445</v>
      </c>
      <c r="F3927">
        <v>65</v>
      </c>
      <c r="G3927">
        <v>6</v>
      </c>
      <c r="H3927">
        <v>12866.47</v>
      </c>
      <c r="I3927">
        <v>82332.8</v>
      </c>
      <c r="J3927">
        <v>32</v>
      </c>
      <c r="K3927">
        <v>0</v>
      </c>
      <c r="L3927">
        <v>14.4</v>
      </c>
      <c r="M3927">
        <v>41.3</v>
      </c>
      <c r="N3927" t="s">
        <v>61</v>
      </c>
      <c r="O3927" t="s">
        <v>47</v>
      </c>
      <c r="P3927" t="s">
        <v>54</v>
      </c>
      <c r="R3927">
        <f>SUMIF(A3927:A8926,"C03926",I3927:I8926)</f>
        <v>82332.8</v>
      </c>
      <c r="S3927" s="1">
        <v>176687.07</v>
      </c>
      <c r="T3927">
        <f t="shared" si="443"/>
        <v>2572.9</v>
      </c>
      <c r="U3927">
        <f t="shared" si="442"/>
        <v>1321.6</v>
      </c>
      <c r="V3927">
        <f t="shared" si="444"/>
        <v>110.133333333333</v>
      </c>
      <c r="W3927">
        <f t="shared" si="447"/>
        <v>31733.4233333333</v>
      </c>
      <c r="X3927">
        <f t="shared" si="445"/>
        <v>0.0345860208744123</v>
      </c>
      <c r="AH3927" t="str">
        <f t="shared" si="448"/>
        <v>3rd Quality</v>
      </c>
      <c r="AJ3927">
        <f>((T3927-X3927)*2)/14.4</f>
        <v>357.342418608212</v>
      </c>
      <c r="AK3927">
        <f t="shared" si="446"/>
        <v>1144940.5</v>
      </c>
    </row>
    <row r="3928" spans="1:37">
      <c r="A3928" t="s">
        <v>3994</v>
      </c>
      <c r="B3928">
        <v>46</v>
      </c>
      <c r="C3928" t="s">
        <v>44</v>
      </c>
      <c r="D3928" t="s">
        <v>51</v>
      </c>
      <c r="E3928">
        <v>378</v>
      </c>
      <c r="F3928">
        <v>4</v>
      </c>
      <c r="G3928">
        <v>2</v>
      </c>
      <c r="H3928">
        <v>13413.8</v>
      </c>
      <c r="I3928">
        <v>28254.9</v>
      </c>
      <c r="J3928">
        <v>26</v>
      </c>
      <c r="K3928">
        <v>0</v>
      </c>
      <c r="L3928">
        <v>2.4</v>
      </c>
      <c r="M3928">
        <v>22.3</v>
      </c>
      <c r="N3928" t="s">
        <v>46</v>
      </c>
      <c r="O3928" t="s">
        <v>53</v>
      </c>
      <c r="P3928" t="s">
        <v>68</v>
      </c>
      <c r="R3928">
        <f>SUMIF(A3928:A8927,"C03927",I3928:I8927)</f>
        <v>28254.9</v>
      </c>
      <c r="S3928" s="1">
        <v>964.17</v>
      </c>
      <c r="T3928">
        <f t="shared" si="443"/>
        <v>1086.72692307692</v>
      </c>
      <c r="U3928">
        <f t="shared" si="442"/>
        <v>579.8</v>
      </c>
      <c r="V3928">
        <f t="shared" si="444"/>
        <v>48.3166666666667</v>
      </c>
      <c r="W3928">
        <f t="shared" si="447"/>
        <v>13889.9</v>
      </c>
      <c r="X3928">
        <f t="shared" si="445"/>
        <v>0.0281799340977203</v>
      </c>
      <c r="AH3928" t="str">
        <f t="shared" si="448"/>
        <v>3rd Quality</v>
      </c>
      <c r="AJ3928">
        <f>((T3928-X3928)*2)/2.4</f>
        <v>905.582285952352</v>
      </c>
      <c r="AK3928">
        <f t="shared" si="446"/>
        <v>410782.776923077</v>
      </c>
    </row>
    <row r="3929" spans="1:37">
      <c r="A3929" t="s">
        <v>3995</v>
      </c>
      <c r="B3929">
        <v>50</v>
      </c>
      <c r="C3929" t="s">
        <v>56</v>
      </c>
      <c r="D3929" t="s">
        <v>51</v>
      </c>
      <c r="E3929">
        <v>376</v>
      </c>
      <c r="F3929">
        <v>66</v>
      </c>
      <c r="G3929">
        <v>3</v>
      </c>
      <c r="H3929">
        <v>1375.89</v>
      </c>
      <c r="I3929">
        <v>3932.54</v>
      </c>
      <c r="J3929">
        <v>16</v>
      </c>
      <c r="K3929">
        <v>0</v>
      </c>
      <c r="L3929">
        <v>44.5</v>
      </c>
      <c r="M3929">
        <v>13.3</v>
      </c>
      <c r="N3929" t="s">
        <v>52</v>
      </c>
      <c r="O3929" t="s">
        <v>75</v>
      </c>
      <c r="P3929" t="s">
        <v>58</v>
      </c>
      <c r="R3929">
        <f>SUMIF(A3929:A8928,"C03928",I3929:I8928)</f>
        <v>3932.54</v>
      </c>
      <c r="S3929" s="1">
        <v>13003.29</v>
      </c>
      <c r="T3929">
        <f t="shared" si="443"/>
        <v>245.78375</v>
      </c>
      <c r="U3929">
        <f t="shared" si="442"/>
        <v>212.8</v>
      </c>
      <c r="V3929">
        <f t="shared" si="444"/>
        <v>17.7333333333333</v>
      </c>
      <c r="W3929">
        <f t="shared" si="447"/>
        <v>1769.81</v>
      </c>
      <c r="X3929">
        <f t="shared" si="445"/>
        <v>0.273277660278075</v>
      </c>
      <c r="AH3929" t="str">
        <f t="shared" si="448"/>
        <v>3rd Quality</v>
      </c>
      <c r="AJ3929">
        <f>((T3929-X3929)*2)/44.5</f>
        <v>11.0341785321223</v>
      </c>
      <c r="AK3929">
        <f t="shared" si="446"/>
        <v>92414.69</v>
      </c>
    </row>
    <row r="3930" spans="1:37">
      <c r="A3930" t="s">
        <v>3996</v>
      </c>
      <c r="B3930">
        <v>23</v>
      </c>
      <c r="C3930" t="s">
        <v>50</v>
      </c>
      <c r="D3930" t="s">
        <v>45</v>
      </c>
      <c r="E3930">
        <v>664</v>
      </c>
      <c r="F3930">
        <v>13</v>
      </c>
      <c r="G3930">
        <v>24</v>
      </c>
      <c r="H3930">
        <v>8009.6</v>
      </c>
      <c r="I3930">
        <v>176687.07</v>
      </c>
      <c r="J3930">
        <v>123</v>
      </c>
      <c r="K3930">
        <v>2</v>
      </c>
      <c r="L3930">
        <v>0</v>
      </c>
      <c r="M3930">
        <v>60.3</v>
      </c>
      <c r="N3930" t="s">
        <v>52</v>
      </c>
      <c r="O3930" t="s">
        <v>75</v>
      </c>
      <c r="P3930" t="s">
        <v>58</v>
      </c>
      <c r="R3930">
        <f>SUMIF(A3930:A8929,"C03929",I3930:I8929)</f>
        <v>176687.07</v>
      </c>
      <c r="S3930" s="1">
        <v>7830.86</v>
      </c>
      <c r="T3930">
        <f t="shared" si="443"/>
        <v>1436.48024390244</v>
      </c>
      <c r="U3930">
        <f t="shared" si="442"/>
        <v>7416.9</v>
      </c>
      <c r="V3930">
        <f>U3930*2</f>
        <v>14833.8</v>
      </c>
      <c r="W3930">
        <f t="shared" si="447"/>
        <v>61565.89</v>
      </c>
      <c r="X3930">
        <f t="shared" si="445"/>
        <v>0.0829005193767479</v>
      </c>
      <c r="AH3930" t="str">
        <f t="shared" si="448"/>
        <v>2nd Quality</v>
      </c>
      <c r="AJ3930">
        <f>((T3930-X3930)*2)</f>
        <v>2872.79468676613</v>
      </c>
      <c r="AK3930">
        <f t="shared" si="446"/>
        <v>953822.88195122</v>
      </c>
    </row>
    <row r="3931" spans="1:37">
      <c r="A3931" t="s">
        <v>3997</v>
      </c>
      <c r="B3931">
        <v>23</v>
      </c>
      <c r="C3931" t="s">
        <v>50</v>
      </c>
      <c r="D3931" t="s">
        <v>60</v>
      </c>
      <c r="E3931">
        <v>812</v>
      </c>
      <c r="F3931">
        <v>182</v>
      </c>
      <c r="G3931">
        <v>1</v>
      </c>
      <c r="H3931">
        <v>896</v>
      </c>
      <c r="I3931">
        <v>964.17</v>
      </c>
      <c r="J3931">
        <v>13</v>
      </c>
      <c r="K3931">
        <v>0</v>
      </c>
      <c r="L3931">
        <v>21.3</v>
      </c>
      <c r="M3931">
        <v>54.1</v>
      </c>
      <c r="N3931" t="s">
        <v>81</v>
      </c>
      <c r="O3931" t="s">
        <v>53</v>
      </c>
      <c r="P3931" t="s">
        <v>58</v>
      </c>
      <c r="R3931">
        <f>SUMIF(A3931:A8930,"C03930",I3931:I8930)</f>
        <v>964.17</v>
      </c>
      <c r="S3931" s="1">
        <v>88860.64</v>
      </c>
      <c r="T3931">
        <f t="shared" si="443"/>
        <v>74.1669230769231</v>
      </c>
      <c r="U3931">
        <f t="shared" si="442"/>
        <v>703.3</v>
      </c>
      <c r="V3931">
        <f t="shared" si="444"/>
        <v>58.6083333333333</v>
      </c>
      <c r="W3931">
        <f t="shared" si="447"/>
        <v>620.39</v>
      </c>
      <c r="X3931">
        <f t="shared" si="445"/>
        <v>0.90625</v>
      </c>
      <c r="AH3931" t="str">
        <f t="shared" si="448"/>
        <v>3rd Quality</v>
      </c>
      <c r="AJ3931">
        <f>((T3931-X3931)*2)/21.3</f>
        <v>6.87893643914771</v>
      </c>
      <c r="AK3931">
        <f t="shared" si="446"/>
        <v>60223.5415384615</v>
      </c>
    </row>
    <row r="3932" spans="1:37">
      <c r="A3932" t="s">
        <v>3998</v>
      </c>
      <c r="B3932">
        <v>34</v>
      </c>
      <c r="C3932" t="s">
        <v>44</v>
      </c>
      <c r="D3932" t="s">
        <v>45</v>
      </c>
      <c r="E3932">
        <v>1383</v>
      </c>
      <c r="F3932">
        <v>24</v>
      </c>
      <c r="G3932">
        <v>1</v>
      </c>
      <c r="H3932">
        <v>11930.97</v>
      </c>
      <c r="I3932">
        <v>13003.29</v>
      </c>
      <c r="J3932">
        <v>15</v>
      </c>
      <c r="K3932">
        <v>0</v>
      </c>
      <c r="L3932">
        <v>5.9</v>
      </c>
      <c r="M3932">
        <v>27.1</v>
      </c>
      <c r="N3932" t="s">
        <v>81</v>
      </c>
      <c r="O3932" t="s">
        <v>75</v>
      </c>
      <c r="P3932" t="s">
        <v>58</v>
      </c>
      <c r="R3932">
        <f>SUMIF(A3932:A8931,"C03931",I3932:I8931)</f>
        <v>13003.29</v>
      </c>
      <c r="S3932" s="1">
        <v>106795.33</v>
      </c>
      <c r="T3932">
        <f t="shared" si="443"/>
        <v>866.886</v>
      </c>
      <c r="U3932">
        <f t="shared" si="442"/>
        <v>406.5</v>
      </c>
      <c r="V3932">
        <f t="shared" si="444"/>
        <v>33.875</v>
      </c>
      <c r="W3932">
        <f t="shared" si="447"/>
        <v>8311.75333333333</v>
      </c>
      <c r="X3932">
        <f t="shared" si="445"/>
        <v>0.115916811457912</v>
      </c>
      <c r="AH3932" t="str">
        <f t="shared" si="448"/>
        <v>2nd Quality</v>
      </c>
      <c r="AJ3932">
        <f>((T3932-X3932)*2)/5.9</f>
        <v>293.820367182557</v>
      </c>
      <c r="AK3932">
        <f t="shared" si="446"/>
        <v>1198903.338</v>
      </c>
    </row>
    <row r="3933" spans="1:37">
      <c r="A3933" t="s">
        <v>3999</v>
      </c>
      <c r="B3933">
        <v>40</v>
      </c>
      <c r="C3933" t="s">
        <v>101</v>
      </c>
      <c r="D3933" t="s">
        <v>45</v>
      </c>
      <c r="E3933">
        <v>1296</v>
      </c>
      <c r="F3933">
        <v>20</v>
      </c>
      <c r="G3933">
        <v>2</v>
      </c>
      <c r="H3933">
        <v>3562.39</v>
      </c>
      <c r="I3933">
        <v>7830.86</v>
      </c>
      <c r="J3933">
        <v>16</v>
      </c>
      <c r="K3933">
        <v>0</v>
      </c>
      <c r="L3933">
        <v>7.8</v>
      </c>
      <c r="M3933">
        <v>35.5</v>
      </c>
      <c r="N3933" t="s">
        <v>81</v>
      </c>
      <c r="O3933" t="s">
        <v>47</v>
      </c>
      <c r="P3933" t="s">
        <v>58</v>
      </c>
      <c r="R3933">
        <f>SUMIF(A3933:A8932,"C03932",I3933:I8932)</f>
        <v>7830.86</v>
      </c>
      <c r="S3933" s="1">
        <v>28303.08</v>
      </c>
      <c r="T3933">
        <f t="shared" si="443"/>
        <v>489.42875</v>
      </c>
      <c r="U3933">
        <f t="shared" si="442"/>
        <v>568</v>
      </c>
      <c r="V3933">
        <f t="shared" si="444"/>
        <v>47.3333333333333</v>
      </c>
      <c r="W3933">
        <f t="shared" si="447"/>
        <v>3798.08333333333</v>
      </c>
      <c r="X3933">
        <f t="shared" si="445"/>
        <v>0.363800706828842</v>
      </c>
      <c r="AH3933" t="str">
        <f t="shared" si="448"/>
        <v>3rd Quality</v>
      </c>
      <c r="AJ3933">
        <f>((T3933-X3933)*2)/7.8</f>
        <v>125.401269049531</v>
      </c>
      <c r="AK3933">
        <f t="shared" si="446"/>
        <v>634299.66</v>
      </c>
    </row>
    <row r="3934" spans="1:37">
      <c r="A3934" t="s">
        <v>4000</v>
      </c>
      <c r="B3934">
        <v>43</v>
      </c>
      <c r="C3934" t="s">
        <v>44</v>
      </c>
      <c r="D3934" t="s">
        <v>45</v>
      </c>
      <c r="E3934">
        <v>1458</v>
      </c>
      <c r="F3934">
        <v>18</v>
      </c>
      <c r="G3934">
        <v>6</v>
      </c>
      <c r="H3934">
        <v>13637.27</v>
      </c>
      <c r="I3934">
        <v>88860.64</v>
      </c>
      <c r="J3934">
        <v>31</v>
      </c>
      <c r="K3934">
        <v>1</v>
      </c>
      <c r="L3934">
        <v>11.3</v>
      </c>
      <c r="M3934">
        <v>27.6</v>
      </c>
      <c r="N3934" t="s">
        <v>63</v>
      </c>
      <c r="O3934" t="s">
        <v>53</v>
      </c>
      <c r="P3934" t="s">
        <v>66</v>
      </c>
      <c r="R3934">
        <f>SUMIF(A3934:A8933,"C03933",I3934:I8933)</f>
        <v>88860.64</v>
      </c>
      <c r="S3934" s="1">
        <v>6622.84</v>
      </c>
      <c r="T3934">
        <f t="shared" si="443"/>
        <v>2866.47225806452</v>
      </c>
      <c r="U3934">
        <f t="shared" si="442"/>
        <v>855.6</v>
      </c>
      <c r="V3934">
        <f>U3934*1</f>
        <v>855.6</v>
      </c>
      <c r="W3934">
        <f t="shared" si="447"/>
        <v>34166.3033333333</v>
      </c>
      <c r="X3934">
        <f t="shared" si="445"/>
        <v>0.106912893856322</v>
      </c>
      <c r="AH3934" t="str">
        <f t="shared" si="448"/>
        <v>2nd Quality</v>
      </c>
      <c r="AJ3934">
        <f>((T3934-X3934)*2)/11.3</f>
        <v>507.321300030206</v>
      </c>
      <c r="AK3934">
        <f t="shared" si="446"/>
        <v>4179316.55225806</v>
      </c>
    </row>
    <row r="3935" spans="1:37">
      <c r="A3935" t="s">
        <v>4001</v>
      </c>
      <c r="B3935">
        <v>51</v>
      </c>
      <c r="C3935" t="s">
        <v>50</v>
      </c>
      <c r="D3935" t="s">
        <v>60</v>
      </c>
      <c r="E3935">
        <v>1390</v>
      </c>
      <c r="F3935">
        <v>20</v>
      </c>
      <c r="G3935">
        <v>28</v>
      </c>
      <c r="H3935">
        <v>3945.38</v>
      </c>
      <c r="I3935">
        <v>106795.33</v>
      </c>
      <c r="J3935">
        <v>173</v>
      </c>
      <c r="K3935">
        <v>3</v>
      </c>
      <c r="L3935">
        <v>4.7</v>
      </c>
      <c r="M3935">
        <v>36.9</v>
      </c>
      <c r="N3935" t="s">
        <v>63</v>
      </c>
      <c r="O3935" t="s">
        <v>53</v>
      </c>
      <c r="P3935" t="s">
        <v>68</v>
      </c>
      <c r="R3935">
        <f>SUMIF(A3935:A8934,"C03934",I3935:I8934)</f>
        <v>106795.33</v>
      </c>
      <c r="S3935" s="1">
        <v>12517.09</v>
      </c>
      <c r="T3935">
        <f t="shared" si="443"/>
        <v>617.314046242775</v>
      </c>
      <c r="U3935">
        <f t="shared" si="442"/>
        <v>6383.7</v>
      </c>
      <c r="V3935">
        <f>U3935*3</f>
        <v>19151.1</v>
      </c>
      <c r="W3935">
        <f t="shared" si="447"/>
        <v>36913.9033333333</v>
      </c>
      <c r="X3935">
        <f t="shared" si="445"/>
        <v>0.352310804029016</v>
      </c>
      <c r="AH3935" t="str">
        <f t="shared" si="448"/>
        <v>3rd Quality</v>
      </c>
      <c r="AJ3935">
        <f>((T3935-X3935)*2)/4.7</f>
        <v>262.536908697339</v>
      </c>
      <c r="AK3935">
        <f t="shared" si="446"/>
        <v>858066.524277457</v>
      </c>
    </row>
    <row r="3936" spans="1:37">
      <c r="A3936" t="s">
        <v>4002</v>
      </c>
      <c r="B3936">
        <v>35</v>
      </c>
      <c r="C3936" t="s">
        <v>50</v>
      </c>
      <c r="D3936" t="s">
        <v>51</v>
      </c>
      <c r="E3936">
        <v>374</v>
      </c>
      <c r="F3936">
        <v>24</v>
      </c>
      <c r="G3936">
        <v>4</v>
      </c>
      <c r="H3936">
        <v>7717.55</v>
      </c>
      <c r="I3936">
        <v>28303.08</v>
      </c>
      <c r="J3936">
        <v>40</v>
      </c>
      <c r="K3936">
        <v>1</v>
      </c>
      <c r="L3936">
        <v>13.7</v>
      </c>
      <c r="M3936">
        <v>61.3</v>
      </c>
      <c r="N3936" t="s">
        <v>57</v>
      </c>
      <c r="O3936" t="s">
        <v>47</v>
      </c>
      <c r="P3936" t="s">
        <v>68</v>
      </c>
      <c r="R3936">
        <f>SUMIF(A3936:A8935,"C03935",I3936:I8935)</f>
        <v>28303.08</v>
      </c>
      <c r="S3936" s="1">
        <v>38855.66</v>
      </c>
      <c r="T3936">
        <f t="shared" si="443"/>
        <v>707.577</v>
      </c>
      <c r="U3936">
        <f t="shared" si="442"/>
        <v>2452</v>
      </c>
      <c r="V3936">
        <f>U3936*1</f>
        <v>2452</v>
      </c>
      <c r="W3936">
        <f t="shared" si="447"/>
        <v>12007.21</v>
      </c>
      <c r="X3936">
        <f t="shared" si="445"/>
        <v>0.0484609753095218</v>
      </c>
      <c r="AH3936" t="str">
        <f t="shared" si="448"/>
        <v>3rd Quality</v>
      </c>
      <c r="AJ3936">
        <f>((T3936-X3936)*2)/13.7</f>
        <v>103.288837813823</v>
      </c>
      <c r="AK3936">
        <f t="shared" si="446"/>
        <v>264633.798</v>
      </c>
    </row>
    <row r="3937" spans="1:37">
      <c r="A3937" t="s">
        <v>4003</v>
      </c>
      <c r="B3937">
        <v>32</v>
      </c>
      <c r="C3937" t="s">
        <v>50</v>
      </c>
      <c r="D3937" t="s">
        <v>45</v>
      </c>
      <c r="E3937">
        <v>1244</v>
      </c>
      <c r="F3937">
        <v>29</v>
      </c>
      <c r="G3937">
        <v>13</v>
      </c>
      <c r="H3937">
        <v>489.43</v>
      </c>
      <c r="I3937">
        <v>6622.84</v>
      </c>
      <c r="J3937">
        <v>88</v>
      </c>
      <c r="K3937">
        <v>0</v>
      </c>
      <c r="L3937">
        <v>35.8</v>
      </c>
      <c r="M3937">
        <v>15.2</v>
      </c>
      <c r="N3937" t="s">
        <v>57</v>
      </c>
      <c r="O3937" t="s">
        <v>47</v>
      </c>
      <c r="P3937" t="s">
        <v>58</v>
      </c>
      <c r="R3937">
        <f>SUMIF(A3937:A8936,"C03936",I3937:I8936)</f>
        <v>6622.84</v>
      </c>
      <c r="S3937" s="1">
        <v>76339.98</v>
      </c>
      <c r="T3937">
        <f t="shared" si="443"/>
        <v>75.2595454545455</v>
      </c>
      <c r="U3937">
        <f t="shared" si="442"/>
        <v>1337.6</v>
      </c>
      <c r="V3937">
        <f t="shared" si="444"/>
        <v>111.466666666667</v>
      </c>
      <c r="W3937">
        <f t="shared" si="447"/>
        <v>2371.09</v>
      </c>
      <c r="X3937">
        <f t="shared" si="445"/>
        <v>2.54173221911203</v>
      </c>
      <c r="AH3937" t="str">
        <f t="shared" si="448"/>
        <v>3rd Quality</v>
      </c>
      <c r="AJ3937">
        <f>((T3937-X3937)*2)/35.8</f>
        <v>4.06244766678399</v>
      </c>
      <c r="AK3937">
        <f t="shared" si="446"/>
        <v>93622.8745454546</v>
      </c>
    </row>
    <row r="3938" spans="1:37">
      <c r="A3938" t="s">
        <v>4004</v>
      </c>
      <c r="B3938">
        <v>28</v>
      </c>
      <c r="C3938" t="s">
        <v>50</v>
      </c>
      <c r="D3938" t="s">
        <v>60</v>
      </c>
      <c r="E3938">
        <v>1377</v>
      </c>
      <c r="F3938">
        <v>17</v>
      </c>
      <c r="G3938">
        <v>9</v>
      </c>
      <c r="H3938">
        <v>1342.64</v>
      </c>
      <c r="I3938">
        <v>12517.09</v>
      </c>
      <c r="J3938">
        <v>69</v>
      </c>
      <c r="K3938">
        <v>1</v>
      </c>
      <c r="L3938">
        <v>20</v>
      </c>
      <c r="M3938">
        <v>30.7</v>
      </c>
      <c r="N3938" t="s">
        <v>63</v>
      </c>
      <c r="O3938" t="s">
        <v>53</v>
      </c>
      <c r="P3938" t="s">
        <v>66</v>
      </c>
      <c r="R3938">
        <f>SUMIF(A3938:A8937,"C03937",I3938:I8937)</f>
        <v>12517.09</v>
      </c>
      <c r="S3938" s="1">
        <v>67898.57</v>
      </c>
      <c r="T3938">
        <f t="shared" si="443"/>
        <v>181.407101449275</v>
      </c>
      <c r="U3938">
        <f t="shared" ref="U3938:U4001" si="449">J3938*M3938</f>
        <v>2118.3</v>
      </c>
      <c r="V3938">
        <f>U3938*1</f>
        <v>2118.3</v>
      </c>
      <c r="W3938">
        <f t="shared" si="447"/>
        <v>4620.24333333333</v>
      </c>
      <c r="X3938">
        <f t="shared" si="445"/>
        <v>1.02559137222189</v>
      </c>
      <c r="AH3938" t="str">
        <f t="shared" si="448"/>
        <v>3rd Quality</v>
      </c>
      <c r="AJ3938">
        <f>((T3938-X3938)*2)/20</f>
        <v>18.0381510077053</v>
      </c>
      <c r="AK3938">
        <f t="shared" si="446"/>
        <v>249797.578695652</v>
      </c>
    </row>
    <row r="3939" spans="1:37">
      <c r="A3939" t="s">
        <v>4005</v>
      </c>
      <c r="B3939">
        <v>24</v>
      </c>
      <c r="C3939" t="s">
        <v>50</v>
      </c>
      <c r="D3939" t="s">
        <v>60</v>
      </c>
      <c r="E3939">
        <v>1078</v>
      </c>
      <c r="F3939">
        <v>41</v>
      </c>
      <c r="G3939">
        <v>4</v>
      </c>
      <c r="H3939">
        <v>10339.5</v>
      </c>
      <c r="I3939">
        <v>38855.66</v>
      </c>
      <c r="J3939">
        <v>27</v>
      </c>
      <c r="K3939">
        <v>0</v>
      </c>
      <c r="L3939">
        <v>2.4</v>
      </c>
      <c r="M3939">
        <v>37.1</v>
      </c>
      <c r="N3939" t="s">
        <v>61</v>
      </c>
      <c r="O3939" t="s">
        <v>75</v>
      </c>
      <c r="P3939" t="s">
        <v>66</v>
      </c>
      <c r="R3939">
        <f>SUMIF(A3939:A8938,"C03938",I3939:I8938)</f>
        <v>38855.66</v>
      </c>
      <c r="S3939" s="1">
        <v>69129.68</v>
      </c>
      <c r="T3939">
        <f t="shared" si="443"/>
        <v>1439.09851851852</v>
      </c>
      <c r="U3939">
        <f t="shared" si="449"/>
        <v>1001.7</v>
      </c>
      <c r="V3939">
        <f t="shared" si="444"/>
        <v>83.475</v>
      </c>
      <c r="W3939">
        <f t="shared" si="447"/>
        <v>16398.72</v>
      </c>
      <c r="X3939">
        <f t="shared" si="445"/>
        <v>0.104260360752454</v>
      </c>
      <c r="AH3939" t="str">
        <f t="shared" si="448"/>
        <v>1st Quality</v>
      </c>
      <c r="AJ3939">
        <f>((T3939-X3939)*2)/2.4</f>
        <v>1199.16188179814</v>
      </c>
      <c r="AK3939">
        <f t="shared" si="446"/>
        <v>1551348.20296296</v>
      </c>
    </row>
    <row r="3940" spans="1:37">
      <c r="A3940" t="s">
        <v>4006</v>
      </c>
      <c r="B3940">
        <v>38</v>
      </c>
      <c r="C3940" t="s">
        <v>44</v>
      </c>
      <c r="D3940" t="s">
        <v>45</v>
      </c>
      <c r="E3940">
        <v>1420</v>
      </c>
      <c r="F3940">
        <v>7</v>
      </c>
      <c r="G3940">
        <v>8</v>
      </c>
      <c r="H3940">
        <v>9274.89</v>
      </c>
      <c r="I3940">
        <v>76339.98</v>
      </c>
      <c r="J3940">
        <v>22</v>
      </c>
      <c r="K3940">
        <v>0</v>
      </c>
      <c r="L3940">
        <v>14.9</v>
      </c>
      <c r="M3940">
        <v>35.4</v>
      </c>
      <c r="N3940" t="s">
        <v>61</v>
      </c>
      <c r="O3940" t="s">
        <v>47</v>
      </c>
      <c r="P3940" t="s">
        <v>58</v>
      </c>
      <c r="R3940">
        <f>SUMIF(A3940:A8939,"C03939",I3940:I8939)</f>
        <v>76339.98</v>
      </c>
      <c r="S3940" s="1">
        <v>82247.54</v>
      </c>
      <c r="T3940">
        <f t="shared" si="443"/>
        <v>3469.99909090909</v>
      </c>
      <c r="U3940">
        <f t="shared" si="449"/>
        <v>778.8</v>
      </c>
      <c r="V3940">
        <f t="shared" si="444"/>
        <v>64.9</v>
      </c>
      <c r="W3940">
        <f t="shared" si="447"/>
        <v>28538.6233333333</v>
      </c>
      <c r="X3940">
        <f t="shared" si="445"/>
        <v>0.153101546217799</v>
      </c>
      <c r="AH3940" t="str">
        <f t="shared" si="448"/>
        <v>2nd Quality</v>
      </c>
      <c r="AJ3940">
        <f>((T3940-X3940)*2)/14.9</f>
        <v>465.751139511795</v>
      </c>
      <c r="AK3940">
        <f t="shared" si="446"/>
        <v>4927398.70909091</v>
      </c>
    </row>
    <row r="3941" spans="1:37">
      <c r="A3941" t="s">
        <v>4007</v>
      </c>
      <c r="B3941">
        <v>57</v>
      </c>
      <c r="C3941" t="s">
        <v>50</v>
      </c>
      <c r="D3941" t="s">
        <v>51</v>
      </c>
      <c r="E3941">
        <v>835</v>
      </c>
      <c r="F3941">
        <v>29</v>
      </c>
      <c r="G3941">
        <v>24</v>
      </c>
      <c r="H3941">
        <v>2526.94</v>
      </c>
      <c r="I3941">
        <v>67898.57</v>
      </c>
      <c r="J3941">
        <v>179</v>
      </c>
      <c r="K3941">
        <v>1</v>
      </c>
      <c r="L3941">
        <v>15.9</v>
      </c>
      <c r="M3941">
        <v>45.7</v>
      </c>
      <c r="N3941" t="s">
        <v>57</v>
      </c>
      <c r="O3941" t="s">
        <v>47</v>
      </c>
      <c r="P3941" t="s">
        <v>58</v>
      </c>
      <c r="R3941">
        <f>SUMIF(A3941:A8940,"C03940",I3941:I8940)</f>
        <v>67898.57</v>
      </c>
      <c r="S3941" s="1">
        <v>62039.91</v>
      </c>
      <c r="T3941">
        <f t="shared" si="443"/>
        <v>379.321620111732</v>
      </c>
      <c r="U3941">
        <f t="shared" si="449"/>
        <v>8180.3</v>
      </c>
      <c r="V3941">
        <f>U3941*1</f>
        <v>8180.3</v>
      </c>
      <c r="W3941">
        <f t="shared" si="447"/>
        <v>23475.5033333333</v>
      </c>
      <c r="X3941">
        <f t="shared" si="445"/>
        <v>0.330439187317467</v>
      </c>
      <c r="AH3941" t="str">
        <f t="shared" si="448"/>
        <v>3rd Quality</v>
      </c>
      <c r="AJ3941">
        <f>((T3941-X3941)*2)/15.9</f>
        <v>47.6718466571591</v>
      </c>
      <c r="AK3941">
        <f t="shared" si="446"/>
        <v>316733.552793296</v>
      </c>
    </row>
    <row r="3942" spans="1:37">
      <c r="A3942" t="s">
        <v>4008</v>
      </c>
      <c r="B3942">
        <v>34</v>
      </c>
      <c r="C3942" t="s">
        <v>44</v>
      </c>
      <c r="D3942" t="s">
        <v>60</v>
      </c>
      <c r="E3942">
        <v>1230</v>
      </c>
      <c r="F3942">
        <v>4</v>
      </c>
      <c r="G3942">
        <v>33</v>
      </c>
      <c r="H3942">
        <v>2275.89</v>
      </c>
      <c r="I3942">
        <v>69129.68</v>
      </c>
      <c r="J3942">
        <v>135</v>
      </c>
      <c r="K3942">
        <v>1</v>
      </c>
      <c r="L3942">
        <v>0</v>
      </c>
      <c r="M3942">
        <v>54.8</v>
      </c>
      <c r="N3942" t="s">
        <v>57</v>
      </c>
      <c r="O3942" t="s">
        <v>47</v>
      </c>
      <c r="P3942" t="s">
        <v>48</v>
      </c>
      <c r="R3942">
        <f>SUMIF(A3942:A8941,"C03941",I3942:I8941)</f>
        <v>69129.68</v>
      </c>
      <c r="S3942" s="1">
        <v>84226.21</v>
      </c>
      <c r="T3942">
        <f t="shared" si="443"/>
        <v>512.071703703704</v>
      </c>
      <c r="U3942">
        <f t="shared" si="449"/>
        <v>7398</v>
      </c>
      <c r="V3942">
        <f>U3942*1</f>
        <v>7398</v>
      </c>
      <c r="W3942">
        <f t="shared" si="447"/>
        <v>23802.19</v>
      </c>
      <c r="X3942">
        <f t="shared" si="445"/>
        <v>0.540447912684708</v>
      </c>
      <c r="AH3942" t="str">
        <f t="shared" si="448"/>
        <v>2nd Quality</v>
      </c>
      <c r="AJ3942">
        <f>((T3942-X3942)*2)</f>
        <v>1023.06251158204</v>
      </c>
      <c r="AK3942">
        <f t="shared" si="446"/>
        <v>629848.195555556</v>
      </c>
    </row>
    <row r="3943" spans="1:37">
      <c r="A3943" t="s">
        <v>4009</v>
      </c>
      <c r="B3943">
        <v>56</v>
      </c>
      <c r="C3943" t="s">
        <v>50</v>
      </c>
      <c r="D3943" t="s">
        <v>45</v>
      </c>
      <c r="E3943">
        <v>1230</v>
      </c>
      <c r="F3943">
        <v>8</v>
      </c>
      <c r="G3943">
        <v>27</v>
      </c>
      <c r="H3943">
        <v>3137.64</v>
      </c>
      <c r="I3943">
        <v>82247.54</v>
      </c>
      <c r="J3943">
        <v>90</v>
      </c>
      <c r="K3943">
        <v>1</v>
      </c>
      <c r="L3943">
        <v>12.9</v>
      </c>
      <c r="M3943">
        <v>23.7</v>
      </c>
      <c r="N3943" t="s">
        <v>57</v>
      </c>
      <c r="O3943" t="s">
        <v>47</v>
      </c>
      <c r="P3943" t="s">
        <v>68</v>
      </c>
      <c r="R3943">
        <f>SUMIF(A3943:A8942,"C03942",I3943:I8942)</f>
        <v>82247.54</v>
      </c>
      <c r="S3943" s="1">
        <v>76369.86</v>
      </c>
      <c r="T3943">
        <f t="shared" ref="T3943:T4006" si="450">I3943/J3943</f>
        <v>913.861555555555</v>
      </c>
      <c r="U3943">
        <f t="shared" si="449"/>
        <v>2133</v>
      </c>
      <c r="V3943">
        <f>U3943*1</f>
        <v>2133</v>
      </c>
      <c r="W3943">
        <f t="shared" si="447"/>
        <v>28462.06</v>
      </c>
      <c r="X3943">
        <f t="shared" si="445"/>
        <v>0.392014380234826</v>
      </c>
      <c r="AH3943" t="str">
        <f t="shared" si="448"/>
        <v>3rd Quality</v>
      </c>
      <c r="AJ3943">
        <f>((T3943-X3943)*2)/12.9</f>
        <v>141.623184678344</v>
      </c>
      <c r="AK3943">
        <f t="shared" si="446"/>
        <v>1124049.71333333</v>
      </c>
    </row>
    <row r="3944" spans="1:37">
      <c r="A3944" t="s">
        <v>4010</v>
      </c>
      <c r="B3944">
        <v>47</v>
      </c>
      <c r="C3944" t="s">
        <v>50</v>
      </c>
      <c r="D3944" t="s">
        <v>60</v>
      </c>
      <c r="E3944">
        <v>617</v>
      </c>
      <c r="F3944">
        <v>12</v>
      </c>
      <c r="G3944">
        <v>27</v>
      </c>
      <c r="H3944">
        <v>2359.47</v>
      </c>
      <c r="I3944">
        <v>62039.91</v>
      </c>
      <c r="J3944">
        <v>145</v>
      </c>
      <c r="K3944">
        <v>2</v>
      </c>
      <c r="L3944">
        <v>14.4</v>
      </c>
      <c r="M3944">
        <v>28.8</v>
      </c>
      <c r="N3944" t="s">
        <v>46</v>
      </c>
      <c r="O3944" t="s">
        <v>47</v>
      </c>
      <c r="P3944" t="s">
        <v>58</v>
      </c>
      <c r="R3944">
        <f>SUMIF(A3944:A8943,"C03943",I3944:I8943)</f>
        <v>62039.91</v>
      </c>
      <c r="S3944" s="1">
        <v>926.64</v>
      </c>
      <c r="T3944">
        <f t="shared" si="450"/>
        <v>427.861448275862</v>
      </c>
      <c r="U3944">
        <f t="shared" si="449"/>
        <v>4176</v>
      </c>
      <c r="V3944">
        <f>U3944*2</f>
        <v>8352</v>
      </c>
      <c r="W3944">
        <f t="shared" si="447"/>
        <v>21466.7933333333</v>
      </c>
      <c r="X3944">
        <f t="shared" si="445"/>
        <v>0.261499404527288</v>
      </c>
      <c r="AH3944" t="str">
        <f t="shared" si="448"/>
        <v>3rd Quality</v>
      </c>
      <c r="AJ3944">
        <f>((T3944-X3944)*2)/14.4</f>
        <v>59.3888817876854</v>
      </c>
      <c r="AK3944">
        <f t="shared" si="446"/>
        <v>263990.513586207</v>
      </c>
    </row>
    <row r="3945" spans="1:37">
      <c r="A3945" t="s">
        <v>4011</v>
      </c>
      <c r="B3945">
        <v>18</v>
      </c>
      <c r="C3945" t="s">
        <v>44</v>
      </c>
      <c r="D3945" t="s">
        <v>45</v>
      </c>
      <c r="E3945">
        <v>1195</v>
      </c>
      <c r="F3945">
        <v>52</v>
      </c>
      <c r="G3945">
        <v>7</v>
      </c>
      <c r="H3945">
        <v>12920.64</v>
      </c>
      <c r="I3945">
        <v>84226.21</v>
      </c>
      <c r="J3945">
        <v>24</v>
      </c>
      <c r="K3945">
        <v>0</v>
      </c>
      <c r="L3945">
        <v>5.6</v>
      </c>
      <c r="M3945">
        <v>21.8</v>
      </c>
      <c r="N3945" t="s">
        <v>81</v>
      </c>
      <c r="O3945" t="s">
        <v>53</v>
      </c>
      <c r="P3945" t="s">
        <v>68</v>
      </c>
      <c r="R3945">
        <f>SUMIF(A3945:A8944,"C03944",I3945:I8944)</f>
        <v>84226.21</v>
      </c>
      <c r="S3945" s="1">
        <v>79744.41</v>
      </c>
      <c r="T3945">
        <f t="shared" si="450"/>
        <v>3509.42541666667</v>
      </c>
      <c r="U3945">
        <f t="shared" si="449"/>
        <v>523.2</v>
      </c>
      <c r="V3945">
        <f t="shared" si="444"/>
        <v>43.6</v>
      </c>
      <c r="W3945">
        <f t="shared" si="447"/>
        <v>32382.6166666667</v>
      </c>
      <c r="X3945">
        <f t="shared" si="445"/>
        <v>0.0924876786289224</v>
      </c>
      <c r="AH3945" t="str">
        <f t="shared" si="448"/>
        <v>1st Quality</v>
      </c>
      <c r="AJ3945">
        <f>((T3945-X3945)*2)/5.6</f>
        <v>1253.3331889243</v>
      </c>
      <c r="AK3945">
        <f t="shared" si="446"/>
        <v>4193763.37291667</v>
      </c>
    </row>
    <row r="3946" spans="1:37">
      <c r="A3946" t="s">
        <v>4012</v>
      </c>
      <c r="B3946">
        <v>41</v>
      </c>
      <c r="C3946" t="s">
        <v>50</v>
      </c>
      <c r="D3946" t="s">
        <v>45</v>
      </c>
      <c r="E3946">
        <v>888</v>
      </c>
      <c r="F3946">
        <v>6</v>
      </c>
      <c r="G3946">
        <v>23</v>
      </c>
      <c r="H3946">
        <v>3105.71</v>
      </c>
      <c r="I3946">
        <v>76369.86</v>
      </c>
      <c r="J3946">
        <v>147</v>
      </c>
      <c r="K3946">
        <v>3</v>
      </c>
      <c r="L3946">
        <v>19.5</v>
      </c>
      <c r="M3946">
        <v>28.6</v>
      </c>
      <c r="N3946" t="s">
        <v>78</v>
      </c>
      <c r="O3946" t="s">
        <v>47</v>
      </c>
      <c r="P3946" t="s">
        <v>66</v>
      </c>
      <c r="R3946">
        <f>SUMIF(A3946:A8945,"C03945",I3946:I8945)</f>
        <v>76369.86</v>
      </c>
      <c r="S3946" s="1">
        <v>101677.16</v>
      </c>
      <c r="T3946">
        <f t="shared" si="450"/>
        <v>519.522857142857</v>
      </c>
      <c r="U3946">
        <f t="shared" si="449"/>
        <v>4204.2</v>
      </c>
      <c r="V3946">
        <f>U3946*3</f>
        <v>12612.6</v>
      </c>
      <c r="W3946">
        <f t="shared" si="447"/>
        <v>26492.19</v>
      </c>
      <c r="X3946">
        <f t="shared" si="445"/>
        <v>0.285924957578138</v>
      </c>
      <c r="AH3946" t="str">
        <f t="shared" si="448"/>
        <v>2nd Quality</v>
      </c>
      <c r="AJ3946">
        <f>((T3946-X3946)*2)/19.5</f>
        <v>53.2550699677209</v>
      </c>
      <c r="AK3946">
        <f t="shared" si="446"/>
        <v>461336.297142857</v>
      </c>
    </row>
    <row r="3947" spans="1:37">
      <c r="A3947" t="s">
        <v>4013</v>
      </c>
      <c r="B3947">
        <v>18</v>
      </c>
      <c r="C3947" t="s">
        <v>44</v>
      </c>
      <c r="D3947" t="s">
        <v>60</v>
      </c>
      <c r="E3947">
        <v>570</v>
      </c>
      <c r="F3947">
        <v>120</v>
      </c>
      <c r="G3947">
        <v>1</v>
      </c>
      <c r="H3947">
        <v>882.72</v>
      </c>
      <c r="I3947">
        <v>926.64</v>
      </c>
      <c r="J3947">
        <v>16</v>
      </c>
      <c r="K3947">
        <v>0</v>
      </c>
      <c r="L3947">
        <v>5.8</v>
      </c>
      <c r="M3947">
        <v>20.8</v>
      </c>
      <c r="N3947" t="s">
        <v>78</v>
      </c>
      <c r="O3947" t="s">
        <v>47</v>
      </c>
      <c r="P3947" t="s">
        <v>66</v>
      </c>
      <c r="R3947">
        <f>SUMIF(A3947:A8946,"C03946",I3947:I8946)</f>
        <v>926.64</v>
      </c>
      <c r="S3947" s="1">
        <v>3087.91</v>
      </c>
      <c r="T3947">
        <f t="shared" si="450"/>
        <v>57.915</v>
      </c>
      <c r="U3947">
        <f t="shared" si="449"/>
        <v>332.8</v>
      </c>
      <c r="V3947">
        <f t="shared" si="444"/>
        <v>27.7333333333333</v>
      </c>
      <c r="W3947">
        <f t="shared" si="447"/>
        <v>603.453333333333</v>
      </c>
      <c r="X3947">
        <f t="shared" si="445"/>
        <v>0.645731375747689</v>
      </c>
      <c r="AH3947" t="str">
        <f t="shared" si="448"/>
        <v>3rd Quality</v>
      </c>
      <c r="AJ3947">
        <f>((T3947-X3947)*2)/5.8</f>
        <v>19.7480236635353</v>
      </c>
      <c r="AK3947">
        <f t="shared" si="446"/>
        <v>33011.55</v>
      </c>
    </row>
    <row r="3948" spans="1:37">
      <c r="A3948" t="s">
        <v>4014</v>
      </c>
      <c r="B3948">
        <v>42</v>
      </c>
      <c r="C3948" t="s">
        <v>44</v>
      </c>
      <c r="D3948" t="s">
        <v>45</v>
      </c>
      <c r="E3948">
        <v>487</v>
      </c>
      <c r="F3948">
        <v>10</v>
      </c>
      <c r="G3948">
        <v>25</v>
      </c>
      <c r="H3948">
        <v>3422.24</v>
      </c>
      <c r="I3948">
        <v>79744.41</v>
      </c>
      <c r="J3948">
        <v>131</v>
      </c>
      <c r="K3948">
        <v>1</v>
      </c>
      <c r="L3948">
        <v>0</v>
      </c>
      <c r="M3948">
        <v>43.2</v>
      </c>
      <c r="N3948" t="s">
        <v>81</v>
      </c>
      <c r="O3948" t="s">
        <v>75</v>
      </c>
      <c r="P3948" t="s">
        <v>58</v>
      </c>
      <c r="R3948">
        <f>SUMIF(A3948:A8947,"C03947",I3948:I8947)</f>
        <v>79744.41</v>
      </c>
      <c r="S3948" s="1">
        <v>15555.04</v>
      </c>
      <c r="T3948">
        <f t="shared" si="450"/>
        <v>608.735954198473</v>
      </c>
      <c r="U3948">
        <f t="shared" si="449"/>
        <v>5659.2</v>
      </c>
      <c r="V3948">
        <f>U3948*1</f>
        <v>5659.2</v>
      </c>
      <c r="W3948">
        <f t="shared" si="447"/>
        <v>27722.55</v>
      </c>
      <c r="X3948">
        <f t="shared" si="445"/>
        <v>0.14230445556127</v>
      </c>
      <c r="AH3948" t="str">
        <f t="shared" si="448"/>
        <v>2nd Quality</v>
      </c>
      <c r="AJ3948">
        <f>((T3948-X3948)*2)</f>
        <v>1217.18729948582</v>
      </c>
      <c r="AK3948">
        <f t="shared" si="446"/>
        <v>296454.409694656</v>
      </c>
    </row>
    <row r="3949" spans="1:37">
      <c r="A3949" t="s">
        <v>4015</v>
      </c>
      <c r="B3949">
        <v>28</v>
      </c>
      <c r="C3949" t="s">
        <v>50</v>
      </c>
      <c r="D3949" t="s">
        <v>60</v>
      </c>
      <c r="E3949">
        <v>1150</v>
      </c>
      <c r="F3949">
        <v>5</v>
      </c>
      <c r="G3949">
        <v>25</v>
      </c>
      <c r="H3949">
        <v>3745.46</v>
      </c>
      <c r="I3949">
        <v>101677.16</v>
      </c>
      <c r="J3949">
        <v>82</v>
      </c>
      <c r="K3949">
        <v>2</v>
      </c>
      <c r="L3949">
        <v>16.5</v>
      </c>
      <c r="M3949">
        <v>29.6</v>
      </c>
      <c r="N3949" t="s">
        <v>81</v>
      </c>
      <c r="O3949" t="s">
        <v>47</v>
      </c>
      <c r="P3949" t="s">
        <v>48</v>
      </c>
      <c r="R3949">
        <f>SUMIF(A3949:A8948,"C03948",I3949:I8948)</f>
        <v>101677.16</v>
      </c>
      <c r="S3949" s="1">
        <v>11022.27</v>
      </c>
      <c r="T3949">
        <f t="shared" si="450"/>
        <v>1239.96536585366</v>
      </c>
      <c r="U3949">
        <f t="shared" si="449"/>
        <v>2427.2</v>
      </c>
      <c r="V3949">
        <f>U3949*2</f>
        <v>4854.4</v>
      </c>
      <c r="W3949">
        <f t="shared" si="447"/>
        <v>35141.2066666667</v>
      </c>
      <c r="X3949">
        <f t="shared" si="445"/>
        <v>0.307038387808173</v>
      </c>
      <c r="AH3949" t="str">
        <f t="shared" si="448"/>
        <v>1st Quality</v>
      </c>
      <c r="AJ3949">
        <f>((T3949-X3949)*2)/16.5</f>
        <v>150.261615450406</v>
      </c>
      <c r="AK3949">
        <f t="shared" si="446"/>
        <v>1425960.17073171</v>
      </c>
    </row>
    <row r="3950" spans="1:37">
      <c r="A3950" t="s">
        <v>4016</v>
      </c>
      <c r="B3950">
        <v>34</v>
      </c>
      <c r="C3950" t="s">
        <v>56</v>
      </c>
      <c r="D3950" t="s">
        <v>45</v>
      </c>
      <c r="E3950">
        <v>1256</v>
      </c>
      <c r="F3950">
        <v>156</v>
      </c>
      <c r="G3950">
        <v>1</v>
      </c>
      <c r="H3950">
        <v>3143.9</v>
      </c>
      <c r="I3950">
        <v>3087.91</v>
      </c>
      <c r="J3950">
        <v>10</v>
      </c>
      <c r="K3950">
        <v>0</v>
      </c>
      <c r="L3950">
        <v>11.3</v>
      </c>
      <c r="M3950">
        <v>25.8</v>
      </c>
      <c r="N3950" t="s">
        <v>63</v>
      </c>
      <c r="O3950" t="s">
        <v>47</v>
      </c>
      <c r="P3950" t="s">
        <v>66</v>
      </c>
      <c r="R3950">
        <f>SUMIF(A3950:A8949,"C03949",I3950:I8949)</f>
        <v>3087.91</v>
      </c>
      <c r="S3950" s="1">
        <v>3184.95</v>
      </c>
      <c r="T3950">
        <f t="shared" si="450"/>
        <v>308.791</v>
      </c>
      <c r="U3950">
        <f t="shared" si="449"/>
        <v>258</v>
      </c>
      <c r="V3950">
        <f t="shared" si="444"/>
        <v>21.5</v>
      </c>
      <c r="W3950">
        <f t="shared" si="447"/>
        <v>2077.60333333333</v>
      </c>
      <c r="X3950">
        <f t="shared" si="445"/>
        <v>0.399503801011483</v>
      </c>
      <c r="AH3950" t="str">
        <f t="shared" si="448"/>
        <v>3rd Quality</v>
      </c>
      <c r="AJ3950">
        <f>((T3950-X3950)*2)/11.3</f>
        <v>54.582565698936</v>
      </c>
      <c r="AK3950">
        <f t="shared" si="446"/>
        <v>387841.496</v>
      </c>
    </row>
    <row r="3951" spans="1:37">
      <c r="A3951" t="s">
        <v>4017</v>
      </c>
      <c r="B3951">
        <v>25</v>
      </c>
      <c r="C3951" t="s">
        <v>44</v>
      </c>
      <c r="D3951" t="s">
        <v>60</v>
      </c>
      <c r="E3951">
        <v>1234</v>
      </c>
      <c r="F3951">
        <v>84</v>
      </c>
      <c r="G3951">
        <v>8</v>
      </c>
      <c r="H3951">
        <v>1920.91</v>
      </c>
      <c r="I3951">
        <v>15555.04</v>
      </c>
      <c r="J3951">
        <v>73</v>
      </c>
      <c r="K3951">
        <v>0</v>
      </c>
      <c r="L3951">
        <v>21.8</v>
      </c>
      <c r="M3951">
        <v>39.8</v>
      </c>
      <c r="N3951" t="s">
        <v>57</v>
      </c>
      <c r="O3951" t="s">
        <v>53</v>
      </c>
      <c r="P3951" t="s">
        <v>48</v>
      </c>
      <c r="R3951">
        <f>SUMIF(A3951:A8950,"C03950",I3951:I8950)</f>
        <v>15555.04</v>
      </c>
      <c r="S3951" s="1">
        <v>938.12</v>
      </c>
      <c r="T3951">
        <f t="shared" si="450"/>
        <v>213.082739726027</v>
      </c>
      <c r="U3951">
        <f t="shared" si="449"/>
        <v>2905.4</v>
      </c>
      <c r="V3951">
        <f t="shared" si="444"/>
        <v>242.116666666667</v>
      </c>
      <c r="W3951">
        <f t="shared" si="447"/>
        <v>5825.65</v>
      </c>
      <c r="X3951">
        <f t="shared" si="445"/>
        <v>0.642403860670203</v>
      </c>
      <c r="AH3951" t="str">
        <f t="shared" si="448"/>
        <v>3rd Quality</v>
      </c>
      <c r="AJ3951">
        <f>((T3951-X3951)*2)/21.8</f>
        <v>19.4899390702162</v>
      </c>
      <c r="AK3951">
        <f t="shared" si="446"/>
        <v>262944.100821918</v>
      </c>
    </row>
    <row r="3952" spans="1:37">
      <c r="A3952" t="s">
        <v>4018</v>
      </c>
      <c r="B3952">
        <v>40</v>
      </c>
      <c r="C3952" t="s">
        <v>44</v>
      </c>
      <c r="D3952" t="s">
        <v>60</v>
      </c>
      <c r="E3952">
        <v>1428</v>
      </c>
      <c r="F3952">
        <v>14</v>
      </c>
      <c r="G3952">
        <v>11</v>
      </c>
      <c r="H3952">
        <v>959.45</v>
      </c>
      <c r="I3952">
        <v>11022.27</v>
      </c>
      <c r="J3952">
        <v>53</v>
      </c>
      <c r="K3952">
        <v>1</v>
      </c>
      <c r="L3952">
        <v>14.1</v>
      </c>
      <c r="M3952">
        <v>14.8</v>
      </c>
      <c r="N3952" t="s">
        <v>61</v>
      </c>
      <c r="O3952" t="s">
        <v>47</v>
      </c>
      <c r="P3952" t="s">
        <v>68</v>
      </c>
      <c r="R3952">
        <f>SUMIF(A3952:A8951,"C03951",I3952:I8951)</f>
        <v>11022.27</v>
      </c>
      <c r="S3952" s="1">
        <v>878.19</v>
      </c>
      <c r="T3952">
        <f t="shared" si="450"/>
        <v>207.967358490566</v>
      </c>
      <c r="U3952">
        <f t="shared" si="449"/>
        <v>784.4</v>
      </c>
      <c r="V3952">
        <f>U3952*1</f>
        <v>784.4</v>
      </c>
      <c r="W3952">
        <f t="shared" si="447"/>
        <v>3994.24</v>
      </c>
      <c r="X3952">
        <f t="shared" si="445"/>
        <v>1.48835270206889</v>
      </c>
      <c r="AH3952" t="str">
        <f t="shared" si="448"/>
        <v>3rd Quality</v>
      </c>
      <c r="AJ3952">
        <f>((T3952-X3952)*2)/14.1</f>
        <v>29.2878022395031</v>
      </c>
      <c r="AK3952">
        <f t="shared" si="446"/>
        <v>296977.387924528</v>
      </c>
    </row>
    <row r="3953" spans="1:37">
      <c r="A3953" t="s">
        <v>4019</v>
      </c>
      <c r="B3953">
        <v>58</v>
      </c>
      <c r="C3953" t="s">
        <v>50</v>
      </c>
      <c r="D3953" t="s">
        <v>45</v>
      </c>
      <c r="E3953">
        <v>1352</v>
      </c>
      <c r="F3953">
        <v>19</v>
      </c>
      <c r="G3953">
        <v>1</v>
      </c>
      <c r="H3953">
        <v>2922.51</v>
      </c>
      <c r="I3953">
        <v>3184.95</v>
      </c>
      <c r="J3953">
        <v>18</v>
      </c>
      <c r="K3953">
        <v>0</v>
      </c>
      <c r="L3953">
        <v>23</v>
      </c>
      <c r="M3953">
        <v>2.4</v>
      </c>
      <c r="N3953" t="s">
        <v>61</v>
      </c>
      <c r="O3953" t="s">
        <v>75</v>
      </c>
      <c r="P3953" t="s">
        <v>68</v>
      </c>
      <c r="R3953">
        <f>SUMIF(A3953:A8952,"C03952",I3953:I8952)</f>
        <v>3184.95</v>
      </c>
      <c r="S3953" s="1">
        <v>102058.22</v>
      </c>
      <c r="T3953">
        <f t="shared" si="450"/>
        <v>176.941666666667</v>
      </c>
      <c r="U3953">
        <f t="shared" si="449"/>
        <v>43.2</v>
      </c>
      <c r="V3953">
        <f t="shared" si="444"/>
        <v>3.6</v>
      </c>
      <c r="W3953">
        <f t="shared" si="447"/>
        <v>2036.15333333333</v>
      </c>
      <c r="X3953">
        <f t="shared" si="445"/>
        <v>0.462616038952818</v>
      </c>
      <c r="AH3953" t="str">
        <f t="shared" si="448"/>
        <v>3rd Quality</v>
      </c>
      <c r="AJ3953">
        <f>((T3953-X3953)*2)/23</f>
        <v>15.3460044024099</v>
      </c>
      <c r="AK3953">
        <f t="shared" si="446"/>
        <v>239225.133333333</v>
      </c>
    </row>
    <row r="3954" spans="1:37">
      <c r="A3954" t="s">
        <v>4020</v>
      </c>
      <c r="B3954">
        <v>61</v>
      </c>
      <c r="C3954" t="s">
        <v>50</v>
      </c>
      <c r="D3954" t="s">
        <v>60</v>
      </c>
      <c r="E3954">
        <v>572</v>
      </c>
      <c r="F3954">
        <v>99</v>
      </c>
      <c r="G3954">
        <v>1</v>
      </c>
      <c r="H3954">
        <v>1003.94</v>
      </c>
      <c r="I3954">
        <v>938.12</v>
      </c>
      <c r="J3954">
        <v>13</v>
      </c>
      <c r="K3954">
        <v>0</v>
      </c>
      <c r="L3954">
        <v>19.4</v>
      </c>
      <c r="M3954">
        <v>31.1</v>
      </c>
      <c r="N3954" t="s">
        <v>63</v>
      </c>
      <c r="O3954" t="s">
        <v>53</v>
      </c>
      <c r="P3954" t="s">
        <v>58</v>
      </c>
      <c r="R3954">
        <f>SUMIF(A3954:A8953,"C03953",I3954:I8953)</f>
        <v>938.12</v>
      </c>
      <c r="S3954" s="1">
        <v>72281.69</v>
      </c>
      <c r="T3954">
        <f t="shared" si="450"/>
        <v>72.1630769230769</v>
      </c>
      <c r="U3954">
        <f t="shared" si="449"/>
        <v>404.3</v>
      </c>
      <c r="V3954">
        <f t="shared" si="444"/>
        <v>33.6916666666667</v>
      </c>
      <c r="W3954">
        <f t="shared" si="447"/>
        <v>647.686666666667</v>
      </c>
      <c r="X3954">
        <f t="shared" si="445"/>
        <v>0.569755164651274</v>
      </c>
      <c r="AH3954" t="str">
        <f t="shared" si="448"/>
        <v>3rd Quality</v>
      </c>
      <c r="AJ3954">
        <f>((T3954-X3954)*2)/19.4</f>
        <v>7.38075482045625</v>
      </c>
      <c r="AK3954">
        <f t="shared" si="446"/>
        <v>41277.28</v>
      </c>
    </row>
    <row r="3955" spans="1:37">
      <c r="A3955" t="s">
        <v>4021</v>
      </c>
      <c r="B3955">
        <v>24</v>
      </c>
      <c r="C3955" t="s">
        <v>50</v>
      </c>
      <c r="D3955" t="s">
        <v>45</v>
      </c>
      <c r="E3955">
        <v>1166</v>
      </c>
      <c r="F3955">
        <v>24</v>
      </c>
      <c r="G3955">
        <v>1</v>
      </c>
      <c r="H3955">
        <v>859.15</v>
      </c>
      <c r="I3955">
        <v>878.19</v>
      </c>
      <c r="J3955">
        <v>13</v>
      </c>
      <c r="K3955">
        <v>0</v>
      </c>
      <c r="L3955">
        <v>28.1</v>
      </c>
      <c r="M3955">
        <v>18</v>
      </c>
      <c r="N3955" t="s">
        <v>57</v>
      </c>
      <c r="O3955" t="s">
        <v>47</v>
      </c>
      <c r="P3955" t="s">
        <v>68</v>
      </c>
      <c r="R3955">
        <f>SUMIF(A3955:A8954,"C03954",I3955:I8954)</f>
        <v>878.19</v>
      </c>
      <c r="S3955" s="1">
        <v>3712.53</v>
      </c>
      <c r="T3955">
        <f t="shared" si="450"/>
        <v>67.5530769230769</v>
      </c>
      <c r="U3955">
        <f t="shared" si="449"/>
        <v>234</v>
      </c>
      <c r="V3955">
        <f t="shared" si="444"/>
        <v>19.5</v>
      </c>
      <c r="W3955">
        <f t="shared" si="447"/>
        <v>579.446666666667</v>
      </c>
      <c r="X3955">
        <f t="shared" si="445"/>
        <v>1.35715532794041</v>
      </c>
      <c r="AH3955" t="str">
        <f t="shared" si="448"/>
        <v>3rd Quality</v>
      </c>
      <c r="AJ3955">
        <f>((T3955-X3955)*2)/28.1</f>
        <v>4.71145349431576</v>
      </c>
      <c r="AK3955">
        <f t="shared" si="446"/>
        <v>78766.8876923077</v>
      </c>
    </row>
    <row r="3956" spans="1:37">
      <c r="A3956" t="s">
        <v>4022</v>
      </c>
      <c r="B3956">
        <v>33</v>
      </c>
      <c r="C3956" t="s">
        <v>44</v>
      </c>
      <c r="D3956" t="s">
        <v>60</v>
      </c>
      <c r="E3956">
        <v>611</v>
      </c>
      <c r="F3956">
        <v>13</v>
      </c>
      <c r="G3956">
        <v>23</v>
      </c>
      <c r="H3956">
        <v>4261.82</v>
      </c>
      <c r="I3956">
        <v>102058.22</v>
      </c>
      <c r="J3956">
        <v>122</v>
      </c>
      <c r="K3956">
        <v>0</v>
      </c>
      <c r="L3956">
        <v>0.4</v>
      </c>
      <c r="M3956">
        <v>33.2</v>
      </c>
      <c r="N3956" t="s">
        <v>61</v>
      </c>
      <c r="O3956" t="s">
        <v>53</v>
      </c>
      <c r="P3956" t="s">
        <v>58</v>
      </c>
      <c r="R3956">
        <f>SUMIF(A3956:A8955,"C03955",I3956:I8955)</f>
        <v>102058.22</v>
      </c>
      <c r="S3956" s="1">
        <v>3033.89</v>
      </c>
      <c r="T3956">
        <f t="shared" si="450"/>
        <v>836.542786885246</v>
      </c>
      <c r="U3956">
        <f t="shared" si="449"/>
        <v>4050.4</v>
      </c>
      <c r="V3956">
        <f t="shared" si="444"/>
        <v>337.533333333333</v>
      </c>
      <c r="W3956">
        <f t="shared" si="447"/>
        <v>35440.3466666667</v>
      </c>
      <c r="X3956">
        <f t="shared" si="445"/>
        <v>0.143365979792671</v>
      </c>
      <c r="AH3956" t="str">
        <f t="shared" si="448"/>
        <v>2nd Quality</v>
      </c>
      <c r="AJ3956">
        <f>((T3956-X3956)*2)/0.4</f>
        <v>4181.99710452727</v>
      </c>
      <c r="AK3956">
        <f t="shared" si="446"/>
        <v>511127.642786885</v>
      </c>
    </row>
    <row r="3957" spans="1:37">
      <c r="A3957" t="s">
        <v>4023</v>
      </c>
      <c r="B3957">
        <v>45</v>
      </c>
      <c r="C3957" t="s">
        <v>50</v>
      </c>
      <c r="D3957" t="s">
        <v>51</v>
      </c>
      <c r="E3957">
        <v>1169</v>
      </c>
      <c r="F3957">
        <v>17</v>
      </c>
      <c r="G3957">
        <v>4</v>
      </c>
      <c r="H3957">
        <v>16536.93</v>
      </c>
      <c r="I3957">
        <v>72281.69</v>
      </c>
      <c r="J3957">
        <v>22</v>
      </c>
      <c r="K3957">
        <v>0</v>
      </c>
      <c r="L3957">
        <v>4.9</v>
      </c>
      <c r="M3957">
        <v>18</v>
      </c>
      <c r="N3957" t="s">
        <v>81</v>
      </c>
      <c r="O3957" t="s">
        <v>47</v>
      </c>
      <c r="P3957" t="s">
        <v>66</v>
      </c>
      <c r="R3957">
        <f>SUMIF(A3957:A8956,"C03956",I3957:I8956)</f>
        <v>72281.69</v>
      </c>
      <c r="S3957" s="1">
        <v>73666.84</v>
      </c>
      <c r="T3957">
        <f t="shared" si="450"/>
        <v>3285.53136363636</v>
      </c>
      <c r="U3957">
        <f t="shared" si="449"/>
        <v>396</v>
      </c>
      <c r="V3957">
        <f t="shared" si="444"/>
        <v>33</v>
      </c>
      <c r="W3957">
        <f t="shared" si="447"/>
        <v>29606.54</v>
      </c>
      <c r="X3957">
        <f t="shared" si="445"/>
        <v>0.0706902671777652</v>
      </c>
      <c r="AH3957" t="str">
        <f t="shared" si="448"/>
        <v>3rd Quality</v>
      </c>
      <c r="AJ3957">
        <f>((T3957-X3957)*2)/4.9</f>
        <v>1341.00435647722</v>
      </c>
      <c r="AK3957">
        <f t="shared" si="446"/>
        <v>3840786.16409091</v>
      </c>
    </row>
    <row r="3958" spans="1:37">
      <c r="A3958" t="s">
        <v>4024</v>
      </c>
      <c r="B3958">
        <v>35</v>
      </c>
      <c r="C3958" t="s">
        <v>44</v>
      </c>
      <c r="D3958" t="s">
        <v>51</v>
      </c>
      <c r="E3958">
        <v>840</v>
      </c>
      <c r="F3958">
        <v>365</v>
      </c>
      <c r="G3958">
        <v>1</v>
      </c>
      <c r="H3958">
        <v>3484.8</v>
      </c>
      <c r="I3958">
        <v>3712.53</v>
      </c>
      <c r="J3958">
        <v>14</v>
      </c>
      <c r="K3958">
        <v>0</v>
      </c>
      <c r="L3958">
        <v>19.3</v>
      </c>
      <c r="M3958">
        <v>23.7</v>
      </c>
      <c r="N3958" t="s">
        <v>81</v>
      </c>
      <c r="O3958" t="s">
        <v>47</v>
      </c>
      <c r="P3958" t="s">
        <v>66</v>
      </c>
      <c r="R3958">
        <f>SUMIF(A3958:A8957,"C03957",I3958:I8957)</f>
        <v>3712.53</v>
      </c>
      <c r="S3958" s="1">
        <v>19830.8</v>
      </c>
      <c r="T3958">
        <f t="shared" si="450"/>
        <v>265.180714285714</v>
      </c>
      <c r="U3958">
        <f t="shared" si="449"/>
        <v>331.8</v>
      </c>
      <c r="V3958">
        <f t="shared" ref="V3958:V4021" si="451">U3958/12</f>
        <v>27.65</v>
      </c>
      <c r="W3958">
        <f t="shared" si="447"/>
        <v>2399.44333333333</v>
      </c>
      <c r="X3958">
        <f t="shared" si="445"/>
        <v>0.241046831955923</v>
      </c>
      <c r="AH3958" t="str">
        <f t="shared" si="448"/>
        <v>3rd Quality</v>
      </c>
      <c r="AJ3958">
        <f>((T3958-X3958)*2)/19.3</f>
        <v>27.4548878190423</v>
      </c>
      <c r="AK3958">
        <f t="shared" si="446"/>
        <v>222751.8</v>
      </c>
    </row>
    <row r="3959" spans="1:37">
      <c r="A3959" t="s">
        <v>4025</v>
      </c>
      <c r="B3959">
        <v>28</v>
      </c>
      <c r="C3959" t="s">
        <v>50</v>
      </c>
      <c r="D3959" t="s">
        <v>60</v>
      </c>
      <c r="E3959">
        <v>1353</v>
      </c>
      <c r="F3959">
        <v>153</v>
      </c>
      <c r="G3959">
        <v>1</v>
      </c>
      <c r="H3959">
        <v>2759.43</v>
      </c>
      <c r="I3959">
        <v>3033.89</v>
      </c>
      <c r="J3959">
        <v>13</v>
      </c>
      <c r="K3959">
        <v>0</v>
      </c>
      <c r="L3959">
        <v>13.3</v>
      </c>
      <c r="M3959">
        <v>18.5</v>
      </c>
      <c r="N3959" t="s">
        <v>81</v>
      </c>
      <c r="O3959" t="s">
        <v>47</v>
      </c>
      <c r="P3959" t="s">
        <v>68</v>
      </c>
      <c r="R3959">
        <f>SUMIF(A3959:A8958,"C03958",I3959:I8958)</f>
        <v>3033.89</v>
      </c>
      <c r="S3959" s="1">
        <v>28036.7</v>
      </c>
      <c r="T3959">
        <f t="shared" si="450"/>
        <v>233.376153846154</v>
      </c>
      <c r="U3959">
        <f t="shared" si="449"/>
        <v>240.5</v>
      </c>
      <c r="V3959">
        <f t="shared" si="451"/>
        <v>20.0416666666667</v>
      </c>
      <c r="W3959">
        <f t="shared" si="447"/>
        <v>1931.44</v>
      </c>
      <c r="X3959">
        <f t="shared" si="445"/>
        <v>0.490318652765245</v>
      </c>
      <c r="AH3959" t="str">
        <f t="shared" si="448"/>
        <v>3rd Quality</v>
      </c>
      <c r="AJ3959">
        <f>((T3959-X3959)*2)/13.3</f>
        <v>35.0204263448705</v>
      </c>
      <c r="AK3959">
        <f t="shared" si="446"/>
        <v>315757.936153846</v>
      </c>
    </row>
    <row r="3960" spans="1:37">
      <c r="A3960" t="s">
        <v>4026</v>
      </c>
      <c r="B3960">
        <v>44</v>
      </c>
      <c r="C3960" t="s">
        <v>44</v>
      </c>
      <c r="D3960" t="s">
        <v>60</v>
      </c>
      <c r="E3960">
        <v>505</v>
      </c>
      <c r="F3960">
        <v>2</v>
      </c>
      <c r="G3960">
        <v>27</v>
      </c>
      <c r="H3960">
        <v>3038.12</v>
      </c>
      <c r="I3960">
        <v>73666.84</v>
      </c>
      <c r="J3960">
        <v>141</v>
      </c>
      <c r="K3960">
        <v>2</v>
      </c>
      <c r="L3960">
        <v>5.5</v>
      </c>
      <c r="M3960">
        <v>76</v>
      </c>
      <c r="N3960" t="s">
        <v>81</v>
      </c>
      <c r="O3960" t="s">
        <v>47</v>
      </c>
      <c r="P3960" t="s">
        <v>68</v>
      </c>
      <c r="R3960">
        <f>SUMIF(A3960:A8959,"C03959",I3960:I8959)</f>
        <v>73666.84</v>
      </c>
      <c r="S3960" s="1">
        <v>61054.45</v>
      </c>
      <c r="T3960">
        <f t="shared" si="450"/>
        <v>522.459858156028</v>
      </c>
      <c r="U3960">
        <f t="shared" si="449"/>
        <v>10716</v>
      </c>
      <c r="V3960">
        <f>U3960*2</f>
        <v>21432</v>
      </c>
      <c r="W3960">
        <f t="shared" si="447"/>
        <v>25568.6533333333</v>
      </c>
      <c r="X3960">
        <f t="shared" ref="X3960:X4023" si="452">E3960/H3960</f>
        <v>0.166221215751847</v>
      </c>
      <c r="AH3960" t="str">
        <f t="shared" si="448"/>
        <v>3rd Quality</v>
      </c>
      <c r="AJ3960">
        <f>((T3960-X3960)*2)/5.5</f>
        <v>189.924958887373</v>
      </c>
      <c r="AK3960">
        <f t="shared" si="446"/>
        <v>263842.228368794</v>
      </c>
    </row>
    <row r="3961" spans="1:37">
      <c r="A3961" t="s">
        <v>4027</v>
      </c>
      <c r="B3961">
        <v>29</v>
      </c>
      <c r="C3961" t="s">
        <v>50</v>
      </c>
      <c r="D3961" t="s">
        <v>60</v>
      </c>
      <c r="E3961">
        <v>581</v>
      </c>
      <c r="F3961">
        <v>61</v>
      </c>
      <c r="G3961">
        <v>12</v>
      </c>
      <c r="H3961">
        <v>1682.67</v>
      </c>
      <c r="I3961">
        <v>19830.8</v>
      </c>
      <c r="J3961">
        <v>104</v>
      </c>
      <c r="K3961">
        <v>1</v>
      </c>
      <c r="L3961">
        <v>22.1</v>
      </c>
      <c r="M3961">
        <v>21.4</v>
      </c>
      <c r="N3961" t="s">
        <v>81</v>
      </c>
      <c r="O3961" t="s">
        <v>53</v>
      </c>
      <c r="P3961" t="s">
        <v>48</v>
      </c>
      <c r="R3961">
        <f>SUMIF(A3961:A8960,"C03960",I3961:I8960)</f>
        <v>19830.8</v>
      </c>
      <c r="S3961" s="1">
        <v>874.14</v>
      </c>
      <c r="T3961">
        <f t="shared" si="450"/>
        <v>190.680769230769</v>
      </c>
      <c r="U3961">
        <f t="shared" si="449"/>
        <v>2225.6</v>
      </c>
      <c r="V3961">
        <f>U3961*1</f>
        <v>2225.6</v>
      </c>
      <c r="W3961">
        <f t="shared" si="447"/>
        <v>7171.49</v>
      </c>
      <c r="X3961">
        <f t="shared" si="452"/>
        <v>0.34528457748697</v>
      </c>
      <c r="AH3961" t="str">
        <f t="shared" si="448"/>
        <v>2nd Quality</v>
      </c>
      <c r="AJ3961">
        <f>((T3961-X3961)*2)/22.1</f>
        <v>17.2249307378536</v>
      </c>
      <c r="AK3961">
        <f t="shared" si="446"/>
        <v>110785.526923077</v>
      </c>
    </row>
    <row r="3962" spans="1:37">
      <c r="A3962" t="s">
        <v>4028</v>
      </c>
      <c r="B3962">
        <v>38</v>
      </c>
      <c r="C3962" t="s">
        <v>44</v>
      </c>
      <c r="D3962" t="s">
        <v>45</v>
      </c>
      <c r="E3962">
        <v>1046</v>
      </c>
      <c r="F3962">
        <v>15</v>
      </c>
      <c r="G3962">
        <v>20</v>
      </c>
      <c r="H3962">
        <v>1470.17</v>
      </c>
      <c r="I3962">
        <v>28036.7</v>
      </c>
      <c r="J3962">
        <v>86</v>
      </c>
      <c r="K3962">
        <v>2</v>
      </c>
      <c r="L3962">
        <v>26.7</v>
      </c>
      <c r="M3962">
        <v>18.9</v>
      </c>
      <c r="N3962" t="s">
        <v>81</v>
      </c>
      <c r="O3962" t="s">
        <v>53</v>
      </c>
      <c r="P3962" t="s">
        <v>48</v>
      </c>
      <c r="R3962">
        <f>SUMIF(A3962:A8961,"C03961",I3962:I8961)</f>
        <v>28036.7</v>
      </c>
      <c r="S3962" s="1">
        <v>16010.56</v>
      </c>
      <c r="T3962">
        <f t="shared" si="450"/>
        <v>326.008139534884</v>
      </c>
      <c r="U3962">
        <f t="shared" si="449"/>
        <v>1625.4</v>
      </c>
      <c r="V3962">
        <f>U3962*2</f>
        <v>3250.8</v>
      </c>
      <c r="W3962">
        <f t="shared" si="447"/>
        <v>9835.95666666667</v>
      </c>
      <c r="X3962">
        <f t="shared" si="452"/>
        <v>0.711482345579083</v>
      </c>
      <c r="AH3962" t="str">
        <f t="shared" si="448"/>
        <v>2nd Quality</v>
      </c>
      <c r="AJ3962">
        <f>((T3962-X3962)*2)/26.7</f>
        <v>24.366790800697</v>
      </c>
      <c r="AK3962">
        <f t="shared" si="446"/>
        <v>341004.513953488</v>
      </c>
    </row>
    <row r="3963" spans="1:37">
      <c r="A3963" t="s">
        <v>4029</v>
      </c>
      <c r="B3963">
        <v>41</v>
      </c>
      <c r="C3963" t="s">
        <v>50</v>
      </c>
      <c r="D3963" t="s">
        <v>60</v>
      </c>
      <c r="E3963">
        <v>970</v>
      </c>
      <c r="F3963">
        <v>1</v>
      </c>
      <c r="G3963">
        <v>25</v>
      </c>
      <c r="H3963">
        <v>2443.83</v>
      </c>
      <c r="I3963">
        <v>61054.45</v>
      </c>
      <c r="J3963">
        <v>107</v>
      </c>
      <c r="K3963">
        <v>1</v>
      </c>
      <c r="L3963">
        <v>12</v>
      </c>
      <c r="M3963">
        <v>6.4</v>
      </c>
      <c r="N3963" t="s">
        <v>57</v>
      </c>
      <c r="O3963" t="s">
        <v>47</v>
      </c>
      <c r="P3963" t="s">
        <v>58</v>
      </c>
      <c r="R3963">
        <f>SUMIF(A3963:A8962,"C03962",I3963:I8962)</f>
        <v>61054.45</v>
      </c>
      <c r="S3963" s="1">
        <v>10732.35</v>
      </c>
      <c r="T3963">
        <f t="shared" si="450"/>
        <v>570.602336448598</v>
      </c>
      <c r="U3963">
        <f t="shared" si="449"/>
        <v>684.8</v>
      </c>
      <c r="V3963">
        <f>U3963*1</f>
        <v>684.8</v>
      </c>
      <c r="W3963">
        <f t="shared" si="447"/>
        <v>21166.4266666667</v>
      </c>
      <c r="X3963">
        <f t="shared" si="452"/>
        <v>0.396917952558075</v>
      </c>
      <c r="AH3963" t="str">
        <f t="shared" si="448"/>
        <v>2nd Quality</v>
      </c>
      <c r="AJ3963">
        <f>((T3963-X3963)*2)/12</f>
        <v>95.0342364160066</v>
      </c>
      <c r="AK3963">
        <f t="shared" si="446"/>
        <v>553484.26635514</v>
      </c>
    </row>
    <row r="3964" spans="1:37">
      <c r="A3964" t="s">
        <v>4030</v>
      </c>
      <c r="B3964">
        <v>36</v>
      </c>
      <c r="C3964" t="s">
        <v>50</v>
      </c>
      <c r="D3964" t="s">
        <v>51</v>
      </c>
      <c r="E3964">
        <v>1308</v>
      </c>
      <c r="F3964">
        <v>107</v>
      </c>
      <c r="G3964">
        <v>1</v>
      </c>
      <c r="H3964">
        <v>813.46</v>
      </c>
      <c r="I3964">
        <v>874.14</v>
      </c>
      <c r="J3964">
        <v>10</v>
      </c>
      <c r="K3964">
        <v>0</v>
      </c>
      <c r="L3964">
        <v>37.2</v>
      </c>
      <c r="M3964">
        <v>2.4</v>
      </c>
      <c r="N3964" t="s">
        <v>52</v>
      </c>
      <c r="O3964" t="s">
        <v>53</v>
      </c>
      <c r="P3964" t="s">
        <v>58</v>
      </c>
      <c r="R3964">
        <f>SUMIF(A3964:A8963,"C03963",I3964:I8963)</f>
        <v>874.14</v>
      </c>
      <c r="S3964" s="1">
        <v>145710.39</v>
      </c>
      <c r="T3964">
        <f t="shared" si="450"/>
        <v>87.414</v>
      </c>
      <c r="U3964">
        <f t="shared" si="449"/>
        <v>24</v>
      </c>
      <c r="V3964">
        <f t="shared" si="451"/>
        <v>2</v>
      </c>
      <c r="W3964">
        <f t="shared" si="447"/>
        <v>562.866666666667</v>
      </c>
      <c r="X3964">
        <f t="shared" si="452"/>
        <v>1.60794630344455</v>
      </c>
      <c r="AH3964" t="str">
        <f t="shared" si="448"/>
        <v>3rd Quality</v>
      </c>
      <c r="AJ3964">
        <f>((T3964-X3964)*2)/37.2</f>
        <v>4.6132286933632</v>
      </c>
      <c r="AK3964">
        <f t="shared" si="446"/>
        <v>114337.512</v>
      </c>
    </row>
    <row r="3965" spans="1:37">
      <c r="A3965" t="s">
        <v>4031</v>
      </c>
      <c r="B3965">
        <v>25</v>
      </c>
      <c r="C3965" t="s">
        <v>50</v>
      </c>
      <c r="D3965" t="s">
        <v>45</v>
      </c>
      <c r="E3965">
        <v>1344</v>
      </c>
      <c r="F3965">
        <v>17</v>
      </c>
      <c r="G3965">
        <v>6</v>
      </c>
      <c r="H3965">
        <v>2673.2</v>
      </c>
      <c r="I3965">
        <v>16010.56</v>
      </c>
      <c r="J3965">
        <v>27</v>
      </c>
      <c r="K3965">
        <v>0</v>
      </c>
      <c r="L3965">
        <v>21.4</v>
      </c>
      <c r="M3965">
        <v>1.6</v>
      </c>
      <c r="N3965" t="s">
        <v>46</v>
      </c>
      <c r="O3965" t="s">
        <v>47</v>
      </c>
      <c r="P3965" t="s">
        <v>58</v>
      </c>
      <c r="R3965">
        <f>SUMIF(A3965:A8964,"C03964",I3965:I8964)</f>
        <v>16010.56</v>
      </c>
      <c r="S3965" s="1">
        <v>27780.96</v>
      </c>
      <c r="T3965">
        <f t="shared" si="450"/>
        <v>592.983703703704</v>
      </c>
      <c r="U3965">
        <f t="shared" si="449"/>
        <v>43.2</v>
      </c>
      <c r="V3965">
        <f t="shared" si="451"/>
        <v>3.6</v>
      </c>
      <c r="W3965">
        <f t="shared" si="447"/>
        <v>6228.25333333333</v>
      </c>
      <c r="X3965">
        <f t="shared" si="452"/>
        <v>0.502768217866228</v>
      </c>
      <c r="AH3965" t="str">
        <f t="shared" si="448"/>
        <v>3rd Quality</v>
      </c>
      <c r="AJ3965">
        <f>((T3965-X3965)*2)/21.4</f>
        <v>55.3720500454054</v>
      </c>
      <c r="AK3965">
        <f t="shared" si="446"/>
        <v>796970.097777778</v>
      </c>
    </row>
    <row r="3966" spans="1:37">
      <c r="A3966" t="s">
        <v>4032</v>
      </c>
      <c r="B3966">
        <v>34</v>
      </c>
      <c r="C3966" t="s">
        <v>44</v>
      </c>
      <c r="D3966" t="s">
        <v>60</v>
      </c>
      <c r="E3966">
        <v>655</v>
      </c>
      <c r="F3966">
        <v>43</v>
      </c>
      <c r="G3966">
        <v>7</v>
      </c>
      <c r="H3966">
        <v>1725.72</v>
      </c>
      <c r="I3966">
        <v>10732.35</v>
      </c>
      <c r="J3966">
        <v>57</v>
      </c>
      <c r="K3966">
        <v>0</v>
      </c>
      <c r="L3966">
        <v>29.1</v>
      </c>
      <c r="M3966">
        <v>27.5</v>
      </c>
      <c r="N3966" t="s">
        <v>81</v>
      </c>
      <c r="O3966" t="s">
        <v>75</v>
      </c>
      <c r="P3966" t="s">
        <v>48</v>
      </c>
      <c r="R3966">
        <f>SUMIF(A3966:A8965,"C03965",I3966:I8965)</f>
        <v>10732.35</v>
      </c>
      <c r="S3966" s="1">
        <v>65022.36</v>
      </c>
      <c r="T3966">
        <f t="shared" si="450"/>
        <v>188.286842105263</v>
      </c>
      <c r="U3966">
        <f t="shared" si="449"/>
        <v>1567.5</v>
      </c>
      <c r="V3966">
        <f t="shared" si="451"/>
        <v>130.625</v>
      </c>
      <c r="W3966">
        <f t="shared" si="447"/>
        <v>4153.02333333333</v>
      </c>
      <c r="X3966">
        <f t="shared" si="452"/>
        <v>0.379551723338664</v>
      </c>
      <c r="AH3966" t="str">
        <f t="shared" si="448"/>
        <v>3rd Quality</v>
      </c>
      <c r="AJ3966">
        <f>((T3966-X3966)*2)/29.1</f>
        <v>12.914590404256</v>
      </c>
      <c r="AK3966">
        <f t="shared" si="446"/>
        <v>123327.881578947</v>
      </c>
    </row>
    <row r="3967" spans="1:37">
      <c r="A3967" t="s">
        <v>4033</v>
      </c>
      <c r="B3967">
        <v>41</v>
      </c>
      <c r="C3967" t="s">
        <v>50</v>
      </c>
      <c r="D3967" t="s">
        <v>45</v>
      </c>
      <c r="E3967">
        <v>1059</v>
      </c>
      <c r="F3967">
        <v>15</v>
      </c>
      <c r="G3967">
        <v>20</v>
      </c>
      <c r="H3967">
        <v>6998.6</v>
      </c>
      <c r="I3967">
        <v>145710.39</v>
      </c>
      <c r="J3967">
        <v>124</v>
      </c>
      <c r="K3967">
        <v>2</v>
      </c>
      <c r="L3967">
        <v>0.8</v>
      </c>
      <c r="M3967">
        <v>40.4</v>
      </c>
      <c r="N3967" t="s">
        <v>78</v>
      </c>
      <c r="O3967" t="s">
        <v>75</v>
      </c>
      <c r="P3967" t="s">
        <v>48</v>
      </c>
      <c r="R3967">
        <f>SUMIF(A3967:A8966,"C03966",I3967:I8966)</f>
        <v>145710.39</v>
      </c>
      <c r="S3967" s="1">
        <v>5001.47</v>
      </c>
      <c r="T3967">
        <f t="shared" si="450"/>
        <v>1175.08379032258</v>
      </c>
      <c r="U3967">
        <f t="shared" si="449"/>
        <v>5009.6</v>
      </c>
      <c r="V3967">
        <f>U3967*2</f>
        <v>10019.2</v>
      </c>
      <c r="W3967">
        <f t="shared" si="447"/>
        <v>50903.33</v>
      </c>
      <c r="X3967">
        <f t="shared" si="452"/>
        <v>0.151315977481211</v>
      </c>
      <c r="AH3967" t="str">
        <f t="shared" si="448"/>
        <v>2nd Quality</v>
      </c>
      <c r="AJ3967">
        <f>((T3967-X3967)*2)/0.8</f>
        <v>2937.33118586275</v>
      </c>
      <c r="AK3967">
        <f t="shared" si="446"/>
        <v>1244413.73395161</v>
      </c>
    </row>
    <row r="3968" spans="1:37">
      <c r="A3968" t="s">
        <v>4034</v>
      </c>
      <c r="B3968">
        <v>31</v>
      </c>
      <c r="C3968" t="s">
        <v>44</v>
      </c>
      <c r="D3968" t="s">
        <v>45</v>
      </c>
      <c r="E3968">
        <v>1196</v>
      </c>
      <c r="F3968">
        <v>31</v>
      </c>
      <c r="G3968">
        <v>5</v>
      </c>
      <c r="H3968">
        <v>6296.18</v>
      </c>
      <c r="I3968">
        <v>27780.96</v>
      </c>
      <c r="J3968">
        <v>39</v>
      </c>
      <c r="K3968">
        <v>0</v>
      </c>
      <c r="L3968">
        <v>8.8</v>
      </c>
      <c r="M3968">
        <v>47.1</v>
      </c>
      <c r="N3968" t="s">
        <v>46</v>
      </c>
      <c r="O3968" t="s">
        <v>47</v>
      </c>
      <c r="P3968" t="s">
        <v>58</v>
      </c>
      <c r="R3968">
        <f>SUMIF(A3968:A8967,"C03967",I3968:I8967)</f>
        <v>27780.96</v>
      </c>
      <c r="S3968" s="1">
        <v>128238.78</v>
      </c>
      <c r="T3968">
        <f t="shared" si="450"/>
        <v>712.332307692308</v>
      </c>
      <c r="U3968">
        <f t="shared" si="449"/>
        <v>1836.9</v>
      </c>
      <c r="V3968">
        <f t="shared" si="451"/>
        <v>153.075</v>
      </c>
      <c r="W3968">
        <f t="shared" si="447"/>
        <v>11359.38</v>
      </c>
      <c r="X3968">
        <f t="shared" si="452"/>
        <v>0.189956449783837</v>
      </c>
      <c r="AH3968" t="str">
        <f t="shared" si="448"/>
        <v>2nd Quality</v>
      </c>
      <c r="AJ3968">
        <f>((T3968-X3968)*2)/8.8</f>
        <v>161.850534373301</v>
      </c>
      <c r="AK3968">
        <f t="shared" si="446"/>
        <v>851949.44</v>
      </c>
    </row>
    <row r="3969" spans="1:37">
      <c r="A3969" t="s">
        <v>4035</v>
      </c>
      <c r="B3969">
        <v>37</v>
      </c>
      <c r="C3969" t="s">
        <v>44</v>
      </c>
      <c r="D3969" t="s">
        <v>60</v>
      </c>
      <c r="E3969">
        <v>1386</v>
      </c>
      <c r="F3969">
        <v>5</v>
      </c>
      <c r="G3969">
        <v>26</v>
      </c>
      <c r="H3969">
        <v>2768.09</v>
      </c>
      <c r="I3969">
        <v>65022.36</v>
      </c>
      <c r="J3969">
        <v>137</v>
      </c>
      <c r="K3969">
        <v>1</v>
      </c>
      <c r="L3969">
        <v>11.4</v>
      </c>
      <c r="M3969">
        <v>69.8</v>
      </c>
      <c r="N3969" t="s">
        <v>63</v>
      </c>
      <c r="O3969" t="s">
        <v>47</v>
      </c>
      <c r="P3969" t="s">
        <v>58</v>
      </c>
      <c r="R3969">
        <f>SUMIF(A3969:A8968,"C03968",I3969:I8968)</f>
        <v>65022.36</v>
      </c>
      <c r="S3969" s="1">
        <v>1555.22</v>
      </c>
      <c r="T3969">
        <f t="shared" si="450"/>
        <v>474.615766423358</v>
      </c>
      <c r="U3969">
        <f t="shared" si="449"/>
        <v>9562.6</v>
      </c>
      <c r="V3969">
        <f>U3969*1</f>
        <v>9562.6</v>
      </c>
      <c r="W3969">
        <f t="shared" si="447"/>
        <v>22597.15</v>
      </c>
      <c r="X3969">
        <f t="shared" si="452"/>
        <v>0.500706263163409</v>
      </c>
      <c r="AH3969" t="str">
        <f t="shared" si="448"/>
        <v>2nd Quality</v>
      </c>
      <c r="AJ3969">
        <f>((T3969-X3969)*2)/11.4</f>
        <v>83.1780807298587</v>
      </c>
      <c r="AK3969">
        <f t="shared" si="446"/>
        <v>657817.452262774</v>
      </c>
    </row>
    <row r="3970" spans="1:37">
      <c r="A3970" t="s">
        <v>4036</v>
      </c>
      <c r="B3970">
        <v>41</v>
      </c>
      <c r="C3970" t="s">
        <v>50</v>
      </c>
      <c r="D3970" t="s">
        <v>60</v>
      </c>
      <c r="E3970">
        <v>756</v>
      </c>
      <c r="F3970">
        <v>63</v>
      </c>
      <c r="G3970">
        <v>3</v>
      </c>
      <c r="H3970">
        <v>1580.76</v>
      </c>
      <c r="I3970">
        <v>5001.47</v>
      </c>
      <c r="J3970">
        <v>29</v>
      </c>
      <c r="K3970">
        <v>0</v>
      </c>
      <c r="L3970">
        <v>38.5</v>
      </c>
      <c r="M3970">
        <v>34.8</v>
      </c>
      <c r="N3970" t="s">
        <v>57</v>
      </c>
      <c r="O3970" t="s">
        <v>47</v>
      </c>
      <c r="P3970" t="s">
        <v>58</v>
      </c>
      <c r="R3970">
        <f>SUMIF(A3970:A8969,"C03969",I3970:I8969)</f>
        <v>5001.47</v>
      </c>
      <c r="S3970" s="1">
        <v>92600.1</v>
      </c>
      <c r="T3970">
        <f t="shared" si="450"/>
        <v>172.464482758621</v>
      </c>
      <c r="U3970">
        <f t="shared" si="449"/>
        <v>1009.2</v>
      </c>
      <c r="V3970">
        <f t="shared" si="451"/>
        <v>84.1</v>
      </c>
      <c r="W3970">
        <f t="shared" si="447"/>
        <v>2194.41</v>
      </c>
      <c r="X3970">
        <f t="shared" si="452"/>
        <v>0.478250967888864</v>
      </c>
      <c r="AH3970" t="str">
        <f t="shared" si="448"/>
        <v>3rd Quality</v>
      </c>
      <c r="AJ3970">
        <f>((T3970-X3970)*2)/38.5</f>
        <v>8.93434970341466</v>
      </c>
      <c r="AK3970">
        <f t="shared" si="446"/>
        <v>130383.148965517</v>
      </c>
    </row>
    <row r="3971" spans="1:37">
      <c r="A3971" t="s">
        <v>4037</v>
      </c>
      <c r="B3971">
        <v>43</v>
      </c>
      <c r="C3971" t="s">
        <v>44</v>
      </c>
      <c r="D3971" t="s">
        <v>51</v>
      </c>
      <c r="E3971">
        <v>425</v>
      </c>
      <c r="F3971">
        <v>4</v>
      </c>
      <c r="G3971">
        <v>28</v>
      </c>
      <c r="H3971">
        <v>4242.9</v>
      </c>
      <c r="I3971">
        <v>128238.78</v>
      </c>
      <c r="J3971">
        <v>202</v>
      </c>
      <c r="K3971">
        <v>0</v>
      </c>
      <c r="L3971">
        <v>4.3</v>
      </c>
      <c r="M3971">
        <v>5.6</v>
      </c>
      <c r="N3971" t="s">
        <v>63</v>
      </c>
      <c r="O3971" t="s">
        <v>47</v>
      </c>
      <c r="P3971" t="s">
        <v>66</v>
      </c>
      <c r="R3971">
        <f>SUMIF(A3971:A8970,"C03970",I3971:I8970)</f>
        <v>128238.78</v>
      </c>
      <c r="S3971" s="1">
        <v>25972.12</v>
      </c>
      <c r="T3971">
        <f t="shared" si="450"/>
        <v>634.845445544554</v>
      </c>
      <c r="U3971">
        <f t="shared" si="449"/>
        <v>1131.2</v>
      </c>
      <c r="V3971">
        <f t="shared" si="451"/>
        <v>94.2666666666667</v>
      </c>
      <c r="W3971">
        <f t="shared" si="447"/>
        <v>44160.8933333333</v>
      </c>
      <c r="X3971">
        <f t="shared" si="452"/>
        <v>0.100167338377053</v>
      </c>
      <c r="AH3971" t="str">
        <f t="shared" si="448"/>
        <v>3rd Quality</v>
      </c>
      <c r="AJ3971">
        <f>((T3971-X3971)*2)/4.3</f>
        <v>295.230361956361</v>
      </c>
      <c r="AK3971">
        <f t="shared" ref="AK3971:AK4034" si="453">I3971/J3971*E3971</f>
        <v>269809.314356436</v>
      </c>
    </row>
    <row r="3972" spans="1:37">
      <c r="A3972" t="s">
        <v>4038</v>
      </c>
      <c r="B3972">
        <v>33</v>
      </c>
      <c r="C3972" t="s">
        <v>50</v>
      </c>
      <c r="D3972" t="s">
        <v>60</v>
      </c>
      <c r="E3972">
        <v>753</v>
      </c>
      <c r="F3972">
        <v>254</v>
      </c>
      <c r="G3972">
        <v>1</v>
      </c>
      <c r="H3972">
        <v>1626.21</v>
      </c>
      <c r="I3972">
        <v>1555.22</v>
      </c>
      <c r="J3972">
        <v>13</v>
      </c>
      <c r="K3972">
        <v>0</v>
      </c>
      <c r="L3972">
        <v>8.6</v>
      </c>
      <c r="M3972">
        <v>24.5</v>
      </c>
      <c r="N3972" t="s">
        <v>78</v>
      </c>
      <c r="O3972" t="s">
        <v>47</v>
      </c>
      <c r="P3972" t="s">
        <v>58</v>
      </c>
      <c r="R3972">
        <f>SUMIF(A3972:A8971,"C03971",I3972:I8971)</f>
        <v>1555.22</v>
      </c>
      <c r="S3972" s="1">
        <v>47236.22</v>
      </c>
      <c r="T3972">
        <f t="shared" si="450"/>
        <v>119.632307692308</v>
      </c>
      <c r="U3972">
        <f t="shared" si="449"/>
        <v>318.5</v>
      </c>
      <c r="V3972">
        <f t="shared" si="451"/>
        <v>26.5416666666667</v>
      </c>
      <c r="W3972">
        <f t="shared" si="447"/>
        <v>1060.81</v>
      </c>
      <c r="X3972">
        <f t="shared" si="452"/>
        <v>0.463039828804398</v>
      </c>
      <c r="AH3972" t="str">
        <f t="shared" si="448"/>
        <v>3rd Quality</v>
      </c>
      <c r="AJ3972">
        <f>((T3972-X3972)*2)/8.6</f>
        <v>27.7137832240706</v>
      </c>
      <c r="AK3972">
        <f t="shared" si="453"/>
        <v>90083.1276923077</v>
      </c>
    </row>
    <row r="3973" spans="1:37">
      <c r="A3973" t="s">
        <v>4039</v>
      </c>
      <c r="B3973">
        <v>25</v>
      </c>
      <c r="C3973" t="s">
        <v>50</v>
      </c>
      <c r="D3973" t="s">
        <v>60</v>
      </c>
      <c r="E3973">
        <v>603</v>
      </c>
      <c r="F3973">
        <v>14</v>
      </c>
      <c r="G3973">
        <v>21</v>
      </c>
      <c r="H3973">
        <v>4337.69</v>
      </c>
      <c r="I3973">
        <v>92600.1</v>
      </c>
      <c r="J3973">
        <v>115</v>
      </c>
      <c r="K3973">
        <v>1</v>
      </c>
      <c r="L3973">
        <v>3.6</v>
      </c>
      <c r="M3973">
        <v>34.2</v>
      </c>
      <c r="N3973" t="s">
        <v>81</v>
      </c>
      <c r="O3973" t="s">
        <v>53</v>
      </c>
      <c r="P3973" t="s">
        <v>66</v>
      </c>
      <c r="R3973">
        <f>SUMIF(A3973:A8972,"C03972",I3973:I8972)</f>
        <v>92600.1</v>
      </c>
      <c r="S3973" s="1">
        <v>107666.77</v>
      </c>
      <c r="T3973">
        <f t="shared" si="450"/>
        <v>805.218260869565</v>
      </c>
      <c r="U3973">
        <f t="shared" si="449"/>
        <v>3933</v>
      </c>
      <c r="V3973">
        <f>U3973*1</f>
        <v>3933</v>
      </c>
      <c r="W3973">
        <f t="shared" si="447"/>
        <v>32312.93</v>
      </c>
      <c r="X3973">
        <f t="shared" si="452"/>
        <v>0.13901408353294</v>
      </c>
      <c r="AH3973" t="str">
        <f t="shared" si="448"/>
        <v>2nd Quality</v>
      </c>
      <c r="AJ3973">
        <f>((T3973-X3973)*2)/3.6</f>
        <v>447.266248214462</v>
      </c>
      <c r="AK3973">
        <f t="shared" si="453"/>
        <v>485546.611304348</v>
      </c>
    </row>
    <row r="3974" spans="1:37">
      <c r="A3974" t="s">
        <v>4040</v>
      </c>
      <c r="B3974">
        <v>38</v>
      </c>
      <c r="C3974" t="s">
        <v>44</v>
      </c>
      <c r="D3974" t="s">
        <v>45</v>
      </c>
      <c r="E3974">
        <v>421</v>
      </c>
      <c r="F3974">
        <v>27</v>
      </c>
      <c r="G3974">
        <v>2</v>
      </c>
      <c r="H3974">
        <v>12840.65</v>
      </c>
      <c r="I3974">
        <v>25972.12</v>
      </c>
      <c r="J3974">
        <v>22</v>
      </c>
      <c r="K3974">
        <v>0</v>
      </c>
      <c r="L3974">
        <v>1.6</v>
      </c>
      <c r="M3974">
        <v>44.4</v>
      </c>
      <c r="N3974" t="s">
        <v>63</v>
      </c>
      <c r="O3974" t="s">
        <v>75</v>
      </c>
      <c r="P3974" t="s">
        <v>58</v>
      </c>
      <c r="R3974">
        <f>SUMIF(A3974:A8973,"C03973",I3974:I8973)</f>
        <v>25972.12</v>
      </c>
      <c r="S3974" s="1">
        <v>80687.63</v>
      </c>
      <c r="T3974">
        <f t="shared" si="450"/>
        <v>1180.55090909091</v>
      </c>
      <c r="U3974">
        <f t="shared" si="449"/>
        <v>976.8</v>
      </c>
      <c r="V3974">
        <f t="shared" si="451"/>
        <v>81.4</v>
      </c>
      <c r="W3974">
        <f t="shared" si="447"/>
        <v>12937.9233333333</v>
      </c>
      <c r="X3974">
        <f t="shared" si="452"/>
        <v>0.0327865022409302</v>
      </c>
      <c r="AH3974" t="str">
        <f t="shared" si="448"/>
        <v>3rd Quality</v>
      </c>
      <c r="AJ3974">
        <f>((T3974-X3974)*2)/1.6</f>
        <v>1475.64765323584</v>
      </c>
      <c r="AK3974">
        <f t="shared" si="453"/>
        <v>497011.932727273</v>
      </c>
    </row>
    <row r="3975" spans="1:37">
      <c r="A3975" t="s">
        <v>4041</v>
      </c>
      <c r="B3975">
        <v>30</v>
      </c>
      <c r="C3975" t="s">
        <v>44</v>
      </c>
      <c r="D3975" t="s">
        <v>60</v>
      </c>
      <c r="E3975">
        <v>611</v>
      </c>
      <c r="F3975">
        <v>15</v>
      </c>
      <c r="G3975">
        <v>28</v>
      </c>
      <c r="H3975">
        <v>1888.42</v>
      </c>
      <c r="I3975">
        <v>47236.22</v>
      </c>
      <c r="J3975">
        <v>117</v>
      </c>
      <c r="K3975">
        <v>5</v>
      </c>
      <c r="L3975">
        <v>11.9</v>
      </c>
      <c r="M3975">
        <v>46.8</v>
      </c>
      <c r="N3975" t="s">
        <v>46</v>
      </c>
      <c r="O3975" t="s">
        <v>47</v>
      </c>
      <c r="P3975" t="s">
        <v>48</v>
      </c>
      <c r="R3975">
        <f>SUMIF(A3975:A8974,"C03974",I3975:I8974)</f>
        <v>47236.22</v>
      </c>
      <c r="S3975" s="1">
        <v>73267.4</v>
      </c>
      <c r="T3975">
        <f t="shared" si="450"/>
        <v>403.728376068376</v>
      </c>
      <c r="U3975">
        <f t="shared" si="449"/>
        <v>5475.6</v>
      </c>
      <c r="V3975">
        <f>U3975*5</f>
        <v>27378</v>
      </c>
      <c r="W3975">
        <f t="shared" si="447"/>
        <v>16375.2133333333</v>
      </c>
      <c r="X3975">
        <f t="shared" si="452"/>
        <v>0.323550904989356</v>
      </c>
      <c r="AH3975" t="str">
        <f t="shared" si="448"/>
        <v>2nd Quality</v>
      </c>
      <c r="AJ3975">
        <f>((T3975-X3975)*2)/11.9</f>
        <v>67.7991302795608</v>
      </c>
      <c r="AK3975">
        <f t="shared" si="453"/>
        <v>246678.037777778</v>
      </c>
    </row>
    <row r="3976" spans="1:37">
      <c r="A3976" t="s">
        <v>4042</v>
      </c>
      <c r="B3976">
        <v>21</v>
      </c>
      <c r="C3976" t="s">
        <v>44</v>
      </c>
      <c r="D3976" t="s">
        <v>45</v>
      </c>
      <c r="E3976">
        <v>581</v>
      </c>
      <c r="F3976">
        <v>10</v>
      </c>
      <c r="G3976">
        <v>25</v>
      </c>
      <c r="H3976">
        <v>4260.81</v>
      </c>
      <c r="I3976">
        <v>107666.77</v>
      </c>
      <c r="J3976">
        <v>139</v>
      </c>
      <c r="K3976">
        <v>0</v>
      </c>
      <c r="L3976">
        <v>0.2</v>
      </c>
      <c r="M3976">
        <v>28.5</v>
      </c>
      <c r="N3976" t="s">
        <v>63</v>
      </c>
      <c r="O3976" t="s">
        <v>53</v>
      </c>
      <c r="P3976" t="s">
        <v>58</v>
      </c>
      <c r="R3976">
        <f>SUMIF(A3976:A8975,"C03975",I3976:I8975)</f>
        <v>107666.77</v>
      </c>
      <c r="S3976" s="1">
        <v>42127</v>
      </c>
      <c r="T3976">
        <f t="shared" si="450"/>
        <v>774.581079136691</v>
      </c>
      <c r="U3976">
        <f t="shared" si="449"/>
        <v>3961.5</v>
      </c>
      <c r="V3976">
        <f t="shared" si="451"/>
        <v>330.125</v>
      </c>
      <c r="W3976">
        <f t="shared" si="447"/>
        <v>37309.5266666667</v>
      </c>
      <c r="X3976">
        <f t="shared" si="452"/>
        <v>0.136359049100993</v>
      </c>
      <c r="AH3976" t="str">
        <f t="shared" si="448"/>
        <v>2nd Quality</v>
      </c>
      <c r="AJ3976">
        <f>((T3976-X3976)*2)/0.25</f>
        <v>6195.55776070072</v>
      </c>
      <c r="AK3976">
        <f t="shared" si="453"/>
        <v>450031.606978417</v>
      </c>
    </row>
    <row r="3977" spans="1:37">
      <c r="A3977" t="s">
        <v>4043</v>
      </c>
      <c r="B3977">
        <v>18</v>
      </c>
      <c r="C3977" t="s">
        <v>50</v>
      </c>
      <c r="D3977" t="s">
        <v>51</v>
      </c>
      <c r="E3977">
        <v>455</v>
      </c>
      <c r="F3977">
        <v>11</v>
      </c>
      <c r="G3977">
        <v>19</v>
      </c>
      <c r="H3977">
        <v>4811.42</v>
      </c>
      <c r="I3977">
        <v>80687.63</v>
      </c>
      <c r="J3977">
        <v>112</v>
      </c>
      <c r="K3977">
        <v>0</v>
      </c>
      <c r="L3977">
        <v>11.4</v>
      </c>
      <c r="M3977">
        <v>47.3</v>
      </c>
      <c r="N3977" t="s">
        <v>81</v>
      </c>
      <c r="O3977" t="s">
        <v>47</v>
      </c>
      <c r="P3977" t="s">
        <v>58</v>
      </c>
      <c r="R3977">
        <f>SUMIF(A3977:A8976,"C03976",I3977:I8976)</f>
        <v>80687.63</v>
      </c>
      <c r="S3977" s="1">
        <v>8107.49</v>
      </c>
      <c r="T3977">
        <f t="shared" si="450"/>
        <v>720.425267857143</v>
      </c>
      <c r="U3977">
        <f t="shared" si="449"/>
        <v>5297.6</v>
      </c>
      <c r="V3977">
        <f t="shared" si="451"/>
        <v>441.466666666667</v>
      </c>
      <c r="W3977">
        <f t="shared" ref="W3977:W4040" si="454">(H3977+I3977+1)/3</f>
        <v>28500.0166666667</v>
      </c>
      <c r="X3977">
        <f t="shared" si="452"/>
        <v>0.0945666767814907</v>
      </c>
      <c r="AH3977" t="str">
        <f t="shared" si="448"/>
        <v>3rd Quality</v>
      </c>
      <c r="AJ3977">
        <f>((T3977-X3977)*2)/11.4</f>
        <v>126.373807224625</v>
      </c>
      <c r="AK3977">
        <f t="shared" si="453"/>
        <v>327793.496875</v>
      </c>
    </row>
    <row r="3978" spans="1:37">
      <c r="A3978" t="s">
        <v>4044</v>
      </c>
      <c r="B3978">
        <v>38</v>
      </c>
      <c r="C3978" t="s">
        <v>44</v>
      </c>
      <c r="D3978" t="s">
        <v>45</v>
      </c>
      <c r="E3978">
        <v>1208</v>
      </c>
      <c r="F3978">
        <v>15</v>
      </c>
      <c r="G3978">
        <v>19</v>
      </c>
      <c r="H3978">
        <v>3581.17</v>
      </c>
      <c r="I3978">
        <v>73267.4</v>
      </c>
      <c r="J3978">
        <v>142</v>
      </c>
      <c r="K3978">
        <v>2</v>
      </c>
      <c r="L3978">
        <v>9.2</v>
      </c>
      <c r="M3978">
        <v>51.3</v>
      </c>
      <c r="N3978" t="s">
        <v>63</v>
      </c>
      <c r="O3978" t="s">
        <v>47</v>
      </c>
      <c r="P3978" t="s">
        <v>58</v>
      </c>
      <c r="R3978">
        <f>SUMIF(A3978:A8977,"C03977",I3978:I8977)</f>
        <v>73267.4</v>
      </c>
      <c r="S3978" s="1">
        <v>10580.13</v>
      </c>
      <c r="T3978">
        <f t="shared" si="450"/>
        <v>515.967605633803</v>
      </c>
      <c r="U3978">
        <f t="shared" si="449"/>
        <v>7284.6</v>
      </c>
      <c r="V3978">
        <f>U3978*2</f>
        <v>14569.2</v>
      </c>
      <c r="W3978">
        <f t="shared" si="454"/>
        <v>25616.5233333333</v>
      </c>
      <c r="X3978">
        <f t="shared" si="452"/>
        <v>0.33731992616938</v>
      </c>
      <c r="AH3978" t="str">
        <f t="shared" si="448"/>
        <v>2nd Quality</v>
      </c>
      <c r="AJ3978">
        <f>((T3978-X3978)*2)/9.2</f>
        <v>112.093540371225</v>
      </c>
      <c r="AK3978">
        <f t="shared" si="453"/>
        <v>623288.867605634</v>
      </c>
    </row>
    <row r="3979" spans="1:37">
      <c r="A3979" t="s">
        <v>4045</v>
      </c>
      <c r="B3979">
        <v>18</v>
      </c>
      <c r="C3979" t="s">
        <v>50</v>
      </c>
      <c r="D3979" t="s">
        <v>45</v>
      </c>
      <c r="E3979">
        <v>1049</v>
      </c>
      <c r="F3979">
        <v>10</v>
      </c>
      <c r="G3979">
        <v>25</v>
      </c>
      <c r="H3979">
        <v>1590.37</v>
      </c>
      <c r="I3979">
        <v>42127</v>
      </c>
      <c r="J3979">
        <v>178</v>
      </c>
      <c r="K3979">
        <v>0</v>
      </c>
      <c r="L3979">
        <v>15.4</v>
      </c>
      <c r="M3979">
        <v>18.1</v>
      </c>
      <c r="N3979" t="s">
        <v>52</v>
      </c>
      <c r="O3979" t="s">
        <v>53</v>
      </c>
      <c r="P3979" t="s">
        <v>48</v>
      </c>
      <c r="R3979">
        <f>SUMIF(A3979:A8978,"C03978",I3979:I8978)</f>
        <v>42127</v>
      </c>
      <c r="S3979" s="1">
        <v>42633.2</v>
      </c>
      <c r="T3979">
        <f t="shared" si="450"/>
        <v>236.668539325843</v>
      </c>
      <c r="U3979">
        <f t="shared" si="449"/>
        <v>3221.8</v>
      </c>
      <c r="V3979">
        <f t="shared" si="451"/>
        <v>268.483333333333</v>
      </c>
      <c r="W3979">
        <f t="shared" si="454"/>
        <v>14572.79</v>
      </c>
      <c r="X3979">
        <f t="shared" si="452"/>
        <v>0.659594937027233</v>
      </c>
      <c r="AH3979" t="str">
        <f t="shared" si="448"/>
        <v>1st Quality</v>
      </c>
      <c r="AJ3979">
        <f>((T3979-X3979)*2)/15.4</f>
        <v>30.6505122582878</v>
      </c>
      <c r="AK3979">
        <f t="shared" si="453"/>
        <v>248265.297752809</v>
      </c>
    </row>
    <row r="3980" spans="1:37">
      <c r="A3980" t="s">
        <v>4046</v>
      </c>
      <c r="B3980">
        <v>49</v>
      </c>
      <c r="C3980" t="s">
        <v>44</v>
      </c>
      <c r="D3980" t="s">
        <v>45</v>
      </c>
      <c r="E3980">
        <v>537</v>
      </c>
      <c r="F3980">
        <v>49</v>
      </c>
      <c r="G3980">
        <v>1</v>
      </c>
      <c r="H3980">
        <v>8551.39</v>
      </c>
      <c r="I3980">
        <v>8107.49</v>
      </c>
      <c r="J3980">
        <v>16</v>
      </c>
      <c r="K3980">
        <v>0</v>
      </c>
      <c r="L3980">
        <v>10.3</v>
      </c>
      <c r="M3980">
        <v>7.4</v>
      </c>
      <c r="N3980" t="s">
        <v>46</v>
      </c>
      <c r="O3980" t="s">
        <v>47</v>
      </c>
      <c r="P3980" t="s">
        <v>68</v>
      </c>
      <c r="R3980">
        <f>SUMIF(A3980:A8979,"C03979",I3980:I8979)</f>
        <v>8107.49</v>
      </c>
      <c r="S3980" s="1">
        <v>14851.85</v>
      </c>
      <c r="T3980">
        <f t="shared" si="450"/>
        <v>506.718125</v>
      </c>
      <c r="U3980">
        <f t="shared" si="449"/>
        <v>118.4</v>
      </c>
      <c r="V3980">
        <f t="shared" si="451"/>
        <v>9.86666666666667</v>
      </c>
      <c r="W3980">
        <f t="shared" si="454"/>
        <v>5553.29333333333</v>
      </c>
      <c r="X3980">
        <f t="shared" si="452"/>
        <v>0.062796808472073</v>
      </c>
      <c r="AH3980" t="str">
        <f t="shared" si="448"/>
        <v>3rd Quality</v>
      </c>
      <c r="AJ3980">
        <f>((T3980-X3980)*2)/10.3</f>
        <v>98.3796753769957</v>
      </c>
      <c r="AK3980">
        <f t="shared" si="453"/>
        <v>272107.633125</v>
      </c>
    </row>
    <row r="3981" spans="1:37">
      <c r="A3981" t="s">
        <v>4047</v>
      </c>
      <c r="B3981">
        <v>27</v>
      </c>
      <c r="C3981" t="s">
        <v>44</v>
      </c>
      <c r="D3981" t="s">
        <v>45</v>
      </c>
      <c r="E3981">
        <v>807</v>
      </c>
      <c r="F3981">
        <v>63</v>
      </c>
      <c r="G3981">
        <v>1</v>
      </c>
      <c r="H3981">
        <v>11220.13</v>
      </c>
      <c r="I3981">
        <v>10580.13</v>
      </c>
      <c r="J3981">
        <v>10</v>
      </c>
      <c r="K3981">
        <v>0</v>
      </c>
      <c r="L3981">
        <v>11.8</v>
      </c>
      <c r="M3981">
        <v>39.3</v>
      </c>
      <c r="N3981" t="s">
        <v>78</v>
      </c>
      <c r="O3981" t="s">
        <v>47</v>
      </c>
      <c r="P3981" t="s">
        <v>58</v>
      </c>
      <c r="R3981">
        <f>SUMIF(A3981:A8980,"C03980",I3981:I8980)</f>
        <v>10580.13</v>
      </c>
      <c r="S3981" s="1">
        <v>13575.42</v>
      </c>
      <c r="T3981">
        <f t="shared" si="450"/>
        <v>1058.013</v>
      </c>
      <c r="U3981">
        <f t="shared" si="449"/>
        <v>393</v>
      </c>
      <c r="V3981">
        <f t="shared" si="451"/>
        <v>32.75</v>
      </c>
      <c r="W3981">
        <f t="shared" si="454"/>
        <v>7267.08666666667</v>
      </c>
      <c r="X3981">
        <f t="shared" si="452"/>
        <v>0.0719243003423312</v>
      </c>
      <c r="AH3981" t="str">
        <f t="shared" si="448"/>
        <v>2nd Quality</v>
      </c>
      <c r="AJ3981">
        <f>((T3981-X3981)*2)/11.8</f>
        <v>179.312046728756</v>
      </c>
      <c r="AK3981">
        <f t="shared" si="453"/>
        <v>853816.491</v>
      </c>
    </row>
    <row r="3982" spans="1:37">
      <c r="A3982" t="s">
        <v>4048</v>
      </c>
      <c r="B3982">
        <v>18</v>
      </c>
      <c r="C3982" t="s">
        <v>44</v>
      </c>
      <c r="D3982" t="s">
        <v>45</v>
      </c>
      <c r="E3982">
        <v>1284</v>
      </c>
      <c r="F3982">
        <v>12</v>
      </c>
      <c r="G3982">
        <v>20</v>
      </c>
      <c r="H3982">
        <v>2302.93</v>
      </c>
      <c r="I3982">
        <v>42633.2</v>
      </c>
      <c r="J3982">
        <v>171</v>
      </c>
      <c r="K3982">
        <v>0</v>
      </c>
      <c r="L3982">
        <v>12.4</v>
      </c>
      <c r="M3982">
        <v>39.2</v>
      </c>
      <c r="N3982" t="s">
        <v>57</v>
      </c>
      <c r="O3982" t="s">
        <v>75</v>
      </c>
      <c r="P3982" t="s">
        <v>58</v>
      </c>
      <c r="R3982">
        <f>SUMIF(A3982:A8981,"C03981",I3982:I8981)</f>
        <v>42633.2</v>
      </c>
      <c r="S3982" s="1">
        <v>24575.1</v>
      </c>
      <c r="T3982">
        <f t="shared" si="450"/>
        <v>249.316959064327</v>
      </c>
      <c r="U3982">
        <f t="shared" si="449"/>
        <v>6703.2</v>
      </c>
      <c r="V3982">
        <f t="shared" si="451"/>
        <v>558.6</v>
      </c>
      <c r="W3982">
        <f t="shared" si="454"/>
        <v>14979.0433333333</v>
      </c>
      <c r="X3982">
        <f t="shared" si="452"/>
        <v>0.557550598585281</v>
      </c>
      <c r="AH3982" t="str">
        <f t="shared" ref="AH3982:AH4045" si="455">IF(AND(W3982&gt;=12550,B3982&lt;=33,E3982&gt;=915),"1st Quality",IF(AND(W3982&gt;=6275,B3982&lt;=43,E3982&gt;=457),"2nd Quality","3rd Quality"))</f>
        <v>1st Quality</v>
      </c>
      <c r="AJ3982">
        <f>((T3982-X3982)*2)/12.4</f>
        <v>40.12248523641</v>
      </c>
      <c r="AK3982">
        <f t="shared" si="453"/>
        <v>320122.975438597</v>
      </c>
    </row>
    <row r="3983" spans="1:37">
      <c r="A3983" t="s">
        <v>4049</v>
      </c>
      <c r="B3983">
        <v>51</v>
      </c>
      <c r="C3983" t="s">
        <v>50</v>
      </c>
      <c r="D3983" t="s">
        <v>60</v>
      </c>
      <c r="E3983">
        <v>634</v>
      </c>
      <c r="F3983">
        <v>55</v>
      </c>
      <c r="G3983">
        <v>7</v>
      </c>
      <c r="H3983">
        <v>1913.74</v>
      </c>
      <c r="I3983">
        <v>14851.85</v>
      </c>
      <c r="J3983">
        <v>42</v>
      </c>
      <c r="K3983">
        <v>0</v>
      </c>
      <c r="L3983">
        <v>30.2</v>
      </c>
      <c r="M3983">
        <v>20.3</v>
      </c>
      <c r="N3983" t="s">
        <v>78</v>
      </c>
      <c r="O3983" t="s">
        <v>47</v>
      </c>
      <c r="P3983" t="s">
        <v>58</v>
      </c>
      <c r="R3983">
        <f>SUMIF(A3983:A8982,"C03982",I3983:I8982)</f>
        <v>14851.85</v>
      </c>
      <c r="S3983" s="1">
        <v>10783.68</v>
      </c>
      <c r="T3983">
        <f t="shared" si="450"/>
        <v>353.615476190476</v>
      </c>
      <c r="U3983">
        <f t="shared" si="449"/>
        <v>852.6</v>
      </c>
      <c r="V3983">
        <f t="shared" si="451"/>
        <v>71.05</v>
      </c>
      <c r="W3983">
        <f t="shared" si="454"/>
        <v>5588.86333333333</v>
      </c>
      <c r="X3983">
        <f t="shared" si="452"/>
        <v>0.331288471788226</v>
      </c>
      <c r="AH3983" t="str">
        <f t="shared" si="455"/>
        <v>3rd Quality</v>
      </c>
      <c r="AJ3983">
        <f>((T3983-X3983)*2)/30.2</f>
        <v>23.3963038224297</v>
      </c>
      <c r="AK3983">
        <f t="shared" si="453"/>
        <v>224192.211904762</v>
      </c>
    </row>
    <row r="3984" spans="1:37">
      <c r="A3984" t="s">
        <v>4050</v>
      </c>
      <c r="B3984">
        <v>32</v>
      </c>
      <c r="C3984" t="s">
        <v>50</v>
      </c>
      <c r="D3984" t="s">
        <v>60</v>
      </c>
      <c r="E3984">
        <v>627</v>
      </c>
      <c r="F3984">
        <v>27</v>
      </c>
      <c r="G3984">
        <v>1</v>
      </c>
      <c r="H3984">
        <v>12535.14</v>
      </c>
      <c r="I3984">
        <v>13575.42</v>
      </c>
      <c r="J3984">
        <v>16</v>
      </c>
      <c r="K3984">
        <v>0</v>
      </c>
      <c r="L3984">
        <v>0</v>
      </c>
      <c r="M3984">
        <v>3.7</v>
      </c>
      <c r="N3984" t="s">
        <v>78</v>
      </c>
      <c r="O3984" t="s">
        <v>47</v>
      </c>
      <c r="P3984" t="s">
        <v>58</v>
      </c>
      <c r="R3984">
        <f>SUMIF(A3984:A8983,"C03983",I3984:I8983)</f>
        <v>13575.42</v>
      </c>
      <c r="S3984" s="1">
        <v>96220.89</v>
      </c>
      <c r="T3984">
        <f t="shared" si="450"/>
        <v>848.46375</v>
      </c>
      <c r="U3984">
        <f t="shared" si="449"/>
        <v>59.2</v>
      </c>
      <c r="V3984">
        <f t="shared" si="451"/>
        <v>4.93333333333333</v>
      </c>
      <c r="W3984">
        <f t="shared" si="454"/>
        <v>8703.85333333333</v>
      </c>
      <c r="X3984">
        <f t="shared" si="452"/>
        <v>0.0500193855034726</v>
      </c>
      <c r="AH3984" t="str">
        <f t="shared" si="455"/>
        <v>2nd Quality</v>
      </c>
      <c r="AJ3984">
        <f>((T3984-X3984)*2)</f>
        <v>1696.82746122899</v>
      </c>
      <c r="AK3984">
        <f t="shared" si="453"/>
        <v>531986.77125</v>
      </c>
    </row>
    <row r="3985" spans="1:37">
      <c r="A3985" t="s">
        <v>4051</v>
      </c>
      <c r="B3985">
        <v>35</v>
      </c>
      <c r="C3985" t="s">
        <v>50</v>
      </c>
      <c r="D3985" t="s">
        <v>60</v>
      </c>
      <c r="E3985">
        <v>1163</v>
      </c>
      <c r="F3985">
        <v>76</v>
      </c>
      <c r="G3985">
        <v>16</v>
      </c>
      <c r="H3985">
        <v>1420.78</v>
      </c>
      <c r="I3985">
        <v>24575.1</v>
      </c>
      <c r="J3985">
        <v>56</v>
      </c>
      <c r="K3985">
        <v>0</v>
      </c>
      <c r="L3985">
        <v>11.8</v>
      </c>
      <c r="M3985">
        <v>38.2</v>
      </c>
      <c r="N3985" t="s">
        <v>52</v>
      </c>
      <c r="O3985" t="s">
        <v>47</v>
      </c>
      <c r="P3985" t="s">
        <v>68</v>
      </c>
      <c r="R3985">
        <f>SUMIF(A3985:A8984,"C03984",I3985:I8984)</f>
        <v>24575.1</v>
      </c>
      <c r="S3985" s="1">
        <v>8265.24</v>
      </c>
      <c r="T3985">
        <f t="shared" si="450"/>
        <v>438.841071428571</v>
      </c>
      <c r="U3985">
        <f t="shared" si="449"/>
        <v>2139.2</v>
      </c>
      <c r="V3985">
        <f t="shared" si="451"/>
        <v>178.266666666667</v>
      </c>
      <c r="W3985">
        <f t="shared" si="454"/>
        <v>8665.62666666667</v>
      </c>
      <c r="X3985">
        <f t="shared" si="452"/>
        <v>0.818564450513098</v>
      </c>
      <c r="AH3985" t="str">
        <f t="shared" si="455"/>
        <v>2nd Quality</v>
      </c>
      <c r="AJ3985">
        <f>((T3985-X3985)*2)/11.8</f>
        <v>74.2411028776369</v>
      </c>
      <c r="AK3985">
        <f t="shared" si="453"/>
        <v>510372.166071429</v>
      </c>
    </row>
    <row r="3986" spans="1:37">
      <c r="A3986" t="s">
        <v>4052</v>
      </c>
      <c r="B3986">
        <v>23</v>
      </c>
      <c r="C3986" t="s">
        <v>44</v>
      </c>
      <c r="D3986" t="s">
        <v>51</v>
      </c>
      <c r="E3986">
        <v>804</v>
      </c>
      <c r="F3986">
        <v>40</v>
      </c>
      <c r="G3986">
        <v>8</v>
      </c>
      <c r="H3986">
        <v>1358.98</v>
      </c>
      <c r="I3986">
        <v>10783.68</v>
      </c>
      <c r="J3986">
        <v>31</v>
      </c>
      <c r="K3986">
        <v>0</v>
      </c>
      <c r="L3986">
        <v>21.9</v>
      </c>
      <c r="M3986">
        <v>34.5</v>
      </c>
      <c r="N3986" t="s">
        <v>57</v>
      </c>
      <c r="O3986" t="s">
        <v>47</v>
      </c>
      <c r="P3986" t="s">
        <v>68</v>
      </c>
      <c r="R3986">
        <f>SUMIF(A3986:A8985,"C03985",I3986:I8985)</f>
        <v>10783.68</v>
      </c>
      <c r="S3986" s="1">
        <v>6307.48</v>
      </c>
      <c r="T3986">
        <f t="shared" si="450"/>
        <v>347.86064516129</v>
      </c>
      <c r="U3986">
        <f t="shared" si="449"/>
        <v>1069.5</v>
      </c>
      <c r="V3986">
        <f t="shared" si="451"/>
        <v>89.125</v>
      </c>
      <c r="W3986">
        <f t="shared" si="454"/>
        <v>4047.88666666667</v>
      </c>
      <c r="X3986">
        <f t="shared" si="452"/>
        <v>0.591620185727531</v>
      </c>
      <c r="AH3986" t="str">
        <f t="shared" si="455"/>
        <v>3rd Quality</v>
      </c>
      <c r="AJ3986">
        <f>((T3986-X3986)*2)/21.9</f>
        <v>31.7140662078139</v>
      </c>
      <c r="AK3986">
        <f t="shared" si="453"/>
        <v>279679.958709677</v>
      </c>
    </row>
    <row r="3987" spans="1:37">
      <c r="A3987" t="s">
        <v>4053</v>
      </c>
      <c r="B3987">
        <v>46</v>
      </c>
      <c r="C3987" t="s">
        <v>44</v>
      </c>
      <c r="D3987" t="s">
        <v>45</v>
      </c>
      <c r="E3987">
        <v>1107</v>
      </c>
      <c r="F3987">
        <v>15</v>
      </c>
      <c r="G3987">
        <v>26</v>
      </c>
      <c r="H3987">
        <v>3443.36</v>
      </c>
      <c r="I3987">
        <v>96220.89</v>
      </c>
      <c r="J3987">
        <v>55</v>
      </c>
      <c r="K3987">
        <v>2</v>
      </c>
      <c r="L3987">
        <v>9.6</v>
      </c>
      <c r="M3987">
        <v>11.8</v>
      </c>
      <c r="N3987" t="s">
        <v>57</v>
      </c>
      <c r="O3987" t="s">
        <v>53</v>
      </c>
      <c r="P3987" t="s">
        <v>48</v>
      </c>
      <c r="R3987">
        <f>SUMIF(A3987:A8986,"C03986",I3987:I8986)</f>
        <v>96220.89</v>
      </c>
      <c r="S3987" s="1">
        <v>1419.57</v>
      </c>
      <c r="T3987">
        <f t="shared" si="450"/>
        <v>1749.47072727273</v>
      </c>
      <c r="U3987">
        <f t="shared" si="449"/>
        <v>649</v>
      </c>
      <c r="V3987">
        <f>U3987*2</f>
        <v>1298</v>
      </c>
      <c r="W3987">
        <f t="shared" si="454"/>
        <v>33221.75</v>
      </c>
      <c r="X3987">
        <f t="shared" si="452"/>
        <v>0.321488313740068</v>
      </c>
      <c r="AH3987" t="str">
        <f t="shared" si="455"/>
        <v>3rd Quality</v>
      </c>
      <c r="AJ3987">
        <f>((T3987-X3987)*2)/9.6</f>
        <v>364.40609144979</v>
      </c>
      <c r="AK3987">
        <f t="shared" si="453"/>
        <v>1936664.09509091</v>
      </c>
    </row>
    <row r="3988" spans="1:37">
      <c r="A3988" t="s">
        <v>4054</v>
      </c>
      <c r="B3988">
        <v>31</v>
      </c>
      <c r="C3988" t="s">
        <v>50</v>
      </c>
      <c r="D3988" t="s">
        <v>60</v>
      </c>
      <c r="E3988">
        <v>580</v>
      </c>
      <c r="F3988">
        <v>9</v>
      </c>
      <c r="G3988">
        <v>6</v>
      </c>
      <c r="H3988">
        <v>1347.92</v>
      </c>
      <c r="I3988">
        <v>8265.24</v>
      </c>
      <c r="J3988">
        <v>25</v>
      </c>
      <c r="K3988">
        <v>1</v>
      </c>
      <c r="L3988">
        <v>14.8</v>
      </c>
      <c r="M3988">
        <v>50.6</v>
      </c>
      <c r="N3988" t="s">
        <v>78</v>
      </c>
      <c r="O3988" t="s">
        <v>53</v>
      </c>
      <c r="P3988" t="s">
        <v>58</v>
      </c>
      <c r="R3988">
        <f>SUMIF(A3988:A8987,"C03987",I3988:I8987)</f>
        <v>8265.24</v>
      </c>
      <c r="S3988" s="1">
        <v>1709.34</v>
      </c>
      <c r="T3988">
        <f t="shared" si="450"/>
        <v>330.6096</v>
      </c>
      <c r="U3988">
        <f t="shared" si="449"/>
        <v>1265</v>
      </c>
      <c r="V3988">
        <f>U3988*1</f>
        <v>1265</v>
      </c>
      <c r="W3988">
        <f t="shared" si="454"/>
        <v>3204.72</v>
      </c>
      <c r="X3988">
        <f t="shared" si="452"/>
        <v>0.430292598967298</v>
      </c>
      <c r="AH3988" t="str">
        <f t="shared" si="455"/>
        <v>3rd Quality</v>
      </c>
      <c r="AJ3988">
        <f>((T3988-X3988)*2)/14.8</f>
        <v>44.6188253244639</v>
      </c>
      <c r="AK3988">
        <f t="shared" si="453"/>
        <v>191753.568</v>
      </c>
    </row>
    <row r="3989" spans="1:37">
      <c r="A3989" t="s">
        <v>4055</v>
      </c>
      <c r="B3989">
        <v>18</v>
      </c>
      <c r="C3989" t="s">
        <v>44</v>
      </c>
      <c r="D3989" t="s">
        <v>45</v>
      </c>
      <c r="E3989">
        <v>412</v>
      </c>
      <c r="F3989">
        <v>49</v>
      </c>
      <c r="G3989">
        <v>8</v>
      </c>
      <c r="H3989">
        <v>828.3</v>
      </c>
      <c r="I3989">
        <v>6307.48</v>
      </c>
      <c r="J3989">
        <v>34</v>
      </c>
      <c r="K3989">
        <v>1</v>
      </c>
      <c r="L3989">
        <v>25.9</v>
      </c>
      <c r="M3989">
        <v>24.7</v>
      </c>
      <c r="N3989" t="s">
        <v>52</v>
      </c>
      <c r="O3989" t="s">
        <v>75</v>
      </c>
      <c r="P3989" t="s">
        <v>58</v>
      </c>
      <c r="R3989">
        <f>SUMIF(A3989:A8988,"C03988",I3989:I8988)</f>
        <v>6307.48</v>
      </c>
      <c r="S3989" s="1">
        <v>2810.85</v>
      </c>
      <c r="T3989">
        <f t="shared" si="450"/>
        <v>185.514117647059</v>
      </c>
      <c r="U3989">
        <f t="shared" si="449"/>
        <v>839.8</v>
      </c>
      <c r="V3989">
        <f>U3989*1</f>
        <v>839.8</v>
      </c>
      <c r="W3989">
        <f t="shared" si="454"/>
        <v>2378.92666666667</v>
      </c>
      <c r="X3989">
        <f t="shared" si="452"/>
        <v>0.497404322105517</v>
      </c>
      <c r="AH3989" t="str">
        <f t="shared" si="455"/>
        <v>3rd Quality</v>
      </c>
      <c r="AJ3989">
        <f>((T3989-X3989)*2)/25.9</f>
        <v>14.2870048899578</v>
      </c>
      <c r="AK3989">
        <f t="shared" si="453"/>
        <v>76431.8164705882</v>
      </c>
    </row>
    <row r="3990" spans="1:37">
      <c r="A3990" t="s">
        <v>4056</v>
      </c>
      <c r="B3990">
        <v>30</v>
      </c>
      <c r="C3990" t="s">
        <v>50</v>
      </c>
      <c r="D3990" t="s">
        <v>45</v>
      </c>
      <c r="E3990">
        <v>956</v>
      </c>
      <c r="F3990">
        <v>203</v>
      </c>
      <c r="G3990">
        <v>1</v>
      </c>
      <c r="H3990">
        <v>1443.67</v>
      </c>
      <c r="I3990">
        <v>1419.57</v>
      </c>
      <c r="J3990">
        <v>15</v>
      </c>
      <c r="K3990">
        <v>0</v>
      </c>
      <c r="L3990">
        <v>7.9</v>
      </c>
      <c r="M3990">
        <v>39.7</v>
      </c>
      <c r="N3990" t="s">
        <v>63</v>
      </c>
      <c r="O3990" t="s">
        <v>47</v>
      </c>
      <c r="P3990" t="s">
        <v>58</v>
      </c>
      <c r="R3990">
        <f>SUMIF(A3990:A8989,"C03989",I3990:I8989)</f>
        <v>1419.57</v>
      </c>
      <c r="S3990" s="1">
        <v>9884.81</v>
      </c>
      <c r="T3990">
        <f t="shared" si="450"/>
        <v>94.638</v>
      </c>
      <c r="U3990">
        <f t="shared" si="449"/>
        <v>595.5</v>
      </c>
      <c r="V3990">
        <f t="shared" si="451"/>
        <v>49.625</v>
      </c>
      <c r="W3990">
        <f t="shared" si="454"/>
        <v>954.746666666667</v>
      </c>
      <c r="X3990">
        <f t="shared" si="452"/>
        <v>0.662201195564083</v>
      </c>
      <c r="AH3990" t="str">
        <f t="shared" si="455"/>
        <v>3rd Quality</v>
      </c>
      <c r="AJ3990">
        <f>((T3990-X3990)*2)/7.9</f>
        <v>23.7913414694774</v>
      </c>
      <c r="AK3990">
        <f t="shared" si="453"/>
        <v>90473.928</v>
      </c>
    </row>
    <row r="3991" spans="1:37">
      <c r="A3991" t="s">
        <v>4057</v>
      </c>
      <c r="B3991">
        <v>40</v>
      </c>
      <c r="C3991" t="s">
        <v>50</v>
      </c>
      <c r="D3991" t="s">
        <v>60</v>
      </c>
      <c r="E3991">
        <v>849</v>
      </c>
      <c r="F3991">
        <v>281</v>
      </c>
      <c r="G3991">
        <v>1</v>
      </c>
      <c r="H3991">
        <v>1747.47</v>
      </c>
      <c r="I3991">
        <v>1709.34</v>
      </c>
      <c r="J3991">
        <v>18</v>
      </c>
      <c r="K3991">
        <v>0</v>
      </c>
      <c r="L3991">
        <v>15.1</v>
      </c>
      <c r="M3991">
        <v>36.8</v>
      </c>
      <c r="N3991" t="s">
        <v>78</v>
      </c>
      <c r="O3991" t="s">
        <v>47</v>
      </c>
      <c r="P3991" t="s">
        <v>58</v>
      </c>
      <c r="R3991">
        <f>SUMIF(A3991:A8990,"C03990",I3991:I8990)</f>
        <v>1709.34</v>
      </c>
      <c r="S3991" s="1">
        <v>147487.5</v>
      </c>
      <c r="T3991">
        <f t="shared" si="450"/>
        <v>94.9633333333333</v>
      </c>
      <c r="U3991">
        <f t="shared" si="449"/>
        <v>662.4</v>
      </c>
      <c r="V3991">
        <f t="shared" si="451"/>
        <v>55.2</v>
      </c>
      <c r="W3991">
        <f t="shared" si="454"/>
        <v>1152.60333333333</v>
      </c>
      <c r="X3991">
        <f t="shared" si="452"/>
        <v>0.485845250562241</v>
      </c>
      <c r="AH3991" t="str">
        <f t="shared" si="455"/>
        <v>3rd Quality</v>
      </c>
      <c r="AJ3991">
        <f>((T3991-X3991)*2)/15.1</f>
        <v>12.5135745804995</v>
      </c>
      <c r="AK3991">
        <f t="shared" si="453"/>
        <v>80623.87</v>
      </c>
    </row>
    <row r="3992" spans="1:37">
      <c r="A3992" t="s">
        <v>4058</v>
      </c>
      <c r="B3992">
        <v>25</v>
      </c>
      <c r="C3992" t="s">
        <v>50</v>
      </c>
      <c r="D3992" t="s">
        <v>45</v>
      </c>
      <c r="E3992">
        <v>1292</v>
      </c>
      <c r="F3992">
        <v>301</v>
      </c>
      <c r="G3992">
        <v>1</v>
      </c>
      <c r="H3992">
        <v>2914.5</v>
      </c>
      <c r="I3992">
        <v>2810.85</v>
      </c>
      <c r="J3992">
        <v>13</v>
      </c>
      <c r="K3992">
        <v>0</v>
      </c>
      <c r="L3992">
        <v>16.9</v>
      </c>
      <c r="M3992">
        <v>67.5</v>
      </c>
      <c r="N3992" t="s">
        <v>78</v>
      </c>
      <c r="O3992" t="s">
        <v>53</v>
      </c>
      <c r="P3992" t="s">
        <v>58</v>
      </c>
      <c r="R3992">
        <f>SUMIF(A3992:A8991,"C03991",I3992:I8991)</f>
        <v>2810.85</v>
      </c>
      <c r="S3992" s="1">
        <v>5672.82</v>
      </c>
      <c r="T3992">
        <f t="shared" si="450"/>
        <v>216.219230769231</v>
      </c>
      <c r="U3992">
        <f t="shared" si="449"/>
        <v>877.5</v>
      </c>
      <c r="V3992">
        <f t="shared" si="451"/>
        <v>73.125</v>
      </c>
      <c r="W3992">
        <f t="shared" si="454"/>
        <v>1908.78333333333</v>
      </c>
      <c r="X3992">
        <f t="shared" si="452"/>
        <v>0.443300737690856</v>
      </c>
      <c r="AH3992" t="str">
        <f t="shared" si="455"/>
        <v>3rd Quality</v>
      </c>
      <c r="AJ3992">
        <f>((T3992-X3992)*2)/16.9</f>
        <v>25.535613021484</v>
      </c>
      <c r="AK3992">
        <f t="shared" si="453"/>
        <v>279355.246153846</v>
      </c>
    </row>
    <row r="3993" spans="1:37">
      <c r="A3993" t="s">
        <v>4059</v>
      </c>
      <c r="B3993">
        <v>18</v>
      </c>
      <c r="C3993" t="s">
        <v>44</v>
      </c>
      <c r="D3993" t="s">
        <v>60</v>
      </c>
      <c r="E3993">
        <v>1155</v>
      </c>
      <c r="F3993">
        <v>55</v>
      </c>
      <c r="G3993">
        <v>6</v>
      </c>
      <c r="H3993">
        <v>1756.08</v>
      </c>
      <c r="I3993">
        <v>9884.81</v>
      </c>
      <c r="J3993">
        <v>53</v>
      </c>
      <c r="K3993">
        <v>2</v>
      </c>
      <c r="L3993">
        <v>26</v>
      </c>
      <c r="M3993">
        <v>8.6</v>
      </c>
      <c r="N3993" t="s">
        <v>61</v>
      </c>
      <c r="O3993" t="s">
        <v>75</v>
      </c>
      <c r="P3993" t="s">
        <v>66</v>
      </c>
      <c r="R3993">
        <f>SUMIF(A3993:A8992,"C03992",I3993:I8992)</f>
        <v>9884.81</v>
      </c>
      <c r="S3993" s="1">
        <v>5465.68</v>
      </c>
      <c r="T3993">
        <f t="shared" si="450"/>
        <v>186.505849056604</v>
      </c>
      <c r="U3993">
        <f t="shared" si="449"/>
        <v>455.8</v>
      </c>
      <c r="V3993">
        <f>U3993*2</f>
        <v>911.6</v>
      </c>
      <c r="W3993">
        <f t="shared" si="454"/>
        <v>3880.63</v>
      </c>
      <c r="X3993">
        <f t="shared" si="452"/>
        <v>0.657714910482438</v>
      </c>
      <c r="AH3993" t="str">
        <f t="shared" si="455"/>
        <v>3rd Quality</v>
      </c>
      <c r="AJ3993">
        <f>((T3993-X3993)*2)/26</f>
        <v>14.2960103189324</v>
      </c>
      <c r="AK3993">
        <f t="shared" si="453"/>
        <v>215414.255660377</v>
      </c>
    </row>
    <row r="3994" spans="1:37">
      <c r="A3994" t="s">
        <v>4060</v>
      </c>
      <c r="B3994">
        <v>31</v>
      </c>
      <c r="C3994" t="s">
        <v>44</v>
      </c>
      <c r="D3994" t="s">
        <v>60</v>
      </c>
      <c r="E3994">
        <v>738</v>
      </c>
      <c r="F3994">
        <v>14</v>
      </c>
      <c r="G3994">
        <v>27</v>
      </c>
      <c r="H3994">
        <v>5599.24</v>
      </c>
      <c r="I3994">
        <v>147487.5</v>
      </c>
      <c r="J3994">
        <v>144</v>
      </c>
      <c r="K3994">
        <v>6</v>
      </c>
      <c r="L3994">
        <v>5.5</v>
      </c>
      <c r="M3994">
        <v>56.3</v>
      </c>
      <c r="N3994" t="s">
        <v>57</v>
      </c>
      <c r="O3994" t="s">
        <v>47</v>
      </c>
      <c r="P3994" t="s">
        <v>58</v>
      </c>
      <c r="R3994">
        <f>SUMIF(A3994:A8993,"C03993",I3994:I8993)</f>
        <v>147487.5</v>
      </c>
      <c r="S3994" s="1">
        <v>135079.35</v>
      </c>
      <c r="T3994">
        <f t="shared" si="450"/>
        <v>1024.21875</v>
      </c>
      <c r="U3994">
        <f t="shared" si="449"/>
        <v>8107.2</v>
      </c>
      <c r="V3994">
        <f>U3994*6</f>
        <v>48643.2</v>
      </c>
      <c r="W3994">
        <f t="shared" si="454"/>
        <v>51029.2466666667</v>
      </c>
      <c r="X3994">
        <f t="shared" si="452"/>
        <v>0.131803601917403</v>
      </c>
      <c r="AH3994" t="str">
        <f t="shared" si="455"/>
        <v>2nd Quality</v>
      </c>
      <c r="AJ3994">
        <f>((T3994-X3994)*2)/5.54</f>
        <v>369.706478844073</v>
      </c>
      <c r="AK3994">
        <f t="shared" si="453"/>
        <v>755873.4375</v>
      </c>
    </row>
    <row r="3995" spans="1:37">
      <c r="A3995" t="s">
        <v>4061</v>
      </c>
      <c r="B3995">
        <v>55</v>
      </c>
      <c r="C3995" t="s">
        <v>44</v>
      </c>
      <c r="D3995" t="s">
        <v>45</v>
      </c>
      <c r="E3995">
        <v>482</v>
      </c>
      <c r="F3995">
        <v>27</v>
      </c>
      <c r="G3995">
        <v>7</v>
      </c>
      <c r="H3995">
        <v>791.54</v>
      </c>
      <c r="I3995">
        <v>5672.82</v>
      </c>
      <c r="J3995">
        <v>57</v>
      </c>
      <c r="K3995">
        <v>0</v>
      </c>
      <c r="L3995">
        <v>30.5</v>
      </c>
      <c r="M3995">
        <v>13.5</v>
      </c>
      <c r="N3995" t="s">
        <v>61</v>
      </c>
      <c r="O3995" t="s">
        <v>47</v>
      </c>
      <c r="P3995" t="s">
        <v>58</v>
      </c>
      <c r="R3995">
        <f>SUMIF(A3995:A8994,"C03994",I3995:I8994)</f>
        <v>5672.82</v>
      </c>
      <c r="S3995" s="1">
        <v>75691.18</v>
      </c>
      <c r="T3995">
        <f t="shared" si="450"/>
        <v>99.5231578947368</v>
      </c>
      <c r="U3995">
        <f t="shared" si="449"/>
        <v>769.5</v>
      </c>
      <c r="V3995">
        <f t="shared" si="451"/>
        <v>64.125</v>
      </c>
      <c r="W3995">
        <f t="shared" si="454"/>
        <v>2155.12</v>
      </c>
      <c r="X3995">
        <f t="shared" si="452"/>
        <v>0.608939535588852</v>
      </c>
      <c r="AH3995" t="str">
        <f t="shared" si="455"/>
        <v>3rd Quality</v>
      </c>
      <c r="AJ3995">
        <f>((T3995-X3995)*2)/30.5</f>
        <v>6.48617825305888</v>
      </c>
      <c r="AK3995">
        <f t="shared" si="453"/>
        <v>47970.1621052632</v>
      </c>
    </row>
    <row r="3996" spans="1:37">
      <c r="A3996" t="s">
        <v>4062</v>
      </c>
      <c r="B3996">
        <v>49</v>
      </c>
      <c r="C3996" t="s">
        <v>44</v>
      </c>
      <c r="D3996" t="s">
        <v>60</v>
      </c>
      <c r="E3996">
        <v>961</v>
      </c>
      <c r="F3996">
        <v>95</v>
      </c>
      <c r="G3996">
        <v>5</v>
      </c>
      <c r="H3996">
        <v>1179.11</v>
      </c>
      <c r="I3996">
        <v>5465.68</v>
      </c>
      <c r="J3996">
        <v>24</v>
      </c>
      <c r="K3996">
        <v>0</v>
      </c>
      <c r="L3996">
        <v>33.8</v>
      </c>
      <c r="M3996">
        <v>38.4</v>
      </c>
      <c r="N3996" t="s">
        <v>78</v>
      </c>
      <c r="O3996" t="s">
        <v>75</v>
      </c>
      <c r="P3996" t="s">
        <v>68</v>
      </c>
      <c r="R3996">
        <f>SUMIF(A3996:A8995,"C03995",I3996:I8995)</f>
        <v>5465.68</v>
      </c>
      <c r="S3996" s="1">
        <v>11182.89</v>
      </c>
      <c r="T3996">
        <f t="shared" si="450"/>
        <v>227.736666666667</v>
      </c>
      <c r="U3996">
        <f t="shared" si="449"/>
        <v>921.6</v>
      </c>
      <c r="V3996">
        <f t="shared" si="451"/>
        <v>76.8</v>
      </c>
      <c r="W3996">
        <f t="shared" si="454"/>
        <v>2215.26333333333</v>
      </c>
      <c r="X3996">
        <f t="shared" si="452"/>
        <v>0.815021499266396</v>
      </c>
      <c r="AH3996" t="str">
        <f t="shared" si="455"/>
        <v>3rd Quality</v>
      </c>
      <c r="AJ3996">
        <f>((T3996-X3996)*2)/33.8</f>
        <v>13.4273162820947</v>
      </c>
      <c r="AK3996">
        <f t="shared" si="453"/>
        <v>218854.936666667</v>
      </c>
    </row>
    <row r="3997" spans="1:37">
      <c r="A3997" t="s">
        <v>4063</v>
      </c>
      <c r="B3997">
        <v>48</v>
      </c>
      <c r="C3997" t="s">
        <v>44</v>
      </c>
      <c r="D3997" t="s">
        <v>60</v>
      </c>
      <c r="E3997">
        <v>1237</v>
      </c>
      <c r="F3997">
        <v>19</v>
      </c>
      <c r="G3997">
        <v>21</v>
      </c>
      <c r="H3997">
        <v>7037.25</v>
      </c>
      <c r="I3997">
        <v>135079.35</v>
      </c>
      <c r="J3997">
        <v>111</v>
      </c>
      <c r="K3997">
        <v>1</v>
      </c>
      <c r="L3997">
        <v>19.8</v>
      </c>
      <c r="M3997">
        <v>58.2</v>
      </c>
      <c r="N3997" t="s">
        <v>63</v>
      </c>
      <c r="O3997" t="s">
        <v>53</v>
      </c>
      <c r="P3997" t="s">
        <v>66</v>
      </c>
      <c r="R3997">
        <f>SUMIF(A3997:A8996,"C03996",I3997:I8996)</f>
        <v>135079.35</v>
      </c>
      <c r="S3997" s="1">
        <v>7046.11</v>
      </c>
      <c r="T3997">
        <f t="shared" si="450"/>
        <v>1216.93108108108</v>
      </c>
      <c r="U3997">
        <f t="shared" si="449"/>
        <v>6460.2</v>
      </c>
      <c r="V3997">
        <f>U3997*1</f>
        <v>6460.2</v>
      </c>
      <c r="W3997">
        <f t="shared" si="454"/>
        <v>47372.5333333333</v>
      </c>
      <c r="X3997">
        <f t="shared" si="452"/>
        <v>0.175778890901986</v>
      </c>
      <c r="AH3997" t="str">
        <f t="shared" si="455"/>
        <v>3rd Quality</v>
      </c>
      <c r="AJ3997">
        <f>((T3997-X3997)*2)/19.8</f>
        <v>122.904575978806</v>
      </c>
      <c r="AK3997">
        <f t="shared" si="453"/>
        <v>1505343.7472973</v>
      </c>
    </row>
    <row r="3998" spans="1:37">
      <c r="A3998" t="s">
        <v>4064</v>
      </c>
      <c r="B3998">
        <v>45</v>
      </c>
      <c r="C3998" t="s">
        <v>44</v>
      </c>
      <c r="D3998" t="s">
        <v>60</v>
      </c>
      <c r="E3998">
        <v>699</v>
      </c>
      <c r="F3998">
        <v>8</v>
      </c>
      <c r="G3998">
        <v>30</v>
      </c>
      <c r="H3998">
        <v>2412.88</v>
      </c>
      <c r="I3998">
        <v>75691.18</v>
      </c>
      <c r="J3998">
        <v>218</v>
      </c>
      <c r="K3998">
        <v>1</v>
      </c>
      <c r="L3998">
        <v>21.7</v>
      </c>
      <c r="M3998">
        <v>26.9</v>
      </c>
      <c r="N3998" t="s">
        <v>81</v>
      </c>
      <c r="O3998" t="s">
        <v>47</v>
      </c>
      <c r="P3998" t="s">
        <v>66</v>
      </c>
      <c r="R3998">
        <f>SUMIF(A3998:A8997,"C03997",I3998:I8997)</f>
        <v>75691.18</v>
      </c>
      <c r="S3998" s="1">
        <v>189105.53</v>
      </c>
      <c r="T3998">
        <f t="shared" si="450"/>
        <v>347.207247706422</v>
      </c>
      <c r="U3998">
        <f t="shared" si="449"/>
        <v>5864.2</v>
      </c>
      <c r="V3998">
        <f>U3998*1</f>
        <v>5864.2</v>
      </c>
      <c r="W3998">
        <f t="shared" si="454"/>
        <v>26035.02</v>
      </c>
      <c r="X3998">
        <f t="shared" si="452"/>
        <v>0.289695301879911</v>
      </c>
      <c r="AH3998" t="str">
        <f t="shared" si="455"/>
        <v>3rd Quality</v>
      </c>
      <c r="AJ3998">
        <f>((T3998-X3998)*2)/21.7</f>
        <v>31.9739679635523</v>
      </c>
      <c r="AK3998">
        <f t="shared" si="453"/>
        <v>242697.866146789</v>
      </c>
    </row>
    <row r="3999" spans="1:37">
      <c r="A3999" t="s">
        <v>4065</v>
      </c>
      <c r="B3999">
        <v>32</v>
      </c>
      <c r="C3999" t="s">
        <v>44</v>
      </c>
      <c r="D3999" t="s">
        <v>45</v>
      </c>
      <c r="E3999">
        <v>1042</v>
      </c>
      <c r="F3999">
        <v>28</v>
      </c>
      <c r="G3999">
        <v>11</v>
      </c>
      <c r="H3999">
        <v>1010.24</v>
      </c>
      <c r="I3999">
        <v>11182.89</v>
      </c>
      <c r="J3999">
        <v>71</v>
      </c>
      <c r="K3999">
        <v>1</v>
      </c>
      <c r="L3999">
        <v>29.5</v>
      </c>
      <c r="M3999">
        <v>29.9</v>
      </c>
      <c r="N3999" t="s">
        <v>78</v>
      </c>
      <c r="O3999" t="s">
        <v>47</v>
      </c>
      <c r="P3999" t="s">
        <v>66</v>
      </c>
      <c r="R3999">
        <f>SUMIF(A3999:A8998,"C03998",I3999:I8998)</f>
        <v>11182.89</v>
      </c>
      <c r="S3999" s="1">
        <v>1304.89</v>
      </c>
      <c r="T3999">
        <f t="shared" si="450"/>
        <v>157.505492957746</v>
      </c>
      <c r="U3999">
        <f t="shared" si="449"/>
        <v>2122.9</v>
      </c>
      <c r="V3999">
        <f>U3999*1</f>
        <v>2122.9</v>
      </c>
      <c r="W3999">
        <f t="shared" si="454"/>
        <v>4064.71</v>
      </c>
      <c r="X3999">
        <f t="shared" si="452"/>
        <v>1.031438074121</v>
      </c>
      <c r="AH3999" t="str">
        <f t="shared" si="455"/>
        <v>3rd Quality</v>
      </c>
      <c r="AJ3999">
        <f>((T3999-X3999)*2)/29.5</f>
        <v>10.6084105005847</v>
      </c>
      <c r="AK3999">
        <f t="shared" si="453"/>
        <v>164120.723661972</v>
      </c>
    </row>
    <row r="4000" spans="1:37">
      <c r="A4000" t="s">
        <v>4066</v>
      </c>
      <c r="B4000">
        <v>27</v>
      </c>
      <c r="C4000" t="s">
        <v>44</v>
      </c>
      <c r="D4000" t="s">
        <v>45</v>
      </c>
      <c r="E4000">
        <v>405</v>
      </c>
      <c r="F4000">
        <v>1</v>
      </c>
      <c r="G4000">
        <v>6</v>
      </c>
      <c r="H4000">
        <v>1217.55</v>
      </c>
      <c r="I4000">
        <v>7046.11</v>
      </c>
      <c r="J4000">
        <v>59</v>
      </c>
      <c r="K4000">
        <v>1</v>
      </c>
      <c r="L4000">
        <v>26.3</v>
      </c>
      <c r="M4000">
        <v>19</v>
      </c>
      <c r="N4000" t="s">
        <v>46</v>
      </c>
      <c r="O4000" t="s">
        <v>75</v>
      </c>
      <c r="P4000" t="s">
        <v>66</v>
      </c>
      <c r="R4000">
        <f>SUMIF(A4000:A8999,"C03999",I4000:I8999)</f>
        <v>7046.11</v>
      </c>
      <c r="S4000" s="1">
        <v>24017.38</v>
      </c>
      <c r="T4000">
        <f t="shared" si="450"/>
        <v>119.425593220339</v>
      </c>
      <c r="U4000">
        <f t="shared" si="449"/>
        <v>1121</v>
      </c>
      <c r="V4000">
        <f>U4000*1</f>
        <v>1121</v>
      </c>
      <c r="W4000">
        <f t="shared" si="454"/>
        <v>2754.88666666667</v>
      </c>
      <c r="X4000">
        <f t="shared" si="452"/>
        <v>0.332635210052975</v>
      </c>
      <c r="AH4000" t="str">
        <f t="shared" si="455"/>
        <v>3rd Quality</v>
      </c>
      <c r="AJ4000">
        <f>((T4000-X4000)*2)/26.3</f>
        <v>9.05649870800654</v>
      </c>
      <c r="AK4000">
        <f t="shared" si="453"/>
        <v>48367.3652542373</v>
      </c>
    </row>
    <row r="4001" spans="1:37">
      <c r="A4001" t="s">
        <v>4067</v>
      </c>
      <c r="B4001">
        <v>37</v>
      </c>
      <c r="C4001" t="s">
        <v>50</v>
      </c>
      <c r="D4001" t="s">
        <v>45</v>
      </c>
      <c r="E4001">
        <v>1153</v>
      </c>
      <c r="F4001">
        <v>3</v>
      </c>
      <c r="G4001">
        <v>25</v>
      </c>
      <c r="H4001">
        <v>6889.74</v>
      </c>
      <c r="I4001">
        <v>189105.53</v>
      </c>
      <c r="J4001">
        <v>54</v>
      </c>
      <c r="K4001">
        <v>3</v>
      </c>
      <c r="L4001">
        <v>3.8</v>
      </c>
      <c r="M4001">
        <v>38.1</v>
      </c>
      <c r="N4001" t="s">
        <v>81</v>
      </c>
      <c r="O4001" t="s">
        <v>47</v>
      </c>
      <c r="P4001" t="s">
        <v>58</v>
      </c>
      <c r="R4001">
        <f>SUMIF(A4001:A9000,"C04000",I4001:I9000)</f>
        <v>189105.53</v>
      </c>
      <c r="S4001" s="1">
        <v>6435.57</v>
      </c>
      <c r="T4001">
        <f t="shared" si="450"/>
        <v>3501.95425925926</v>
      </c>
      <c r="U4001">
        <f t="shared" si="449"/>
        <v>2057.4</v>
      </c>
      <c r="V4001">
        <f>U4001*3</f>
        <v>6172.2</v>
      </c>
      <c r="W4001">
        <f t="shared" si="454"/>
        <v>65332.09</v>
      </c>
      <c r="X4001">
        <f t="shared" si="452"/>
        <v>0.167350291883293</v>
      </c>
      <c r="AH4001" t="str">
        <f t="shared" si="455"/>
        <v>2nd Quality</v>
      </c>
      <c r="AJ4001">
        <f>((T4001-X4001)*2)/3.8</f>
        <v>1843.04574156178</v>
      </c>
      <c r="AK4001">
        <f t="shared" si="453"/>
        <v>4037753.26092593</v>
      </c>
    </row>
    <row r="4002" spans="1:37">
      <c r="A4002" t="s">
        <v>4068</v>
      </c>
      <c r="B4002">
        <v>42</v>
      </c>
      <c r="C4002" t="s">
        <v>44</v>
      </c>
      <c r="D4002" t="s">
        <v>45</v>
      </c>
      <c r="E4002">
        <v>1282</v>
      </c>
      <c r="F4002">
        <v>45</v>
      </c>
      <c r="G4002">
        <v>2</v>
      </c>
      <c r="H4002">
        <v>658.56</v>
      </c>
      <c r="I4002">
        <v>1304.89</v>
      </c>
      <c r="J4002">
        <v>18</v>
      </c>
      <c r="K4002">
        <v>0</v>
      </c>
      <c r="L4002">
        <v>25.1</v>
      </c>
      <c r="M4002">
        <v>28.3</v>
      </c>
      <c r="N4002" t="s">
        <v>46</v>
      </c>
      <c r="O4002" t="s">
        <v>47</v>
      </c>
      <c r="P4002" t="s">
        <v>58</v>
      </c>
      <c r="R4002">
        <f>SUMIF(A4002:A9001,"C04001",I4002:I9001)</f>
        <v>1304.89</v>
      </c>
      <c r="S4002" s="1">
        <v>1863.62</v>
      </c>
      <c r="T4002">
        <f t="shared" si="450"/>
        <v>72.4938888888889</v>
      </c>
      <c r="U4002">
        <f t="shared" ref="U4002:U4065" si="456">J4002*M4002</f>
        <v>509.4</v>
      </c>
      <c r="V4002">
        <f t="shared" si="451"/>
        <v>42.45</v>
      </c>
      <c r="W4002">
        <f t="shared" si="454"/>
        <v>654.816666666667</v>
      </c>
      <c r="X4002">
        <f t="shared" si="452"/>
        <v>1.94667152575316</v>
      </c>
      <c r="AH4002" t="str">
        <f t="shared" si="455"/>
        <v>3rd Quality</v>
      </c>
      <c r="AJ4002">
        <f>((T4002-X4002)*2)/25.1</f>
        <v>5.62129222017018</v>
      </c>
      <c r="AK4002">
        <f t="shared" si="453"/>
        <v>92937.1655555556</v>
      </c>
    </row>
    <row r="4003" spans="1:37">
      <c r="A4003" t="s">
        <v>4069</v>
      </c>
      <c r="B4003">
        <v>20</v>
      </c>
      <c r="C4003" t="s">
        <v>44</v>
      </c>
      <c r="D4003" t="s">
        <v>60</v>
      </c>
      <c r="E4003">
        <v>643</v>
      </c>
      <c r="F4003">
        <v>29</v>
      </c>
      <c r="G4003">
        <v>15</v>
      </c>
      <c r="H4003">
        <v>1668.54</v>
      </c>
      <c r="I4003">
        <v>24017.38</v>
      </c>
      <c r="J4003">
        <v>38</v>
      </c>
      <c r="K4003">
        <v>0</v>
      </c>
      <c r="L4003">
        <v>28.6</v>
      </c>
      <c r="M4003">
        <v>66.8</v>
      </c>
      <c r="N4003" t="s">
        <v>63</v>
      </c>
      <c r="O4003" t="s">
        <v>47</v>
      </c>
      <c r="P4003" t="s">
        <v>58</v>
      </c>
      <c r="R4003">
        <f>SUMIF(A4003:A9002,"C04002",I4003:I9002)</f>
        <v>24017.38</v>
      </c>
      <c r="S4003" s="1">
        <v>8930.78</v>
      </c>
      <c r="T4003">
        <f t="shared" si="450"/>
        <v>632.036315789474</v>
      </c>
      <c r="U4003">
        <f t="shared" si="456"/>
        <v>2538.4</v>
      </c>
      <c r="V4003">
        <f t="shared" si="451"/>
        <v>211.533333333333</v>
      </c>
      <c r="W4003">
        <f t="shared" si="454"/>
        <v>8562.30666666667</v>
      </c>
      <c r="X4003">
        <f t="shared" si="452"/>
        <v>0.385366847663227</v>
      </c>
      <c r="AH4003" t="str">
        <f t="shared" si="455"/>
        <v>2nd Quality</v>
      </c>
      <c r="AJ4003">
        <f>((T4003-X4003)*2)/28.6</f>
        <v>44.1713950308959</v>
      </c>
      <c r="AK4003">
        <f t="shared" si="453"/>
        <v>406399.351052632</v>
      </c>
    </row>
    <row r="4004" spans="1:37">
      <c r="A4004" t="s">
        <v>4070</v>
      </c>
      <c r="B4004">
        <v>31</v>
      </c>
      <c r="C4004" t="s">
        <v>50</v>
      </c>
      <c r="D4004" t="s">
        <v>51</v>
      </c>
      <c r="E4004">
        <v>1100</v>
      </c>
      <c r="F4004">
        <v>196</v>
      </c>
      <c r="G4004">
        <v>7</v>
      </c>
      <c r="H4004">
        <v>986.55</v>
      </c>
      <c r="I4004">
        <v>6435.57</v>
      </c>
      <c r="J4004">
        <v>26</v>
      </c>
      <c r="K4004">
        <v>0</v>
      </c>
      <c r="L4004">
        <v>16.5</v>
      </c>
      <c r="M4004">
        <v>10.8</v>
      </c>
      <c r="N4004" t="s">
        <v>81</v>
      </c>
      <c r="O4004" t="s">
        <v>47</v>
      </c>
      <c r="P4004" t="s">
        <v>48</v>
      </c>
      <c r="R4004">
        <f>SUMIF(A4004:A9003,"C04003",I4004:I9003)</f>
        <v>6435.57</v>
      </c>
      <c r="S4004" s="1">
        <v>67725.69</v>
      </c>
      <c r="T4004">
        <f t="shared" si="450"/>
        <v>247.521923076923</v>
      </c>
      <c r="U4004">
        <f t="shared" si="456"/>
        <v>280.8</v>
      </c>
      <c r="V4004">
        <f t="shared" si="451"/>
        <v>23.4</v>
      </c>
      <c r="W4004">
        <f t="shared" si="454"/>
        <v>2474.37333333333</v>
      </c>
      <c r="X4004">
        <f t="shared" si="452"/>
        <v>1.11499670569155</v>
      </c>
      <c r="AH4004" t="str">
        <f t="shared" si="455"/>
        <v>3rd Quality</v>
      </c>
      <c r="AJ4004">
        <f>((T4004-X4004)*2)/16.5</f>
        <v>29.8675062268159</v>
      </c>
      <c r="AK4004">
        <f t="shared" si="453"/>
        <v>272274.115384615</v>
      </c>
    </row>
    <row r="4005" spans="1:37">
      <c r="A4005" t="s">
        <v>4071</v>
      </c>
      <c r="B4005">
        <v>49</v>
      </c>
      <c r="C4005" t="s">
        <v>50</v>
      </c>
      <c r="D4005" t="s">
        <v>45</v>
      </c>
      <c r="E4005">
        <v>1185</v>
      </c>
      <c r="F4005">
        <v>26</v>
      </c>
      <c r="G4005">
        <v>3</v>
      </c>
      <c r="H4005">
        <v>648.74</v>
      </c>
      <c r="I4005">
        <v>1863.62</v>
      </c>
      <c r="J4005">
        <v>15</v>
      </c>
      <c r="K4005">
        <v>0</v>
      </c>
      <c r="L4005">
        <v>31.3</v>
      </c>
      <c r="M4005">
        <v>28.2</v>
      </c>
      <c r="N4005" t="s">
        <v>52</v>
      </c>
      <c r="O4005" t="s">
        <v>75</v>
      </c>
      <c r="P4005" t="s">
        <v>58</v>
      </c>
      <c r="R4005">
        <f>SUMIF(A4005:A9004,"C04004",I4005:I9004)</f>
        <v>1863.62</v>
      </c>
      <c r="S4005" s="1">
        <v>13448.02</v>
      </c>
      <c r="T4005">
        <f t="shared" si="450"/>
        <v>124.241333333333</v>
      </c>
      <c r="U4005">
        <f t="shared" si="456"/>
        <v>423</v>
      </c>
      <c r="V4005">
        <f t="shared" si="451"/>
        <v>35.25</v>
      </c>
      <c r="W4005">
        <f t="shared" si="454"/>
        <v>837.786666666667</v>
      </c>
      <c r="X4005">
        <f t="shared" si="452"/>
        <v>1.82661775133335</v>
      </c>
      <c r="AH4005" t="str">
        <f t="shared" si="455"/>
        <v>3rd Quality</v>
      </c>
      <c r="AJ4005">
        <f>((T4005-X4005)*2)/31.3</f>
        <v>7.82202655476036</v>
      </c>
      <c r="AK4005">
        <f t="shared" si="453"/>
        <v>147225.98</v>
      </c>
    </row>
    <row r="4006" spans="1:37">
      <c r="A4006" t="s">
        <v>4072</v>
      </c>
      <c r="B4006">
        <v>41</v>
      </c>
      <c r="C4006" t="s">
        <v>44</v>
      </c>
      <c r="D4006" t="s">
        <v>51</v>
      </c>
      <c r="E4006">
        <v>630</v>
      </c>
      <c r="F4006">
        <v>10</v>
      </c>
      <c r="G4006">
        <v>1</v>
      </c>
      <c r="H4006">
        <v>9443.57</v>
      </c>
      <c r="I4006">
        <v>8930.78</v>
      </c>
      <c r="J4006">
        <v>15</v>
      </c>
      <c r="K4006">
        <v>0</v>
      </c>
      <c r="L4006">
        <v>1.8</v>
      </c>
      <c r="M4006">
        <v>27.4</v>
      </c>
      <c r="N4006" t="s">
        <v>52</v>
      </c>
      <c r="O4006" t="s">
        <v>53</v>
      </c>
      <c r="P4006" t="s">
        <v>58</v>
      </c>
      <c r="R4006">
        <f>SUMIF(A4006:A9005,"C04005",I4006:I9005)</f>
        <v>8930.78</v>
      </c>
      <c r="S4006" s="1">
        <v>139531.14</v>
      </c>
      <c r="T4006">
        <f t="shared" si="450"/>
        <v>595.385333333333</v>
      </c>
      <c r="U4006">
        <f t="shared" si="456"/>
        <v>411</v>
      </c>
      <c r="V4006">
        <f t="shared" si="451"/>
        <v>34.25</v>
      </c>
      <c r="W4006">
        <f t="shared" si="454"/>
        <v>6125.11666666667</v>
      </c>
      <c r="X4006">
        <f t="shared" si="452"/>
        <v>0.0667120591047665</v>
      </c>
      <c r="AH4006" t="str">
        <f t="shared" si="455"/>
        <v>3rd Quality</v>
      </c>
      <c r="AJ4006">
        <f>((T4006-X4006)*2)/1.8</f>
        <v>661.465134749143</v>
      </c>
      <c r="AK4006">
        <f t="shared" si="453"/>
        <v>375092.76</v>
      </c>
    </row>
    <row r="4007" spans="1:37">
      <c r="A4007" t="s">
        <v>4073</v>
      </c>
      <c r="B4007">
        <v>44</v>
      </c>
      <c r="C4007" t="s">
        <v>50</v>
      </c>
      <c r="D4007" t="s">
        <v>51</v>
      </c>
      <c r="E4007">
        <v>559</v>
      </c>
      <c r="F4007">
        <v>13</v>
      </c>
      <c r="G4007">
        <v>24</v>
      </c>
      <c r="H4007">
        <v>2593.58</v>
      </c>
      <c r="I4007">
        <v>67725.69</v>
      </c>
      <c r="J4007">
        <v>150</v>
      </c>
      <c r="K4007">
        <v>1</v>
      </c>
      <c r="L4007">
        <v>5.3</v>
      </c>
      <c r="M4007">
        <v>10</v>
      </c>
      <c r="N4007" t="s">
        <v>46</v>
      </c>
      <c r="O4007" t="s">
        <v>47</v>
      </c>
      <c r="P4007" t="s">
        <v>68</v>
      </c>
      <c r="R4007">
        <f>SUMIF(A4007:A9006,"C04006",I4007:I9006)</f>
        <v>67725.69</v>
      </c>
      <c r="S4007" s="1">
        <v>74094.75</v>
      </c>
      <c r="T4007">
        <f t="shared" ref="T4007:T4070" si="457">I4007/J4007</f>
        <v>451.5046</v>
      </c>
      <c r="U4007">
        <f t="shared" si="456"/>
        <v>1500</v>
      </c>
      <c r="V4007">
        <f>U4007*1</f>
        <v>1500</v>
      </c>
      <c r="W4007">
        <f t="shared" si="454"/>
        <v>23440.09</v>
      </c>
      <c r="X4007">
        <f t="shared" si="452"/>
        <v>0.215532198736881</v>
      </c>
      <c r="AH4007" t="str">
        <f t="shared" si="455"/>
        <v>3rd Quality</v>
      </c>
      <c r="AJ4007">
        <f>((T4007-X4007)*2)/5.3</f>
        <v>170.297761434439</v>
      </c>
      <c r="AK4007">
        <f t="shared" si="453"/>
        <v>252391.0714</v>
      </c>
    </row>
    <row r="4008" spans="1:37">
      <c r="A4008" t="s">
        <v>4074</v>
      </c>
      <c r="B4008">
        <v>18</v>
      </c>
      <c r="C4008" t="s">
        <v>44</v>
      </c>
      <c r="D4008" t="s">
        <v>51</v>
      </c>
      <c r="E4008">
        <v>788</v>
      </c>
      <c r="F4008">
        <v>41</v>
      </c>
      <c r="G4008">
        <v>1</v>
      </c>
      <c r="H4008">
        <v>12291.66</v>
      </c>
      <c r="I4008">
        <v>13448.02</v>
      </c>
      <c r="J4008">
        <v>12</v>
      </c>
      <c r="K4008">
        <v>0</v>
      </c>
      <c r="L4008">
        <v>11.4</v>
      </c>
      <c r="M4008">
        <v>15.3</v>
      </c>
      <c r="N4008" t="s">
        <v>61</v>
      </c>
      <c r="O4008" t="s">
        <v>53</v>
      </c>
      <c r="P4008" t="s">
        <v>68</v>
      </c>
      <c r="R4008">
        <f>SUMIF(A4008:A9007,"C04007",I4008:I9007)</f>
        <v>13448.02</v>
      </c>
      <c r="S4008" s="1">
        <v>15189.33</v>
      </c>
      <c r="T4008">
        <f t="shared" si="457"/>
        <v>1120.66833333333</v>
      </c>
      <c r="U4008">
        <f t="shared" si="456"/>
        <v>183.6</v>
      </c>
      <c r="V4008">
        <f t="shared" si="451"/>
        <v>15.3</v>
      </c>
      <c r="W4008">
        <f t="shared" si="454"/>
        <v>8580.22666666667</v>
      </c>
      <c r="X4008">
        <f t="shared" si="452"/>
        <v>0.0641085093469881</v>
      </c>
      <c r="AH4008" t="str">
        <f t="shared" si="455"/>
        <v>2nd Quality</v>
      </c>
      <c r="AJ4008">
        <f>((T4008-X4008)*2)/11.4</f>
        <v>196.59723242526</v>
      </c>
      <c r="AK4008">
        <f t="shared" si="453"/>
        <v>883086.646666667</v>
      </c>
    </row>
    <row r="4009" spans="1:37">
      <c r="A4009" t="s">
        <v>4075</v>
      </c>
      <c r="B4009">
        <v>36</v>
      </c>
      <c r="C4009" t="s">
        <v>44</v>
      </c>
      <c r="D4009" t="s">
        <v>51</v>
      </c>
      <c r="E4009">
        <v>1308</v>
      </c>
      <c r="F4009">
        <v>7</v>
      </c>
      <c r="G4009">
        <v>23</v>
      </c>
      <c r="H4009">
        <v>6196.58</v>
      </c>
      <c r="I4009">
        <v>139531.14</v>
      </c>
      <c r="J4009">
        <v>100</v>
      </c>
      <c r="K4009">
        <v>3</v>
      </c>
      <c r="L4009">
        <v>11</v>
      </c>
      <c r="M4009">
        <v>22.5</v>
      </c>
      <c r="N4009" t="s">
        <v>61</v>
      </c>
      <c r="O4009" t="s">
        <v>75</v>
      </c>
      <c r="P4009" t="s">
        <v>68</v>
      </c>
      <c r="R4009">
        <f>SUMIF(A4009:A9008,"C04008",I4009:I9008)</f>
        <v>139531.14</v>
      </c>
      <c r="S4009" s="1">
        <v>40664.13</v>
      </c>
      <c r="T4009">
        <f t="shared" si="457"/>
        <v>1395.3114</v>
      </c>
      <c r="U4009">
        <f t="shared" si="456"/>
        <v>2250</v>
      </c>
      <c r="V4009">
        <f>U4009*3</f>
        <v>6750</v>
      </c>
      <c r="W4009">
        <f t="shared" si="454"/>
        <v>48576.24</v>
      </c>
      <c r="X4009">
        <f t="shared" si="452"/>
        <v>0.211084178692117</v>
      </c>
      <c r="AH4009" t="str">
        <f t="shared" si="455"/>
        <v>2nd Quality</v>
      </c>
      <c r="AJ4009">
        <f>((T4009-X4009)*2)/11</f>
        <v>253.654602876601</v>
      </c>
      <c r="AK4009">
        <f t="shared" si="453"/>
        <v>1825067.3112</v>
      </c>
    </row>
    <row r="4010" spans="1:37">
      <c r="A4010" t="s">
        <v>4076</v>
      </c>
      <c r="B4010">
        <v>35</v>
      </c>
      <c r="C4010" t="s">
        <v>44</v>
      </c>
      <c r="D4010" t="s">
        <v>45</v>
      </c>
      <c r="E4010">
        <v>771</v>
      </c>
      <c r="F4010">
        <v>19</v>
      </c>
      <c r="G4010">
        <v>28</v>
      </c>
      <c r="H4010">
        <v>2807.3</v>
      </c>
      <c r="I4010">
        <v>74094.75</v>
      </c>
      <c r="J4010">
        <v>212</v>
      </c>
      <c r="K4010">
        <v>0</v>
      </c>
      <c r="L4010">
        <v>6.1</v>
      </c>
      <c r="M4010">
        <v>48.8</v>
      </c>
      <c r="N4010" t="s">
        <v>57</v>
      </c>
      <c r="O4010" t="s">
        <v>47</v>
      </c>
      <c r="P4010" t="s">
        <v>58</v>
      </c>
      <c r="R4010">
        <f>SUMIF(A4010:A9009,"C04009",I4010:I9009)</f>
        <v>74094.75</v>
      </c>
      <c r="S4010" s="1">
        <v>79921</v>
      </c>
      <c r="T4010">
        <f t="shared" si="457"/>
        <v>349.503537735849</v>
      </c>
      <c r="U4010">
        <f t="shared" si="456"/>
        <v>10345.6</v>
      </c>
      <c r="V4010">
        <f t="shared" si="451"/>
        <v>862.133333333333</v>
      </c>
      <c r="W4010">
        <f t="shared" si="454"/>
        <v>25634.35</v>
      </c>
      <c r="X4010">
        <f t="shared" si="452"/>
        <v>0.27464111423788</v>
      </c>
      <c r="AH4010" t="str">
        <f t="shared" si="455"/>
        <v>2nd Quality</v>
      </c>
      <c r="AJ4010">
        <f>((T4010-X4010)*2)/6.1</f>
        <v>114.501277580856</v>
      </c>
      <c r="AK4010">
        <f t="shared" si="453"/>
        <v>269467.22759434</v>
      </c>
    </row>
    <row r="4011" spans="1:37">
      <c r="A4011" t="s">
        <v>4077</v>
      </c>
      <c r="B4011">
        <v>20</v>
      </c>
      <c r="C4011" t="s">
        <v>44</v>
      </c>
      <c r="D4011" t="s">
        <v>45</v>
      </c>
      <c r="E4011">
        <v>594</v>
      </c>
      <c r="F4011">
        <v>60</v>
      </c>
      <c r="G4011">
        <v>2</v>
      </c>
      <c r="H4011">
        <v>8334.03</v>
      </c>
      <c r="I4011">
        <v>15189.33</v>
      </c>
      <c r="J4011">
        <v>14</v>
      </c>
      <c r="K4011">
        <v>0</v>
      </c>
      <c r="L4011">
        <v>0</v>
      </c>
      <c r="M4011">
        <v>40.2</v>
      </c>
      <c r="N4011" t="s">
        <v>78</v>
      </c>
      <c r="O4011" t="s">
        <v>47</v>
      </c>
      <c r="P4011" t="s">
        <v>66</v>
      </c>
      <c r="R4011">
        <f>SUMIF(A4011:A9010,"C04010",I4011:I9010)</f>
        <v>15189.33</v>
      </c>
      <c r="S4011" s="1">
        <v>998.72</v>
      </c>
      <c r="T4011">
        <f t="shared" si="457"/>
        <v>1084.95214285714</v>
      </c>
      <c r="U4011">
        <f t="shared" si="456"/>
        <v>562.8</v>
      </c>
      <c r="V4011">
        <f t="shared" si="451"/>
        <v>46.9</v>
      </c>
      <c r="W4011">
        <f t="shared" si="454"/>
        <v>7841.45333333333</v>
      </c>
      <c r="X4011">
        <f t="shared" si="452"/>
        <v>0.0712740414901314</v>
      </c>
      <c r="AH4011" t="str">
        <f t="shared" si="455"/>
        <v>2nd Quality</v>
      </c>
      <c r="AJ4011">
        <f>((T4011-X4011)*2)</f>
        <v>2169.7617376313</v>
      </c>
      <c r="AK4011">
        <f t="shared" si="453"/>
        <v>644461.572857143</v>
      </c>
    </row>
    <row r="4012" spans="1:37">
      <c r="A4012" t="s">
        <v>4078</v>
      </c>
      <c r="B4012">
        <v>38</v>
      </c>
      <c r="C4012" t="s">
        <v>50</v>
      </c>
      <c r="D4012" t="s">
        <v>60</v>
      </c>
      <c r="E4012">
        <v>682</v>
      </c>
      <c r="F4012">
        <v>6</v>
      </c>
      <c r="G4012">
        <v>11</v>
      </c>
      <c r="H4012">
        <v>3514.44</v>
      </c>
      <c r="I4012">
        <v>40664.13</v>
      </c>
      <c r="J4012">
        <v>49</v>
      </c>
      <c r="K4012">
        <v>1</v>
      </c>
      <c r="L4012">
        <v>11.5</v>
      </c>
      <c r="M4012">
        <v>9.1</v>
      </c>
      <c r="N4012" t="s">
        <v>61</v>
      </c>
      <c r="O4012" t="s">
        <v>47</v>
      </c>
      <c r="P4012" t="s">
        <v>48</v>
      </c>
      <c r="R4012">
        <f>SUMIF(A4012:A9011,"C04011",I4012:I9011)</f>
        <v>40664.13</v>
      </c>
      <c r="S4012" s="1">
        <v>164842.16</v>
      </c>
      <c r="T4012">
        <f t="shared" si="457"/>
        <v>829.880204081633</v>
      </c>
      <c r="U4012">
        <f t="shared" si="456"/>
        <v>445.9</v>
      </c>
      <c r="V4012">
        <f>U4012*1</f>
        <v>445.9</v>
      </c>
      <c r="W4012">
        <f t="shared" si="454"/>
        <v>14726.5233333333</v>
      </c>
      <c r="X4012">
        <f t="shared" si="452"/>
        <v>0.194056521095822</v>
      </c>
      <c r="AH4012" t="str">
        <f t="shared" si="455"/>
        <v>2nd Quality</v>
      </c>
      <c r="AJ4012">
        <f>((T4012-X4012)*2)/11.5</f>
        <v>144.293243054006</v>
      </c>
      <c r="AK4012">
        <f t="shared" si="453"/>
        <v>565978.299183673</v>
      </c>
    </row>
    <row r="4013" spans="1:37">
      <c r="A4013" t="s">
        <v>4079</v>
      </c>
      <c r="B4013">
        <v>47</v>
      </c>
      <c r="C4013" t="s">
        <v>50</v>
      </c>
      <c r="D4013" t="s">
        <v>60</v>
      </c>
      <c r="E4013">
        <v>662</v>
      </c>
      <c r="F4013">
        <v>14</v>
      </c>
      <c r="G4013">
        <v>30</v>
      </c>
      <c r="H4013">
        <v>2441.87</v>
      </c>
      <c r="I4013">
        <v>79921</v>
      </c>
      <c r="J4013">
        <v>154</v>
      </c>
      <c r="K4013">
        <v>4</v>
      </c>
      <c r="L4013">
        <v>0</v>
      </c>
      <c r="M4013">
        <v>59.3</v>
      </c>
      <c r="N4013" t="s">
        <v>61</v>
      </c>
      <c r="O4013" t="s">
        <v>75</v>
      </c>
      <c r="P4013" t="s">
        <v>68</v>
      </c>
      <c r="R4013">
        <f>SUMIF(A4013:A9012,"C04012",I4013:I9012)</f>
        <v>79921</v>
      </c>
      <c r="S4013" s="1">
        <v>8754.26</v>
      </c>
      <c r="T4013">
        <f t="shared" si="457"/>
        <v>518.967532467532</v>
      </c>
      <c r="U4013">
        <f t="shared" si="456"/>
        <v>9132.2</v>
      </c>
      <c r="V4013">
        <f>U4013*4</f>
        <v>36528.8</v>
      </c>
      <c r="W4013">
        <f t="shared" si="454"/>
        <v>27454.6233333333</v>
      </c>
      <c r="X4013">
        <f t="shared" si="452"/>
        <v>0.271103703309349</v>
      </c>
      <c r="AH4013" t="str">
        <f t="shared" si="455"/>
        <v>3rd Quality</v>
      </c>
      <c r="AJ4013">
        <f>((T4013-X4013)*2)</f>
        <v>1037.39285752845</v>
      </c>
      <c r="AK4013">
        <f t="shared" si="453"/>
        <v>343556.506493506</v>
      </c>
    </row>
    <row r="4014" spans="1:37">
      <c r="A4014" t="s">
        <v>4080</v>
      </c>
      <c r="B4014">
        <v>30</v>
      </c>
      <c r="C4014" t="s">
        <v>50</v>
      </c>
      <c r="D4014" t="s">
        <v>45</v>
      </c>
      <c r="E4014">
        <v>950</v>
      </c>
      <c r="F4014">
        <v>17</v>
      </c>
      <c r="G4014">
        <v>1</v>
      </c>
      <c r="H4014">
        <v>1020.49</v>
      </c>
      <c r="I4014">
        <v>998.72</v>
      </c>
      <c r="J4014">
        <v>15</v>
      </c>
      <c r="K4014">
        <v>0</v>
      </c>
      <c r="L4014">
        <v>27.2</v>
      </c>
      <c r="M4014">
        <v>35.6</v>
      </c>
      <c r="N4014" t="s">
        <v>52</v>
      </c>
      <c r="O4014" t="s">
        <v>47</v>
      </c>
      <c r="P4014" t="s">
        <v>58</v>
      </c>
      <c r="R4014">
        <f>SUMIF(A4014:A9013,"C04013",I4014:I9013)</f>
        <v>998.72</v>
      </c>
      <c r="S4014" s="1">
        <v>32567.74</v>
      </c>
      <c r="T4014">
        <f t="shared" si="457"/>
        <v>66.5813333333333</v>
      </c>
      <c r="U4014">
        <f t="shared" si="456"/>
        <v>534</v>
      </c>
      <c r="V4014">
        <f t="shared" si="451"/>
        <v>44.5</v>
      </c>
      <c r="W4014">
        <f t="shared" si="454"/>
        <v>673.403333333333</v>
      </c>
      <c r="X4014">
        <f t="shared" si="452"/>
        <v>0.930925339787749</v>
      </c>
      <c r="AH4014" t="str">
        <f t="shared" si="455"/>
        <v>3rd Quality</v>
      </c>
      <c r="AJ4014">
        <f>((T4014-X4014)*2)/27.2</f>
        <v>4.82723588187835</v>
      </c>
      <c r="AK4014">
        <f t="shared" si="453"/>
        <v>63252.2666666667</v>
      </c>
    </row>
    <row r="4015" spans="1:37">
      <c r="A4015" t="s">
        <v>4081</v>
      </c>
      <c r="B4015">
        <v>39</v>
      </c>
      <c r="C4015" t="s">
        <v>44</v>
      </c>
      <c r="D4015" t="s">
        <v>45</v>
      </c>
      <c r="E4015">
        <v>1101</v>
      </c>
      <c r="F4015">
        <v>8</v>
      </c>
      <c r="G4015">
        <v>28</v>
      </c>
      <c r="H4015">
        <v>5401.24</v>
      </c>
      <c r="I4015">
        <v>164842.16</v>
      </c>
      <c r="J4015">
        <v>232</v>
      </c>
      <c r="K4015">
        <v>2</v>
      </c>
      <c r="L4015">
        <v>7.5</v>
      </c>
      <c r="M4015">
        <v>40.6</v>
      </c>
      <c r="N4015" t="s">
        <v>61</v>
      </c>
      <c r="O4015" t="s">
        <v>53</v>
      </c>
      <c r="P4015" t="s">
        <v>66</v>
      </c>
      <c r="R4015">
        <f>SUMIF(A4015:A9014,"C04014",I4015:I9014)</f>
        <v>164842.16</v>
      </c>
      <c r="S4015" s="1">
        <v>36857.88</v>
      </c>
      <c r="T4015">
        <f t="shared" si="457"/>
        <v>710.526551724138</v>
      </c>
      <c r="U4015">
        <f t="shared" si="456"/>
        <v>9419.2</v>
      </c>
      <c r="V4015">
        <f>U4015*2</f>
        <v>18838.4</v>
      </c>
      <c r="W4015">
        <f t="shared" si="454"/>
        <v>56748.1333333333</v>
      </c>
      <c r="X4015">
        <f t="shared" si="452"/>
        <v>0.203842080707393</v>
      </c>
      <c r="AH4015" t="str">
        <f t="shared" si="455"/>
        <v>2nd Quality</v>
      </c>
      <c r="AJ4015">
        <f>((T4015-X4015)*2)/7.5</f>
        <v>189.419389238248</v>
      </c>
      <c r="AK4015">
        <f t="shared" si="453"/>
        <v>782289.733448276</v>
      </c>
    </row>
    <row r="4016" spans="1:37">
      <c r="A4016" t="s">
        <v>4082</v>
      </c>
      <c r="B4016">
        <v>29</v>
      </c>
      <c r="C4016" t="s">
        <v>44</v>
      </c>
      <c r="D4016" t="s">
        <v>60</v>
      </c>
      <c r="E4016">
        <v>669</v>
      </c>
      <c r="F4016">
        <v>105</v>
      </c>
      <c r="G4016">
        <v>1</v>
      </c>
      <c r="H4016">
        <v>9318.96</v>
      </c>
      <c r="I4016">
        <v>8754.26</v>
      </c>
      <c r="J4016">
        <v>12</v>
      </c>
      <c r="K4016">
        <v>0</v>
      </c>
      <c r="L4016">
        <v>0</v>
      </c>
      <c r="M4016">
        <v>34.1</v>
      </c>
      <c r="N4016" t="s">
        <v>61</v>
      </c>
      <c r="O4016" t="s">
        <v>47</v>
      </c>
      <c r="P4016" t="s">
        <v>68</v>
      </c>
      <c r="R4016">
        <f>SUMIF(A4016:A9015,"C04015",I4016:I9015)</f>
        <v>8754.26</v>
      </c>
      <c r="S4016" s="1">
        <v>7237.18</v>
      </c>
      <c r="T4016">
        <f t="shared" si="457"/>
        <v>729.521666666667</v>
      </c>
      <c r="U4016">
        <f t="shared" si="456"/>
        <v>409.2</v>
      </c>
      <c r="V4016">
        <f t="shared" si="451"/>
        <v>34.1</v>
      </c>
      <c r="W4016">
        <f t="shared" si="454"/>
        <v>6024.74</v>
      </c>
      <c r="X4016">
        <f t="shared" si="452"/>
        <v>0.0717891266836643</v>
      </c>
      <c r="AH4016" t="str">
        <f t="shared" si="455"/>
        <v>3rd Quality</v>
      </c>
      <c r="AJ4016">
        <f>((T4016-X4016)*2)</f>
        <v>1458.89975507997</v>
      </c>
      <c r="AK4016">
        <f t="shared" si="453"/>
        <v>488049.995</v>
      </c>
    </row>
    <row r="4017" spans="1:37">
      <c r="A4017" t="s">
        <v>4083</v>
      </c>
      <c r="B4017">
        <v>37</v>
      </c>
      <c r="C4017" t="s">
        <v>56</v>
      </c>
      <c r="D4017" t="s">
        <v>45</v>
      </c>
      <c r="E4017">
        <v>733</v>
      </c>
      <c r="F4017">
        <v>40</v>
      </c>
      <c r="G4017">
        <v>3</v>
      </c>
      <c r="H4017">
        <v>10579.87</v>
      </c>
      <c r="I4017">
        <v>32567.74</v>
      </c>
      <c r="J4017">
        <v>21</v>
      </c>
      <c r="K4017">
        <v>0</v>
      </c>
      <c r="L4017">
        <v>11.3</v>
      </c>
      <c r="M4017">
        <v>27.6</v>
      </c>
      <c r="N4017" t="s">
        <v>61</v>
      </c>
      <c r="O4017" t="s">
        <v>47</v>
      </c>
      <c r="P4017" t="s">
        <v>58</v>
      </c>
      <c r="R4017">
        <f>SUMIF(A4017:A9016,"C04016",I4017:I9016)</f>
        <v>32567.74</v>
      </c>
      <c r="S4017" s="1">
        <v>70605.7</v>
      </c>
      <c r="T4017">
        <f t="shared" si="457"/>
        <v>1550.84476190476</v>
      </c>
      <c r="U4017">
        <f t="shared" si="456"/>
        <v>579.6</v>
      </c>
      <c r="V4017">
        <f t="shared" si="451"/>
        <v>48.3</v>
      </c>
      <c r="W4017">
        <f t="shared" si="454"/>
        <v>14382.87</v>
      </c>
      <c r="X4017">
        <f t="shared" si="452"/>
        <v>0.069282514813509</v>
      </c>
      <c r="AH4017" t="str">
        <f t="shared" si="455"/>
        <v>2nd Quality</v>
      </c>
      <c r="AJ4017">
        <f>((T4017-X4017)*2)/11.3</f>
        <v>274.473536175212</v>
      </c>
      <c r="AK4017">
        <f t="shared" si="453"/>
        <v>1136769.21047619</v>
      </c>
    </row>
    <row r="4018" spans="1:37">
      <c r="A4018" t="s">
        <v>4084</v>
      </c>
      <c r="B4018">
        <v>18</v>
      </c>
      <c r="C4018" t="s">
        <v>44</v>
      </c>
      <c r="D4018" t="s">
        <v>45</v>
      </c>
      <c r="E4018">
        <v>902</v>
      </c>
      <c r="F4018">
        <v>19</v>
      </c>
      <c r="G4018">
        <v>13</v>
      </c>
      <c r="H4018">
        <v>3152.13</v>
      </c>
      <c r="I4018">
        <v>36857.88</v>
      </c>
      <c r="J4018">
        <v>83</v>
      </c>
      <c r="K4018">
        <v>0</v>
      </c>
      <c r="L4018">
        <v>16.5</v>
      </c>
      <c r="M4018">
        <v>17.9</v>
      </c>
      <c r="N4018" t="s">
        <v>63</v>
      </c>
      <c r="O4018" t="s">
        <v>75</v>
      </c>
      <c r="P4018" t="s">
        <v>58</v>
      </c>
      <c r="R4018">
        <f>SUMIF(A4018:A9017,"C04017",I4018:I9017)</f>
        <v>36857.88</v>
      </c>
      <c r="S4018" s="1">
        <v>2748.91</v>
      </c>
      <c r="T4018">
        <f t="shared" si="457"/>
        <v>444.070843373494</v>
      </c>
      <c r="U4018">
        <f t="shared" si="456"/>
        <v>1485.7</v>
      </c>
      <c r="V4018">
        <f t="shared" si="451"/>
        <v>123.808333333333</v>
      </c>
      <c r="W4018">
        <f t="shared" si="454"/>
        <v>13337.0033333333</v>
      </c>
      <c r="X4018">
        <f t="shared" si="452"/>
        <v>0.286155710583003</v>
      </c>
      <c r="AH4018" t="str">
        <f t="shared" si="455"/>
        <v>2nd Quality</v>
      </c>
      <c r="AJ4018">
        <f>((T4018-X4018)*2)/16.5</f>
        <v>53.7920833530801</v>
      </c>
      <c r="AK4018">
        <f t="shared" si="453"/>
        <v>400551.900722892</v>
      </c>
    </row>
    <row r="4019" spans="1:37">
      <c r="A4019" t="s">
        <v>4085</v>
      </c>
      <c r="B4019">
        <v>25</v>
      </c>
      <c r="C4019" t="s">
        <v>44</v>
      </c>
      <c r="D4019" t="s">
        <v>60</v>
      </c>
      <c r="E4019">
        <v>707</v>
      </c>
      <c r="F4019">
        <v>52</v>
      </c>
      <c r="G4019">
        <v>9</v>
      </c>
      <c r="H4019">
        <v>792.13</v>
      </c>
      <c r="I4019">
        <v>7237.18</v>
      </c>
      <c r="J4019">
        <v>59</v>
      </c>
      <c r="K4019">
        <v>0</v>
      </c>
      <c r="L4019">
        <v>16.7</v>
      </c>
      <c r="M4019">
        <v>43.8</v>
      </c>
      <c r="N4019" t="s">
        <v>46</v>
      </c>
      <c r="O4019" t="s">
        <v>47</v>
      </c>
      <c r="P4019" t="s">
        <v>54</v>
      </c>
      <c r="R4019">
        <f>SUMIF(A4019:A9018,"C04018",I4019:I9018)</f>
        <v>7237.18</v>
      </c>
      <c r="S4019" s="1">
        <v>17995.74</v>
      </c>
      <c r="T4019">
        <f t="shared" si="457"/>
        <v>122.66406779661</v>
      </c>
      <c r="U4019">
        <f t="shared" si="456"/>
        <v>2584.2</v>
      </c>
      <c r="V4019">
        <f t="shared" si="451"/>
        <v>215.35</v>
      </c>
      <c r="W4019">
        <f t="shared" si="454"/>
        <v>2676.77</v>
      </c>
      <c r="X4019">
        <f t="shared" si="452"/>
        <v>0.892530266496661</v>
      </c>
      <c r="AH4019" t="str">
        <f t="shared" si="455"/>
        <v>3rd Quality</v>
      </c>
      <c r="AJ4019">
        <f>((T4019-X4019)*2)/16.7</f>
        <v>14.583417668277</v>
      </c>
      <c r="AK4019">
        <f t="shared" si="453"/>
        <v>86723.4959322034</v>
      </c>
    </row>
    <row r="4020" spans="1:37">
      <c r="A4020" t="s">
        <v>4086</v>
      </c>
      <c r="B4020">
        <v>25</v>
      </c>
      <c r="C4020" t="s">
        <v>50</v>
      </c>
      <c r="D4020" t="s">
        <v>45</v>
      </c>
      <c r="E4020">
        <v>864</v>
      </c>
      <c r="F4020">
        <v>5</v>
      </c>
      <c r="G4020">
        <v>23</v>
      </c>
      <c r="H4020">
        <v>2970.93</v>
      </c>
      <c r="I4020">
        <v>70605.7</v>
      </c>
      <c r="J4020">
        <v>78</v>
      </c>
      <c r="K4020">
        <v>1</v>
      </c>
      <c r="L4020">
        <v>17.3</v>
      </c>
      <c r="M4020">
        <v>76.1</v>
      </c>
      <c r="N4020" t="s">
        <v>46</v>
      </c>
      <c r="O4020" t="s">
        <v>47</v>
      </c>
      <c r="P4020" t="s">
        <v>58</v>
      </c>
      <c r="R4020">
        <f>SUMIF(A4020:A9019,"C04019",I4020:I9019)</f>
        <v>70605.7</v>
      </c>
      <c r="S4020" s="1">
        <v>42142.56</v>
      </c>
      <c r="T4020">
        <f t="shared" si="457"/>
        <v>905.201282051282</v>
      </c>
      <c r="U4020">
        <f t="shared" si="456"/>
        <v>5935.8</v>
      </c>
      <c r="V4020">
        <f>U4020*1</f>
        <v>5935.8</v>
      </c>
      <c r="W4020">
        <f t="shared" si="454"/>
        <v>24525.8766666667</v>
      </c>
      <c r="X4020">
        <f t="shared" si="452"/>
        <v>0.290818026678515</v>
      </c>
      <c r="AH4020" t="str">
        <f t="shared" si="455"/>
        <v>2nd Quality</v>
      </c>
      <c r="AJ4020">
        <f>((T4020-X4020)*2)/17.3</f>
        <v>104.613926476833</v>
      </c>
      <c r="AK4020">
        <f t="shared" si="453"/>
        <v>782093.907692308</v>
      </c>
    </row>
    <row r="4021" spans="1:37">
      <c r="A4021" t="s">
        <v>4087</v>
      </c>
      <c r="B4021">
        <v>31</v>
      </c>
      <c r="C4021" t="s">
        <v>50</v>
      </c>
      <c r="D4021" t="s">
        <v>60</v>
      </c>
      <c r="E4021">
        <v>438</v>
      </c>
      <c r="F4021">
        <v>105</v>
      </c>
      <c r="G4021">
        <v>5</v>
      </c>
      <c r="H4021">
        <v>531.37</v>
      </c>
      <c r="I4021">
        <v>2748.91</v>
      </c>
      <c r="J4021">
        <v>33</v>
      </c>
      <c r="K4021">
        <v>1</v>
      </c>
      <c r="L4021">
        <v>34.2</v>
      </c>
      <c r="M4021">
        <v>11</v>
      </c>
      <c r="N4021" t="s">
        <v>61</v>
      </c>
      <c r="O4021" t="s">
        <v>53</v>
      </c>
      <c r="P4021" t="s">
        <v>58</v>
      </c>
      <c r="R4021">
        <f>SUMIF(A4021:A9020,"C04020",I4021:I9020)</f>
        <v>2748.91</v>
      </c>
      <c r="S4021" s="1">
        <v>7366.92</v>
      </c>
      <c r="T4021">
        <f t="shared" si="457"/>
        <v>83.300303030303</v>
      </c>
      <c r="U4021">
        <f t="shared" si="456"/>
        <v>363</v>
      </c>
      <c r="V4021">
        <f>U4021*1</f>
        <v>363</v>
      </c>
      <c r="W4021">
        <f t="shared" si="454"/>
        <v>1093.76</v>
      </c>
      <c r="X4021">
        <f t="shared" si="452"/>
        <v>0.824284396936221</v>
      </c>
      <c r="AH4021" t="str">
        <f t="shared" si="455"/>
        <v>3rd Quality</v>
      </c>
      <c r="AJ4021">
        <f>((T4021-X4021)*2)/34.2</f>
        <v>4.82315898440741</v>
      </c>
      <c r="AK4021">
        <f t="shared" si="453"/>
        <v>36485.5327272727</v>
      </c>
    </row>
    <row r="4022" spans="1:37">
      <c r="A4022" t="s">
        <v>4088</v>
      </c>
      <c r="B4022">
        <v>22</v>
      </c>
      <c r="C4022" t="s">
        <v>44</v>
      </c>
      <c r="D4022" t="s">
        <v>51</v>
      </c>
      <c r="E4022">
        <v>785</v>
      </c>
      <c r="F4022">
        <v>14</v>
      </c>
      <c r="G4022">
        <v>11</v>
      </c>
      <c r="H4022">
        <v>1533.38</v>
      </c>
      <c r="I4022">
        <v>17995.74</v>
      </c>
      <c r="J4022">
        <v>96</v>
      </c>
      <c r="K4022">
        <v>2</v>
      </c>
      <c r="L4022">
        <v>23.3</v>
      </c>
      <c r="M4022">
        <v>39</v>
      </c>
      <c r="N4022" t="s">
        <v>81</v>
      </c>
      <c r="O4022" t="s">
        <v>53</v>
      </c>
      <c r="P4022" t="s">
        <v>58</v>
      </c>
      <c r="R4022">
        <f>SUMIF(A4022:A9021,"C04021",I4022:I9021)</f>
        <v>17995.74</v>
      </c>
      <c r="S4022" s="1">
        <v>4698.92</v>
      </c>
      <c r="T4022">
        <f t="shared" si="457"/>
        <v>187.455625</v>
      </c>
      <c r="U4022">
        <f t="shared" si="456"/>
        <v>3744</v>
      </c>
      <c r="V4022">
        <f>U4022*2</f>
        <v>7488</v>
      </c>
      <c r="W4022">
        <f t="shared" si="454"/>
        <v>6510.04</v>
      </c>
      <c r="X4022">
        <f t="shared" si="452"/>
        <v>0.511940940927885</v>
      </c>
      <c r="AH4022" t="str">
        <f t="shared" si="455"/>
        <v>2nd Quality</v>
      </c>
      <c r="AJ4022">
        <f>((T4022-X4022)*2)/23.3</f>
        <v>16.046668159577</v>
      </c>
      <c r="AK4022">
        <f t="shared" si="453"/>
        <v>147152.665625</v>
      </c>
    </row>
    <row r="4023" spans="1:37">
      <c r="A4023" t="s">
        <v>4089</v>
      </c>
      <c r="B4023">
        <v>42</v>
      </c>
      <c r="C4023" t="s">
        <v>44</v>
      </c>
      <c r="D4023" t="s">
        <v>60</v>
      </c>
      <c r="E4023">
        <v>1264</v>
      </c>
      <c r="F4023">
        <v>6</v>
      </c>
      <c r="G4023">
        <v>18</v>
      </c>
      <c r="H4023">
        <v>2593.5</v>
      </c>
      <c r="I4023">
        <v>42142.56</v>
      </c>
      <c r="J4023">
        <v>40</v>
      </c>
      <c r="K4023">
        <v>0</v>
      </c>
      <c r="L4023">
        <v>5.1</v>
      </c>
      <c r="M4023">
        <v>19.6</v>
      </c>
      <c r="N4023" t="s">
        <v>57</v>
      </c>
      <c r="O4023" t="s">
        <v>47</v>
      </c>
      <c r="P4023" t="s">
        <v>58</v>
      </c>
      <c r="R4023">
        <f>SUMIF(A4023:A9022,"C04022",I4023:I9022)</f>
        <v>42142.56</v>
      </c>
      <c r="S4023" s="1">
        <v>3488.79</v>
      </c>
      <c r="T4023">
        <f t="shared" si="457"/>
        <v>1053.564</v>
      </c>
      <c r="U4023">
        <f t="shared" si="456"/>
        <v>784</v>
      </c>
      <c r="V4023">
        <f t="shared" ref="V4022:V4085" si="458">U4023/12</f>
        <v>65.3333333333333</v>
      </c>
      <c r="W4023">
        <f t="shared" si="454"/>
        <v>14912.3533333333</v>
      </c>
      <c r="X4023">
        <f t="shared" si="452"/>
        <v>0.487372276845961</v>
      </c>
      <c r="AH4023" t="str">
        <f t="shared" si="455"/>
        <v>2nd Quality</v>
      </c>
      <c r="AJ4023">
        <f>((T4023-X4023)*2)/5.1</f>
        <v>412.9712265581</v>
      </c>
      <c r="AK4023">
        <f t="shared" si="453"/>
        <v>1331704.896</v>
      </c>
    </row>
    <row r="4024" spans="1:37">
      <c r="A4024" t="s">
        <v>4090</v>
      </c>
      <c r="B4024">
        <v>47</v>
      </c>
      <c r="C4024" t="s">
        <v>44</v>
      </c>
      <c r="D4024" t="s">
        <v>45</v>
      </c>
      <c r="E4024">
        <v>847</v>
      </c>
      <c r="F4024">
        <v>68</v>
      </c>
      <c r="G4024">
        <v>9</v>
      </c>
      <c r="H4024">
        <v>864.49</v>
      </c>
      <c r="I4024">
        <v>7366.92</v>
      </c>
      <c r="J4024">
        <v>71</v>
      </c>
      <c r="K4024">
        <v>0</v>
      </c>
      <c r="L4024">
        <v>23.6</v>
      </c>
      <c r="M4024">
        <v>30.4</v>
      </c>
      <c r="N4024" t="s">
        <v>63</v>
      </c>
      <c r="O4024" t="s">
        <v>53</v>
      </c>
      <c r="P4024" t="s">
        <v>68</v>
      </c>
      <c r="R4024">
        <f>SUMIF(A4024:A9023,"C04023",I4024:I9023)</f>
        <v>7366.92</v>
      </c>
      <c r="S4024" s="1">
        <v>1170.52</v>
      </c>
      <c r="T4024">
        <f t="shared" si="457"/>
        <v>103.759436619718</v>
      </c>
      <c r="U4024">
        <f t="shared" si="456"/>
        <v>2158.4</v>
      </c>
      <c r="V4024">
        <f t="shared" si="458"/>
        <v>179.866666666667</v>
      </c>
      <c r="W4024">
        <f t="shared" si="454"/>
        <v>2744.13666666667</v>
      </c>
      <c r="X4024">
        <f t="shared" ref="X4024:X4087" si="459">E4024/H4024</f>
        <v>0.979768418373839</v>
      </c>
      <c r="AH4024" t="str">
        <f t="shared" si="455"/>
        <v>3rd Quality</v>
      </c>
      <c r="AJ4024">
        <f>((T4024-X4024)*2)/23.6</f>
        <v>8.71014137299527</v>
      </c>
      <c r="AK4024">
        <f t="shared" si="453"/>
        <v>87884.2428169014</v>
      </c>
    </row>
    <row r="4025" spans="1:37">
      <c r="A4025" t="s">
        <v>4091</v>
      </c>
      <c r="B4025">
        <v>39</v>
      </c>
      <c r="C4025" t="s">
        <v>44</v>
      </c>
      <c r="D4025" t="s">
        <v>60</v>
      </c>
      <c r="E4025">
        <v>871</v>
      </c>
      <c r="F4025">
        <v>365</v>
      </c>
      <c r="G4025">
        <v>2</v>
      </c>
      <c r="H4025">
        <v>2245.42</v>
      </c>
      <c r="I4025">
        <v>4698.92</v>
      </c>
      <c r="J4025">
        <v>11</v>
      </c>
      <c r="K4025">
        <v>0</v>
      </c>
      <c r="L4025">
        <v>21.1</v>
      </c>
      <c r="M4025">
        <v>46.7</v>
      </c>
      <c r="N4025" t="s">
        <v>57</v>
      </c>
      <c r="O4025" t="s">
        <v>47</v>
      </c>
      <c r="P4025" t="s">
        <v>58</v>
      </c>
      <c r="R4025">
        <f>SUMIF(A4025:A9024,"C04024",I4025:I9024)</f>
        <v>4698.92</v>
      </c>
      <c r="S4025" s="1">
        <v>19366.48</v>
      </c>
      <c r="T4025">
        <f t="shared" si="457"/>
        <v>427.174545454545</v>
      </c>
      <c r="U4025">
        <f t="shared" si="456"/>
        <v>513.7</v>
      </c>
      <c r="V4025">
        <f t="shared" si="458"/>
        <v>42.8083333333333</v>
      </c>
      <c r="W4025">
        <f t="shared" si="454"/>
        <v>2315.11333333333</v>
      </c>
      <c r="X4025">
        <f t="shared" si="459"/>
        <v>0.387900704545252</v>
      </c>
      <c r="AH4025" t="str">
        <f t="shared" si="455"/>
        <v>3rd Quality</v>
      </c>
      <c r="AJ4025">
        <f>((T4025-X4025)*2)/21.1</f>
        <v>40.4537104028436</v>
      </c>
      <c r="AK4025">
        <f t="shared" si="453"/>
        <v>372069.029090909</v>
      </c>
    </row>
    <row r="4026" spans="1:37">
      <c r="A4026" t="s">
        <v>4092</v>
      </c>
      <c r="B4026">
        <v>37</v>
      </c>
      <c r="C4026" t="s">
        <v>44</v>
      </c>
      <c r="D4026" t="s">
        <v>60</v>
      </c>
      <c r="E4026">
        <v>1027</v>
      </c>
      <c r="F4026">
        <v>105</v>
      </c>
      <c r="G4026">
        <v>4</v>
      </c>
      <c r="H4026">
        <v>853.34</v>
      </c>
      <c r="I4026">
        <v>3488.79</v>
      </c>
      <c r="J4026">
        <v>32</v>
      </c>
      <c r="K4026">
        <v>0</v>
      </c>
      <c r="L4026">
        <v>30.8</v>
      </c>
      <c r="M4026">
        <v>53.7</v>
      </c>
      <c r="N4026" t="s">
        <v>46</v>
      </c>
      <c r="O4026" t="s">
        <v>47</v>
      </c>
      <c r="P4026" t="s">
        <v>66</v>
      </c>
      <c r="R4026">
        <f>SUMIF(A4026:A9025,"C04025",I4026:I9025)</f>
        <v>3488.79</v>
      </c>
      <c r="S4026" s="1">
        <v>1826.87</v>
      </c>
      <c r="T4026">
        <f t="shared" si="457"/>
        <v>109.0246875</v>
      </c>
      <c r="U4026">
        <f t="shared" si="456"/>
        <v>1718.4</v>
      </c>
      <c r="V4026">
        <f t="shared" si="458"/>
        <v>143.2</v>
      </c>
      <c r="W4026">
        <f t="shared" si="454"/>
        <v>1447.71</v>
      </c>
      <c r="X4026">
        <f t="shared" si="459"/>
        <v>1.20350622260764</v>
      </c>
      <c r="AH4026" t="str">
        <f t="shared" si="455"/>
        <v>3rd Quality</v>
      </c>
      <c r="AJ4026">
        <f>((T4026-X4026)*2)/30.8</f>
        <v>7.00137540762288</v>
      </c>
      <c r="AK4026">
        <f t="shared" si="453"/>
        <v>111968.3540625</v>
      </c>
    </row>
    <row r="4027" spans="1:37">
      <c r="A4027" t="s">
        <v>4093</v>
      </c>
      <c r="B4027">
        <v>35</v>
      </c>
      <c r="C4027" t="s">
        <v>44</v>
      </c>
      <c r="D4027" t="s">
        <v>45</v>
      </c>
      <c r="E4027">
        <v>798</v>
      </c>
      <c r="F4027">
        <v>328</v>
      </c>
      <c r="G4027">
        <v>1</v>
      </c>
      <c r="H4027">
        <v>1056.55</v>
      </c>
      <c r="I4027">
        <v>1170.52</v>
      </c>
      <c r="J4027">
        <v>15</v>
      </c>
      <c r="K4027">
        <v>0</v>
      </c>
      <c r="L4027">
        <v>25.5</v>
      </c>
      <c r="M4027">
        <v>12.5</v>
      </c>
      <c r="N4027" t="s">
        <v>57</v>
      </c>
      <c r="O4027" t="s">
        <v>75</v>
      </c>
      <c r="P4027" t="s">
        <v>48</v>
      </c>
      <c r="R4027">
        <f>SUMIF(A4027:A9026,"C04026",I4027:I9026)</f>
        <v>1170.52</v>
      </c>
      <c r="S4027" s="1">
        <v>4327.71</v>
      </c>
      <c r="T4027">
        <f t="shared" si="457"/>
        <v>78.0346666666667</v>
      </c>
      <c r="U4027">
        <f t="shared" si="456"/>
        <v>187.5</v>
      </c>
      <c r="V4027">
        <f t="shared" si="458"/>
        <v>15.625</v>
      </c>
      <c r="W4027">
        <f t="shared" si="454"/>
        <v>742.69</v>
      </c>
      <c r="X4027">
        <f t="shared" si="459"/>
        <v>0.755288438786617</v>
      </c>
      <c r="AH4027" t="str">
        <f t="shared" si="455"/>
        <v>3rd Quality</v>
      </c>
      <c r="AJ4027">
        <f>((T4027-X4027)*2)/25.5</f>
        <v>6.06112770414746</v>
      </c>
      <c r="AK4027">
        <f t="shared" si="453"/>
        <v>62271.664</v>
      </c>
    </row>
    <row r="4028" spans="1:37">
      <c r="A4028" t="s">
        <v>4094</v>
      </c>
      <c r="B4028">
        <v>47</v>
      </c>
      <c r="C4028" t="s">
        <v>44</v>
      </c>
      <c r="D4028" t="s">
        <v>45</v>
      </c>
      <c r="E4028">
        <v>829</v>
      </c>
      <c r="F4028">
        <v>17</v>
      </c>
      <c r="G4028">
        <v>3</v>
      </c>
      <c r="H4028">
        <v>6043.32</v>
      </c>
      <c r="I4028">
        <v>19366.48</v>
      </c>
      <c r="J4028">
        <v>16</v>
      </c>
      <c r="K4028">
        <v>0</v>
      </c>
      <c r="L4028">
        <v>0</v>
      </c>
      <c r="M4028">
        <v>49.1</v>
      </c>
      <c r="N4028" t="s">
        <v>52</v>
      </c>
      <c r="O4028" t="s">
        <v>47</v>
      </c>
      <c r="P4028" t="s">
        <v>66</v>
      </c>
      <c r="R4028">
        <f>SUMIF(A4028:A9027,"C04027",I4028:I9027)</f>
        <v>19366.48</v>
      </c>
      <c r="S4028" s="1">
        <v>1924.53</v>
      </c>
      <c r="T4028">
        <f t="shared" si="457"/>
        <v>1210.405</v>
      </c>
      <c r="U4028">
        <f t="shared" si="456"/>
        <v>785.6</v>
      </c>
      <c r="V4028">
        <f t="shared" si="458"/>
        <v>65.4666666666667</v>
      </c>
      <c r="W4028">
        <f t="shared" si="454"/>
        <v>8470.26666666667</v>
      </c>
      <c r="X4028">
        <f t="shared" si="459"/>
        <v>0.137176254111978</v>
      </c>
      <c r="AH4028" t="str">
        <f t="shared" si="455"/>
        <v>3rd Quality</v>
      </c>
      <c r="AJ4028">
        <f>((T4028-X4028)*2)</f>
        <v>2420.53564749178</v>
      </c>
      <c r="AK4028">
        <f t="shared" si="453"/>
        <v>1003425.745</v>
      </c>
    </row>
    <row r="4029" spans="1:37">
      <c r="A4029" t="s">
        <v>4095</v>
      </c>
      <c r="B4029">
        <v>20</v>
      </c>
      <c r="C4029" t="s">
        <v>50</v>
      </c>
      <c r="D4029" t="s">
        <v>60</v>
      </c>
      <c r="E4029">
        <v>637</v>
      </c>
      <c r="F4029">
        <v>34</v>
      </c>
      <c r="G4029">
        <v>2</v>
      </c>
      <c r="H4029">
        <v>919.84</v>
      </c>
      <c r="I4029">
        <v>1826.87</v>
      </c>
      <c r="J4029">
        <v>20</v>
      </c>
      <c r="K4029">
        <v>0</v>
      </c>
      <c r="L4029">
        <v>27.2</v>
      </c>
      <c r="M4029">
        <v>38.1</v>
      </c>
      <c r="N4029" t="s">
        <v>57</v>
      </c>
      <c r="O4029" t="s">
        <v>47</v>
      </c>
      <c r="P4029" t="s">
        <v>58</v>
      </c>
      <c r="R4029">
        <f>SUMIF(A4029:A9028,"C04028",I4029:I9028)</f>
        <v>1826.87</v>
      </c>
      <c r="S4029" s="1">
        <v>27894.31</v>
      </c>
      <c r="T4029">
        <f t="shared" si="457"/>
        <v>91.3435</v>
      </c>
      <c r="U4029">
        <f t="shared" si="456"/>
        <v>762</v>
      </c>
      <c r="V4029">
        <f t="shared" si="458"/>
        <v>63.5</v>
      </c>
      <c r="W4029">
        <f t="shared" si="454"/>
        <v>915.903333333333</v>
      </c>
      <c r="X4029">
        <f t="shared" si="459"/>
        <v>0.692511741172378</v>
      </c>
      <c r="AH4029" t="str">
        <f t="shared" si="455"/>
        <v>3rd Quality</v>
      </c>
      <c r="AJ4029">
        <f>((T4029-X4029)*2)/27.2</f>
        <v>6.66551384256085</v>
      </c>
      <c r="AK4029">
        <f t="shared" si="453"/>
        <v>58185.8095</v>
      </c>
    </row>
    <row r="4030" spans="1:37">
      <c r="A4030" t="s">
        <v>4096</v>
      </c>
      <c r="B4030">
        <v>18</v>
      </c>
      <c r="C4030" t="s">
        <v>44</v>
      </c>
      <c r="D4030" t="s">
        <v>60</v>
      </c>
      <c r="E4030">
        <v>1196</v>
      </c>
      <c r="F4030">
        <v>37</v>
      </c>
      <c r="G4030">
        <v>6</v>
      </c>
      <c r="H4030">
        <v>715.49</v>
      </c>
      <c r="I4030">
        <v>4327.71</v>
      </c>
      <c r="J4030">
        <v>42</v>
      </c>
      <c r="K4030">
        <v>0</v>
      </c>
      <c r="L4030">
        <v>25.9</v>
      </c>
      <c r="M4030">
        <v>27.2</v>
      </c>
      <c r="N4030" t="s">
        <v>52</v>
      </c>
      <c r="O4030" t="s">
        <v>47</v>
      </c>
      <c r="P4030" t="s">
        <v>58</v>
      </c>
      <c r="R4030">
        <f>SUMIF(A4030:A9029,"C04029",I4030:I9029)</f>
        <v>4327.71</v>
      </c>
      <c r="S4030" s="1">
        <v>15145.13</v>
      </c>
      <c r="T4030">
        <f t="shared" si="457"/>
        <v>103.040714285714</v>
      </c>
      <c r="U4030">
        <f t="shared" si="456"/>
        <v>1142.4</v>
      </c>
      <c r="V4030">
        <f t="shared" si="458"/>
        <v>95.2</v>
      </c>
      <c r="W4030">
        <f t="shared" si="454"/>
        <v>1681.4</v>
      </c>
      <c r="X4030">
        <f t="shared" si="459"/>
        <v>1.67158171323149</v>
      </c>
      <c r="AH4030" t="str">
        <f t="shared" si="455"/>
        <v>3rd Quality</v>
      </c>
      <c r="AJ4030">
        <f>((T4030-X4030)*2)/25.9</f>
        <v>7.82773224497935</v>
      </c>
      <c r="AK4030">
        <f t="shared" si="453"/>
        <v>123236.694285714</v>
      </c>
    </row>
    <row r="4031" spans="1:37">
      <c r="A4031" t="s">
        <v>4097</v>
      </c>
      <c r="B4031">
        <v>20</v>
      </c>
      <c r="C4031" t="s">
        <v>44</v>
      </c>
      <c r="D4031" t="s">
        <v>45</v>
      </c>
      <c r="E4031">
        <v>975</v>
      </c>
      <c r="F4031">
        <v>207</v>
      </c>
      <c r="G4031">
        <v>1</v>
      </c>
      <c r="H4031">
        <v>1853.49</v>
      </c>
      <c r="I4031">
        <v>1924.53</v>
      </c>
      <c r="J4031">
        <v>19</v>
      </c>
      <c r="K4031">
        <v>0</v>
      </c>
      <c r="L4031">
        <v>13</v>
      </c>
      <c r="M4031">
        <v>42.7</v>
      </c>
      <c r="N4031" t="s">
        <v>78</v>
      </c>
      <c r="O4031" t="s">
        <v>53</v>
      </c>
      <c r="P4031" t="s">
        <v>48</v>
      </c>
      <c r="R4031">
        <f>SUMIF(A4031:A9030,"C04030",I4031:I9030)</f>
        <v>1924.53</v>
      </c>
      <c r="S4031" s="1">
        <v>20448.56</v>
      </c>
      <c r="T4031">
        <f t="shared" si="457"/>
        <v>101.291052631579</v>
      </c>
      <c r="U4031">
        <f t="shared" si="456"/>
        <v>811.3</v>
      </c>
      <c r="V4031">
        <f t="shared" si="458"/>
        <v>67.6083333333333</v>
      </c>
      <c r="W4031">
        <f t="shared" si="454"/>
        <v>1259.67333333333</v>
      </c>
      <c r="X4031">
        <f t="shared" si="459"/>
        <v>0.526034669731156</v>
      </c>
      <c r="AH4031" t="str">
        <f t="shared" si="455"/>
        <v>3rd Quality</v>
      </c>
      <c r="AJ4031">
        <f>((T4031-X4031)*2)/13</f>
        <v>15.5023104556689</v>
      </c>
      <c r="AK4031">
        <f t="shared" si="453"/>
        <v>98758.7763157895</v>
      </c>
    </row>
    <row r="4032" spans="1:37">
      <c r="A4032" t="s">
        <v>4098</v>
      </c>
      <c r="B4032">
        <v>27</v>
      </c>
      <c r="C4032" t="s">
        <v>50</v>
      </c>
      <c r="D4032" t="s">
        <v>45</v>
      </c>
      <c r="E4032">
        <v>388</v>
      </c>
      <c r="F4032">
        <v>108</v>
      </c>
      <c r="G4032">
        <v>2</v>
      </c>
      <c r="H4032">
        <v>15804.95</v>
      </c>
      <c r="I4032">
        <v>27894.31</v>
      </c>
      <c r="J4032">
        <v>12</v>
      </c>
      <c r="K4032">
        <v>0</v>
      </c>
      <c r="L4032">
        <v>12.7</v>
      </c>
      <c r="M4032">
        <v>11.7</v>
      </c>
      <c r="N4032" t="s">
        <v>78</v>
      </c>
      <c r="O4032" t="s">
        <v>53</v>
      </c>
      <c r="P4032" t="s">
        <v>68</v>
      </c>
      <c r="R4032">
        <f>SUMIF(A4032:A9031,"C04031",I4032:I9031)</f>
        <v>27894.31</v>
      </c>
      <c r="S4032" s="1">
        <v>59306.87</v>
      </c>
      <c r="T4032">
        <f t="shared" si="457"/>
        <v>2324.52583333333</v>
      </c>
      <c r="U4032">
        <f t="shared" si="456"/>
        <v>140.4</v>
      </c>
      <c r="V4032">
        <f t="shared" si="458"/>
        <v>11.7</v>
      </c>
      <c r="W4032">
        <f t="shared" si="454"/>
        <v>14566.7533333333</v>
      </c>
      <c r="X4032">
        <f t="shared" si="459"/>
        <v>0.024549270956251</v>
      </c>
      <c r="AH4032" t="str">
        <f t="shared" si="455"/>
        <v>3rd Quality</v>
      </c>
      <c r="AJ4032">
        <f>((T4032-X4032)*2)/12.7</f>
        <v>366.063194340531</v>
      </c>
      <c r="AK4032">
        <f t="shared" si="453"/>
        <v>901916.023333333</v>
      </c>
    </row>
    <row r="4033" spans="1:37">
      <c r="A4033" t="s">
        <v>4099</v>
      </c>
      <c r="B4033">
        <v>35</v>
      </c>
      <c r="C4033" t="s">
        <v>44</v>
      </c>
      <c r="D4033" t="s">
        <v>60</v>
      </c>
      <c r="E4033">
        <v>980</v>
      </c>
      <c r="F4033">
        <v>28</v>
      </c>
      <c r="G4033">
        <v>9</v>
      </c>
      <c r="H4033">
        <v>1739.48</v>
      </c>
      <c r="I4033">
        <v>15145.13</v>
      </c>
      <c r="J4033">
        <v>44</v>
      </c>
      <c r="K4033">
        <v>0</v>
      </c>
      <c r="L4033">
        <v>31.4</v>
      </c>
      <c r="M4033">
        <v>30.9</v>
      </c>
      <c r="N4033" t="s">
        <v>52</v>
      </c>
      <c r="O4033" t="s">
        <v>53</v>
      </c>
      <c r="P4033" t="s">
        <v>58</v>
      </c>
      <c r="R4033">
        <f>SUMIF(A4033:A9032,"C04032",I4033:I9032)</f>
        <v>15145.13</v>
      </c>
      <c r="S4033" s="1">
        <v>34337.93</v>
      </c>
      <c r="T4033">
        <f t="shared" si="457"/>
        <v>344.2075</v>
      </c>
      <c r="U4033">
        <f t="shared" si="456"/>
        <v>1359.6</v>
      </c>
      <c r="V4033">
        <f t="shared" si="458"/>
        <v>113.3</v>
      </c>
      <c r="W4033">
        <f t="shared" si="454"/>
        <v>5628.53666666667</v>
      </c>
      <c r="X4033">
        <f t="shared" si="459"/>
        <v>0.563386759261388</v>
      </c>
      <c r="AH4033" t="str">
        <f t="shared" si="455"/>
        <v>3rd Quality</v>
      </c>
      <c r="AJ4033">
        <f>((T4033-X4033)*2)/31.4</f>
        <v>21.8881600790279</v>
      </c>
      <c r="AK4033">
        <f t="shared" si="453"/>
        <v>337323.35</v>
      </c>
    </row>
    <row r="4034" spans="1:37">
      <c r="A4034" t="s">
        <v>4100</v>
      </c>
      <c r="B4034">
        <v>42</v>
      </c>
      <c r="C4034" t="s">
        <v>50</v>
      </c>
      <c r="D4034" t="s">
        <v>60</v>
      </c>
      <c r="E4034">
        <v>763</v>
      </c>
      <c r="F4034">
        <v>23</v>
      </c>
      <c r="G4034">
        <v>3</v>
      </c>
      <c r="H4034">
        <v>7496.44</v>
      </c>
      <c r="I4034">
        <v>20448.56</v>
      </c>
      <c r="J4034">
        <v>26</v>
      </c>
      <c r="K4034">
        <v>1</v>
      </c>
      <c r="L4034">
        <v>6.4</v>
      </c>
      <c r="M4034">
        <v>52.9</v>
      </c>
      <c r="N4034" t="s">
        <v>46</v>
      </c>
      <c r="O4034" t="s">
        <v>75</v>
      </c>
      <c r="P4034" t="s">
        <v>58</v>
      </c>
      <c r="R4034">
        <f>SUMIF(A4034:A9033,"C04033",I4034:I9033)</f>
        <v>20448.56</v>
      </c>
      <c r="S4034" s="1">
        <v>10068.1</v>
      </c>
      <c r="T4034">
        <f t="shared" si="457"/>
        <v>786.483076923077</v>
      </c>
      <c r="U4034">
        <f t="shared" si="456"/>
        <v>1375.4</v>
      </c>
      <c r="V4034">
        <f>U4034*1</f>
        <v>1375.4</v>
      </c>
      <c r="W4034">
        <f t="shared" si="454"/>
        <v>9315.33333333333</v>
      </c>
      <c r="X4034">
        <f t="shared" si="459"/>
        <v>0.10178164568782</v>
      </c>
      <c r="AH4034" t="str">
        <f t="shared" si="455"/>
        <v>2nd Quality</v>
      </c>
      <c r="AJ4034">
        <f>((T4034-X4034)*2)/6.4</f>
        <v>245.744154774184</v>
      </c>
      <c r="AK4034">
        <f t="shared" si="453"/>
        <v>600086.587692308</v>
      </c>
    </row>
    <row r="4035" spans="1:37">
      <c r="A4035" t="s">
        <v>4101</v>
      </c>
      <c r="B4035">
        <v>31</v>
      </c>
      <c r="C4035" t="s">
        <v>44</v>
      </c>
      <c r="D4035" t="s">
        <v>45</v>
      </c>
      <c r="E4035">
        <v>372</v>
      </c>
      <c r="F4035">
        <v>40</v>
      </c>
      <c r="G4035">
        <v>6</v>
      </c>
      <c r="H4035">
        <v>10543.83</v>
      </c>
      <c r="I4035">
        <v>59306.87</v>
      </c>
      <c r="J4035">
        <v>38</v>
      </c>
      <c r="K4035">
        <v>0</v>
      </c>
      <c r="L4035">
        <v>8.7</v>
      </c>
      <c r="M4035">
        <v>29.2</v>
      </c>
      <c r="N4035" t="s">
        <v>57</v>
      </c>
      <c r="O4035" t="s">
        <v>53</v>
      </c>
      <c r="P4035" t="s">
        <v>58</v>
      </c>
      <c r="R4035">
        <f>SUMIF(A4035:A9034,"C04034",I4035:I9034)</f>
        <v>59306.87</v>
      </c>
      <c r="S4035" s="1">
        <v>16841.09</v>
      </c>
      <c r="T4035">
        <f t="shared" si="457"/>
        <v>1560.70710526316</v>
      </c>
      <c r="U4035">
        <f t="shared" si="456"/>
        <v>1109.6</v>
      </c>
      <c r="V4035">
        <f t="shared" si="458"/>
        <v>92.4666666666667</v>
      </c>
      <c r="W4035">
        <f t="shared" si="454"/>
        <v>23283.9</v>
      </c>
      <c r="X4035">
        <f t="shared" si="459"/>
        <v>0.0352812972136311</v>
      </c>
      <c r="AH4035" t="str">
        <f t="shared" si="455"/>
        <v>3rd Quality</v>
      </c>
      <c r="AJ4035">
        <f>((T4035-X4035)*2)/8.7</f>
        <v>358.775131946195</v>
      </c>
      <c r="AK4035">
        <f t="shared" ref="AK4035:AK4098" si="460">I4035/J4035*E4035</f>
        <v>580583.043157895</v>
      </c>
    </row>
    <row r="4036" spans="1:37">
      <c r="A4036" t="s">
        <v>4102</v>
      </c>
      <c r="B4036">
        <v>25</v>
      </c>
      <c r="C4036" t="s">
        <v>50</v>
      </c>
      <c r="D4036" t="s">
        <v>45</v>
      </c>
      <c r="E4036">
        <v>923</v>
      </c>
      <c r="F4036">
        <v>5</v>
      </c>
      <c r="G4036">
        <v>16</v>
      </c>
      <c r="H4036">
        <v>1988.84</v>
      </c>
      <c r="I4036">
        <v>34337.93</v>
      </c>
      <c r="J4036">
        <v>37</v>
      </c>
      <c r="K4036">
        <v>0</v>
      </c>
      <c r="L4036">
        <v>7.5</v>
      </c>
      <c r="M4036">
        <v>27.2</v>
      </c>
      <c r="N4036" t="s">
        <v>52</v>
      </c>
      <c r="O4036" t="s">
        <v>47</v>
      </c>
      <c r="P4036" t="s">
        <v>48</v>
      </c>
      <c r="R4036">
        <f>SUMIF(A4036:A9035,"C04035",I4036:I9035)</f>
        <v>34337.93</v>
      </c>
      <c r="S4036" s="1">
        <v>4382.61</v>
      </c>
      <c r="T4036">
        <f t="shared" si="457"/>
        <v>928.052162162162</v>
      </c>
      <c r="U4036">
        <f t="shared" si="456"/>
        <v>1006.4</v>
      </c>
      <c r="V4036">
        <f t="shared" si="458"/>
        <v>83.8666666666667</v>
      </c>
      <c r="W4036">
        <f t="shared" si="454"/>
        <v>12109.2566666667</v>
      </c>
      <c r="X4036">
        <f t="shared" si="459"/>
        <v>0.464089620080047</v>
      </c>
      <c r="AH4036" t="str">
        <f t="shared" si="455"/>
        <v>2nd Quality</v>
      </c>
      <c r="AJ4036">
        <f>((T4036-X4036)*2)/7.5</f>
        <v>247.356819344555</v>
      </c>
      <c r="AK4036">
        <f t="shared" si="460"/>
        <v>856592.145675676</v>
      </c>
    </row>
    <row r="4037" spans="1:37">
      <c r="A4037" t="s">
        <v>4103</v>
      </c>
      <c r="B4037">
        <v>32</v>
      </c>
      <c r="C4037" t="s">
        <v>44</v>
      </c>
      <c r="D4037" t="s">
        <v>45</v>
      </c>
      <c r="E4037">
        <v>463</v>
      </c>
      <c r="F4037">
        <v>16</v>
      </c>
      <c r="G4037">
        <v>7</v>
      </c>
      <c r="H4037">
        <v>1421.76</v>
      </c>
      <c r="I4037">
        <v>10068.1</v>
      </c>
      <c r="J4037">
        <v>41</v>
      </c>
      <c r="K4037">
        <v>1</v>
      </c>
      <c r="L4037">
        <v>20</v>
      </c>
      <c r="M4037">
        <v>15.7</v>
      </c>
      <c r="N4037" t="s">
        <v>57</v>
      </c>
      <c r="O4037" t="s">
        <v>75</v>
      </c>
      <c r="P4037" t="s">
        <v>48</v>
      </c>
      <c r="R4037">
        <f>SUMIF(A4037:A9036,"C04036",I4037:I9036)</f>
        <v>10068.1</v>
      </c>
      <c r="S4037" s="1">
        <v>11020.26</v>
      </c>
      <c r="T4037">
        <f t="shared" si="457"/>
        <v>245.563414634146</v>
      </c>
      <c r="U4037">
        <f t="shared" si="456"/>
        <v>643.7</v>
      </c>
      <c r="V4037">
        <f>U4037*1</f>
        <v>643.7</v>
      </c>
      <c r="W4037">
        <f t="shared" si="454"/>
        <v>3830.28666666667</v>
      </c>
      <c r="X4037">
        <f t="shared" si="459"/>
        <v>0.325652712131443</v>
      </c>
      <c r="AH4037" t="str">
        <f t="shared" si="455"/>
        <v>3rd Quality</v>
      </c>
      <c r="AJ4037">
        <f>((T4037-X4037)*2)/20</f>
        <v>24.5237761922015</v>
      </c>
      <c r="AK4037">
        <f t="shared" si="460"/>
        <v>113695.86097561</v>
      </c>
    </row>
    <row r="4038" spans="1:37">
      <c r="A4038" t="s">
        <v>4104</v>
      </c>
      <c r="B4038">
        <v>44</v>
      </c>
      <c r="C4038" t="s">
        <v>50</v>
      </c>
      <c r="D4038" t="s">
        <v>60</v>
      </c>
      <c r="E4038">
        <v>580</v>
      </c>
      <c r="F4038">
        <v>43</v>
      </c>
      <c r="G4038">
        <v>13</v>
      </c>
      <c r="H4038">
        <v>1192.32</v>
      </c>
      <c r="I4038">
        <v>16841.09</v>
      </c>
      <c r="J4038">
        <v>72</v>
      </c>
      <c r="K4038">
        <v>1</v>
      </c>
      <c r="L4038">
        <v>31</v>
      </c>
      <c r="M4038">
        <v>22.9</v>
      </c>
      <c r="N4038" t="s">
        <v>63</v>
      </c>
      <c r="O4038" t="s">
        <v>47</v>
      </c>
      <c r="P4038" t="s">
        <v>66</v>
      </c>
      <c r="R4038">
        <f>SUMIF(A4038:A9037,"C04037",I4038:I9037)</f>
        <v>16841.09</v>
      </c>
      <c r="S4038" s="1">
        <v>1278.44</v>
      </c>
      <c r="T4038">
        <f t="shared" si="457"/>
        <v>233.904027777778</v>
      </c>
      <c r="U4038">
        <f t="shared" si="456"/>
        <v>1648.8</v>
      </c>
      <c r="V4038">
        <f>U4038*1</f>
        <v>1648.8</v>
      </c>
      <c r="W4038">
        <f t="shared" si="454"/>
        <v>6011.47</v>
      </c>
      <c r="X4038">
        <f t="shared" si="459"/>
        <v>0.486446591519055</v>
      </c>
      <c r="AH4038" t="str">
        <f t="shared" si="455"/>
        <v>3rd Quality</v>
      </c>
      <c r="AJ4038">
        <f>((T4038-X4038)*2)/31</f>
        <v>15.0591987862103</v>
      </c>
      <c r="AK4038">
        <f t="shared" si="460"/>
        <v>135664.336111111</v>
      </c>
    </row>
    <row r="4039" spans="1:37">
      <c r="A4039" t="s">
        <v>4105</v>
      </c>
      <c r="B4039">
        <v>31</v>
      </c>
      <c r="C4039" t="s">
        <v>50</v>
      </c>
      <c r="D4039" t="s">
        <v>45</v>
      </c>
      <c r="E4039">
        <v>1038</v>
      </c>
      <c r="F4039">
        <v>22</v>
      </c>
      <c r="G4039">
        <v>7</v>
      </c>
      <c r="H4039">
        <v>572.65</v>
      </c>
      <c r="I4039">
        <v>4382.61</v>
      </c>
      <c r="J4039">
        <v>29</v>
      </c>
      <c r="K4039">
        <v>0</v>
      </c>
      <c r="L4039">
        <v>23.1</v>
      </c>
      <c r="M4039">
        <v>34</v>
      </c>
      <c r="N4039" t="s">
        <v>52</v>
      </c>
      <c r="O4039" t="s">
        <v>47</v>
      </c>
      <c r="P4039" t="s">
        <v>68</v>
      </c>
      <c r="R4039">
        <f>SUMIF(A4039:A9038,"C04038",I4039:I9038)</f>
        <v>4382.61</v>
      </c>
      <c r="S4039" s="1">
        <v>7121.98</v>
      </c>
      <c r="T4039">
        <f t="shared" si="457"/>
        <v>151.124482758621</v>
      </c>
      <c r="U4039">
        <f t="shared" si="456"/>
        <v>986</v>
      </c>
      <c r="V4039">
        <f t="shared" si="458"/>
        <v>82.1666666666667</v>
      </c>
      <c r="W4039">
        <f t="shared" si="454"/>
        <v>1652.08666666667</v>
      </c>
      <c r="X4039">
        <f t="shared" si="459"/>
        <v>1.81262551296604</v>
      </c>
      <c r="AH4039" t="str">
        <f t="shared" si="455"/>
        <v>3rd Quality</v>
      </c>
      <c r="AJ4039">
        <f>((T4039-X4039)*2)/23.1</f>
        <v>12.9274335277623</v>
      </c>
      <c r="AK4039">
        <f t="shared" si="460"/>
        <v>156867.213103448</v>
      </c>
    </row>
    <row r="4040" spans="1:37">
      <c r="A4040" t="s">
        <v>4106</v>
      </c>
      <c r="B4040">
        <v>28</v>
      </c>
      <c r="C4040" t="s">
        <v>50</v>
      </c>
      <c r="D4040" t="s">
        <v>45</v>
      </c>
      <c r="E4040">
        <v>931</v>
      </c>
      <c r="F4040">
        <v>46</v>
      </c>
      <c r="G4040">
        <v>6</v>
      </c>
      <c r="H4040">
        <v>1711.07</v>
      </c>
      <c r="I4040">
        <v>11020.26</v>
      </c>
      <c r="J4040">
        <v>30</v>
      </c>
      <c r="K4040">
        <v>0</v>
      </c>
      <c r="L4040">
        <v>27.8</v>
      </c>
      <c r="M4040">
        <v>23.6</v>
      </c>
      <c r="N4040" t="s">
        <v>78</v>
      </c>
      <c r="O4040" t="s">
        <v>47</v>
      </c>
      <c r="P4040" t="s">
        <v>58</v>
      </c>
      <c r="R4040">
        <f>SUMIF(A4040:A9039,"C04039",I4040:I9039)</f>
        <v>11020.26</v>
      </c>
      <c r="S4040" s="1">
        <v>535.59</v>
      </c>
      <c r="T4040">
        <f t="shared" si="457"/>
        <v>367.342</v>
      </c>
      <c r="U4040">
        <f t="shared" si="456"/>
        <v>708</v>
      </c>
      <c r="V4040">
        <f t="shared" si="458"/>
        <v>59</v>
      </c>
      <c r="W4040">
        <f t="shared" si="454"/>
        <v>4244.11</v>
      </c>
      <c r="X4040">
        <f t="shared" si="459"/>
        <v>0.544103981719041</v>
      </c>
      <c r="AH4040" t="str">
        <f t="shared" si="455"/>
        <v>3rd Quality</v>
      </c>
      <c r="AJ4040">
        <f>((T4040-X4040)*2)/27.8</f>
        <v>26.3883378430418</v>
      </c>
      <c r="AK4040">
        <f t="shared" si="460"/>
        <v>341995.402</v>
      </c>
    </row>
    <row r="4041" spans="1:37">
      <c r="A4041" t="s">
        <v>4107</v>
      </c>
      <c r="B4041">
        <v>45</v>
      </c>
      <c r="C4041" t="s">
        <v>44</v>
      </c>
      <c r="D4041" t="s">
        <v>60</v>
      </c>
      <c r="E4041">
        <v>679</v>
      </c>
      <c r="F4041">
        <v>60</v>
      </c>
      <c r="G4041">
        <v>3</v>
      </c>
      <c r="H4041">
        <v>400.93</v>
      </c>
      <c r="I4041">
        <v>1278.44</v>
      </c>
      <c r="J4041">
        <v>22</v>
      </c>
      <c r="K4041">
        <v>0</v>
      </c>
      <c r="L4041">
        <v>25.5</v>
      </c>
      <c r="M4041">
        <v>26.7</v>
      </c>
      <c r="N4041" t="s">
        <v>46</v>
      </c>
      <c r="O4041" t="s">
        <v>47</v>
      </c>
      <c r="P4041" t="s">
        <v>48</v>
      </c>
      <c r="R4041">
        <f>SUMIF(A4041:A9040,"C04040",I4041:I9040)</f>
        <v>1278.44</v>
      </c>
      <c r="S4041" s="1">
        <v>91436.87</v>
      </c>
      <c r="T4041">
        <f t="shared" si="457"/>
        <v>58.1109090909091</v>
      </c>
      <c r="U4041">
        <f t="shared" si="456"/>
        <v>587.4</v>
      </c>
      <c r="V4041">
        <f t="shared" si="458"/>
        <v>48.95</v>
      </c>
      <c r="W4041">
        <f t="shared" ref="W4041:W4104" si="461">(H4041+I4041+1)/3</f>
        <v>560.123333333333</v>
      </c>
      <c r="X4041">
        <f t="shared" si="459"/>
        <v>1.69356246726361</v>
      </c>
      <c r="AH4041" t="str">
        <f t="shared" si="455"/>
        <v>3rd Quality</v>
      </c>
      <c r="AJ4041">
        <f>((T4041-X4041)*2)/25.5</f>
        <v>4.42488993126631</v>
      </c>
      <c r="AK4041">
        <f t="shared" si="460"/>
        <v>39457.3072727273</v>
      </c>
    </row>
    <row r="4042" spans="1:37">
      <c r="A4042" t="s">
        <v>4108</v>
      </c>
      <c r="B4042">
        <v>55</v>
      </c>
      <c r="C4042" t="s">
        <v>44</v>
      </c>
      <c r="D4042" t="s">
        <v>60</v>
      </c>
      <c r="E4042">
        <v>1316</v>
      </c>
      <c r="F4042">
        <v>54</v>
      </c>
      <c r="G4042">
        <v>9</v>
      </c>
      <c r="H4042">
        <v>860.27</v>
      </c>
      <c r="I4042">
        <v>7121.98</v>
      </c>
      <c r="J4042">
        <v>29</v>
      </c>
      <c r="K4042">
        <v>0</v>
      </c>
      <c r="L4042">
        <v>16.1</v>
      </c>
      <c r="M4042">
        <v>16.9</v>
      </c>
      <c r="N4042" t="s">
        <v>78</v>
      </c>
      <c r="O4042" t="s">
        <v>53</v>
      </c>
      <c r="P4042" t="s">
        <v>58</v>
      </c>
      <c r="R4042">
        <f>SUMIF(A4042:A9041,"C04041",I4042:I9041)</f>
        <v>7121.98</v>
      </c>
      <c r="S4042" s="1">
        <v>5304.73</v>
      </c>
      <c r="T4042">
        <f t="shared" si="457"/>
        <v>245.585517241379</v>
      </c>
      <c r="U4042">
        <f t="shared" si="456"/>
        <v>490.1</v>
      </c>
      <c r="V4042">
        <f t="shared" si="458"/>
        <v>40.8416666666667</v>
      </c>
      <c r="W4042">
        <f t="shared" si="461"/>
        <v>2661.08333333333</v>
      </c>
      <c r="X4042">
        <f t="shared" si="459"/>
        <v>1.52975228707266</v>
      </c>
      <c r="AH4042" t="str">
        <f t="shared" si="455"/>
        <v>3rd Quality</v>
      </c>
      <c r="AJ4042">
        <f>((T4042-X4042)*2)/16.1</f>
        <v>30.3174863297275</v>
      </c>
      <c r="AK4042">
        <f t="shared" si="460"/>
        <v>323190.540689655</v>
      </c>
    </row>
    <row r="4043" spans="1:37">
      <c r="A4043" t="s">
        <v>4109</v>
      </c>
      <c r="B4043">
        <v>36</v>
      </c>
      <c r="C4043" t="s">
        <v>44</v>
      </c>
      <c r="D4043" t="s">
        <v>60</v>
      </c>
      <c r="E4043">
        <v>1443</v>
      </c>
      <c r="F4043">
        <v>204</v>
      </c>
      <c r="G4043">
        <v>1</v>
      </c>
      <c r="H4043">
        <v>566.98</v>
      </c>
      <c r="I4043">
        <v>535.59</v>
      </c>
      <c r="J4043">
        <v>15</v>
      </c>
      <c r="K4043">
        <v>0</v>
      </c>
      <c r="L4043">
        <v>36.1</v>
      </c>
      <c r="M4043">
        <v>4.1</v>
      </c>
      <c r="N4043" t="s">
        <v>61</v>
      </c>
      <c r="O4043" t="s">
        <v>47</v>
      </c>
      <c r="P4043" t="s">
        <v>66</v>
      </c>
      <c r="R4043">
        <f>SUMIF(A4043:A9042,"C04042",I4043:I9042)</f>
        <v>535.59</v>
      </c>
      <c r="S4043" s="1">
        <v>22674.75</v>
      </c>
      <c r="T4043">
        <f t="shared" si="457"/>
        <v>35.706</v>
      </c>
      <c r="U4043">
        <f t="shared" si="456"/>
        <v>61.5</v>
      </c>
      <c r="V4043">
        <f t="shared" si="458"/>
        <v>5.125</v>
      </c>
      <c r="W4043">
        <f t="shared" si="461"/>
        <v>367.856666666667</v>
      </c>
      <c r="X4043">
        <f t="shared" si="459"/>
        <v>2.54506331793009</v>
      </c>
      <c r="AH4043" t="str">
        <f t="shared" si="455"/>
        <v>3rd Quality</v>
      </c>
      <c r="AJ4043">
        <f>((T4043-X4043)*2)/36.1</f>
        <v>1.83717100731689</v>
      </c>
      <c r="AK4043">
        <f t="shared" si="460"/>
        <v>51523.758</v>
      </c>
    </row>
    <row r="4044" spans="1:37">
      <c r="A4044" t="s">
        <v>4110</v>
      </c>
      <c r="B4044">
        <v>25</v>
      </c>
      <c r="C4044" t="s">
        <v>44</v>
      </c>
      <c r="D4044" t="s">
        <v>45</v>
      </c>
      <c r="E4044">
        <v>472</v>
      </c>
      <c r="F4044">
        <v>4</v>
      </c>
      <c r="G4044">
        <v>33</v>
      </c>
      <c r="H4044">
        <v>2641.44</v>
      </c>
      <c r="I4044">
        <v>91436.87</v>
      </c>
      <c r="J4044">
        <v>139</v>
      </c>
      <c r="K4044">
        <v>1</v>
      </c>
      <c r="L4044">
        <v>13.9</v>
      </c>
      <c r="M4044">
        <v>59.6</v>
      </c>
      <c r="N4044" t="s">
        <v>63</v>
      </c>
      <c r="O4044" t="s">
        <v>75</v>
      </c>
      <c r="P4044" t="s">
        <v>58</v>
      </c>
      <c r="R4044">
        <f>SUMIF(A4044:A9043,"C04043",I4044:I9043)</f>
        <v>91436.87</v>
      </c>
      <c r="S4044" s="1">
        <v>12418.16</v>
      </c>
      <c r="T4044">
        <f t="shared" si="457"/>
        <v>657.819208633093</v>
      </c>
      <c r="U4044">
        <f t="shared" si="456"/>
        <v>8284.4</v>
      </c>
      <c r="V4044">
        <f>U4044*1</f>
        <v>8284.4</v>
      </c>
      <c r="W4044">
        <f t="shared" si="461"/>
        <v>31359.77</v>
      </c>
      <c r="X4044">
        <f t="shared" si="459"/>
        <v>0.178690411290811</v>
      </c>
      <c r="AH4044" t="str">
        <f t="shared" si="455"/>
        <v>2nd Quality</v>
      </c>
      <c r="AJ4044">
        <f>((T4044-X4044)*2)/13.9</f>
        <v>94.6245349959428</v>
      </c>
      <c r="AK4044">
        <f t="shared" si="460"/>
        <v>310490.66647482</v>
      </c>
    </row>
    <row r="4045" spans="1:37">
      <c r="A4045" t="s">
        <v>4111</v>
      </c>
      <c r="B4045">
        <v>25</v>
      </c>
      <c r="C4045" t="s">
        <v>50</v>
      </c>
      <c r="D4045" t="s">
        <v>45</v>
      </c>
      <c r="E4045">
        <v>641</v>
      </c>
      <c r="F4045">
        <v>158</v>
      </c>
      <c r="G4045">
        <v>2</v>
      </c>
      <c r="H4045">
        <v>2785.36</v>
      </c>
      <c r="I4045">
        <v>5304.73</v>
      </c>
      <c r="J4045">
        <v>24</v>
      </c>
      <c r="K4045">
        <v>0</v>
      </c>
      <c r="L4045">
        <v>12.4</v>
      </c>
      <c r="M4045">
        <v>37.5</v>
      </c>
      <c r="N4045" t="s">
        <v>63</v>
      </c>
      <c r="O4045" t="s">
        <v>47</v>
      </c>
      <c r="P4045" t="s">
        <v>48</v>
      </c>
      <c r="R4045">
        <f>SUMIF(A4045:A9044,"C04044",I4045:I9044)</f>
        <v>5304.73</v>
      </c>
      <c r="S4045" s="1">
        <v>10138.53</v>
      </c>
      <c r="T4045">
        <f t="shared" si="457"/>
        <v>221.030416666667</v>
      </c>
      <c r="U4045">
        <f t="shared" si="456"/>
        <v>900</v>
      </c>
      <c r="V4045">
        <f t="shared" si="458"/>
        <v>75</v>
      </c>
      <c r="W4045">
        <f t="shared" si="461"/>
        <v>2697.03</v>
      </c>
      <c r="X4045">
        <f t="shared" si="459"/>
        <v>0.230131832150961</v>
      </c>
      <c r="AH4045" t="str">
        <f t="shared" si="455"/>
        <v>3rd Quality</v>
      </c>
      <c r="AJ4045">
        <f>((T4045-X4045)*2)/12.9</f>
        <v>34.232602299925</v>
      </c>
      <c r="AK4045">
        <f t="shared" si="460"/>
        <v>141680.497083333</v>
      </c>
    </row>
    <row r="4046" spans="1:37">
      <c r="A4046" t="s">
        <v>4112</v>
      </c>
      <c r="B4046">
        <v>51</v>
      </c>
      <c r="C4046" t="s">
        <v>50</v>
      </c>
      <c r="D4046" t="s">
        <v>45</v>
      </c>
      <c r="E4046">
        <v>374</v>
      </c>
      <c r="F4046">
        <v>65</v>
      </c>
      <c r="G4046">
        <v>13</v>
      </c>
      <c r="H4046">
        <v>1798.09</v>
      </c>
      <c r="I4046">
        <v>22674.75</v>
      </c>
      <c r="J4046">
        <v>73</v>
      </c>
      <c r="K4046">
        <v>0</v>
      </c>
      <c r="L4046">
        <v>20.8</v>
      </c>
      <c r="M4046">
        <v>32.5</v>
      </c>
      <c r="N4046" t="s">
        <v>61</v>
      </c>
      <c r="O4046" t="s">
        <v>47</v>
      </c>
      <c r="P4046" t="s">
        <v>58</v>
      </c>
      <c r="R4046">
        <f>SUMIF(A4046:A9045,"C04045",I4046:I9045)</f>
        <v>22674.75</v>
      </c>
      <c r="S4046" s="1">
        <v>15822.27</v>
      </c>
      <c r="T4046">
        <f t="shared" si="457"/>
        <v>310.61301369863</v>
      </c>
      <c r="U4046">
        <f t="shared" si="456"/>
        <v>2372.5</v>
      </c>
      <c r="V4046">
        <f t="shared" si="458"/>
        <v>197.708333333333</v>
      </c>
      <c r="W4046">
        <f t="shared" si="461"/>
        <v>8157.94666666667</v>
      </c>
      <c r="X4046">
        <f t="shared" si="459"/>
        <v>0.207998487283729</v>
      </c>
      <c r="AH4046" t="str">
        <f t="shared" ref="AH4046:AH4109" si="462">IF(AND(W4046&gt;=12550,B4046&lt;=33,E4046&gt;=915),"1st Quality",IF(AND(W4046&gt;=6275,B4046&lt;=43,E4046&gt;=457),"2nd Quality","3rd Quality"))</f>
        <v>3rd Quality</v>
      </c>
      <c r="AJ4046">
        <f>((T4046-X4046)*2)/20.8</f>
        <v>29.8466360780141</v>
      </c>
      <c r="AK4046">
        <f t="shared" si="460"/>
        <v>116169.267123288</v>
      </c>
    </row>
    <row r="4047" spans="1:37">
      <c r="A4047" t="s">
        <v>4113</v>
      </c>
      <c r="B4047">
        <v>42</v>
      </c>
      <c r="C4047" t="s">
        <v>44</v>
      </c>
      <c r="D4047" t="s">
        <v>60</v>
      </c>
      <c r="E4047">
        <v>535</v>
      </c>
      <c r="F4047">
        <v>40</v>
      </c>
      <c r="G4047">
        <v>8</v>
      </c>
      <c r="H4047">
        <v>1405.12</v>
      </c>
      <c r="I4047">
        <v>12418.16</v>
      </c>
      <c r="J4047">
        <v>21</v>
      </c>
      <c r="K4047">
        <v>2</v>
      </c>
      <c r="L4047">
        <v>21.1</v>
      </c>
      <c r="M4047">
        <v>15.2</v>
      </c>
      <c r="N4047" t="s">
        <v>81</v>
      </c>
      <c r="O4047" t="s">
        <v>47</v>
      </c>
      <c r="P4047" t="s">
        <v>58</v>
      </c>
      <c r="R4047">
        <f>SUMIF(A4047:A9046,"C04046",I4047:I9046)</f>
        <v>12418.16</v>
      </c>
      <c r="S4047" s="1">
        <v>23943.86</v>
      </c>
      <c r="T4047">
        <f t="shared" si="457"/>
        <v>591.340952380952</v>
      </c>
      <c r="U4047">
        <f t="shared" si="456"/>
        <v>319.2</v>
      </c>
      <c r="V4047">
        <f>U4047*2</f>
        <v>638.4</v>
      </c>
      <c r="W4047">
        <f t="shared" si="461"/>
        <v>4608.09333333333</v>
      </c>
      <c r="X4047">
        <f t="shared" si="459"/>
        <v>0.380750398542473</v>
      </c>
      <c r="AH4047" t="str">
        <f t="shared" si="462"/>
        <v>3rd Quality</v>
      </c>
      <c r="AJ4047">
        <f>((T4047-X4047)*2)/21.1</f>
        <v>56.0151850220293</v>
      </c>
      <c r="AK4047">
        <f t="shared" si="460"/>
        <v>316367.40952381</v>
      </c>
    </row>
    <row r="4048" spans="1:37">
      <c r="A4048" t="s">
        <v>4114</v>
      </c>
      <c r="B4048">
        <v>38</v>
      </c>
      <c r="C4048" t="s">
        <v>50</v>
      </c>
      <c r="D4048" t="s">
        <v>45</v>
      </c>
      <c r="E4048">
        <v>767</v>
      </c>
      <c r="F4048">
        <v>95</v>
      </c>
      <c r="G4048">
        <v>7</v>
      </c>
      <c r="H4048">
        <v>1380.17</v>
      </c>
      <c r="I4048">
        <v>10138.53</v>
      </c>
      <c r="J4048">
        <v>62</v>
      </c>
      <c r="K4048">
        <v>0</v>
      </c>
      <c r="L4048">
        <v>23.6</v>
      </c>
      <c r="M4048">
        <v>29.5</v>
      </c>
      <c r="N4048" t="s">
        <v>63</v>
      </c>
      <c r="O4048" t="s">
        <v>53</v>
      </c>
      <c r="P4048" t="s">
        <v>58</v>
      </c>
      <c r="R4048">
        <f>SUMIF(A4048:A9047,"C04047",I4048:I9047)</f>
        <v>10138.53</v>
      </c>
      <c r="S4048" s="1">
        <v>3194.96</v>
      </c>
      <c r="T4048">
        <f t="shared" si="457"/>
        <v>163.524677419355</v>
      </c>
      <c r="U4048">
        <f t="shared" si="456"/>
        <v>1829</v>
      </c>
      <c r="V4048">
        <f t="shared" si="458"/>
        <v>152.416666666667</v>
      </c>
      <c r="W4048">
        <f t="shared" si="461"/>
        <v>3839.9</v>
      </c>
      <c r="X4048">
        <f t="shared" si="459"/>
        <v>0.555728642123796</v>
      </c>
      <c r="AH4048" t="str">
        <f t="shared" si="462"/>
        <v>3rd Quality</v>
      </c>
      <c r="AJ4048">
        <f>((T4048-X4048)*2)/23.6</f>
        <v>13.8109278624772</v>
      </c>
      <c r="AK4048">
        <f t="shared" si="460"/>
        <v>125423.427580645</v>
      </c>
    </row>
    <row r="4049" spans="1:37">
      <c r="A4049" t="s">
        <v>4115</v>
      </c>
      <c r="B4049">
        <v>39</v>
      </c>
      <c r="C4049" t="s">
        <v>50</v>
      </c>
      <c r="D4049" t="s">
        <v>60</v>
      </c>
      <c r="E4049">
        <v>418</v>
      </c>
      <c r="F4049">
        <v>41</v>
      </c>
      <c r="G4049">
        <v>13</v>
      </c>
      <c r="H4049">
        <v>1343.98</v>
      </c>
      <c r="I4049">
        <v>15822.27</v>
      </c>
      <c r="J4049">
        <v>98</v>
      </c>
      <c r="K4049">
        <v>0</v>
      </c>
      <c r="L4049">
        <v>18.6</v>
      </c>
      <c r="M4049">
        <v>48.7</v>
      </c>
      <c r="N4049" t="s">
        <v>78</v>
      </c>
      <c r="O4049" t="s">
        <v>53</v>
      </c>
      <c r="P4049" t="s">
        <v>66</v>
      </c>
      <c r="R4049">
        <f>SUMIF(A4049:A9048,"C04048",I4049:I9048)</f>
        <v>15822.27</v>
      </c>
      <c r="S4049" s="1">
        <v>2505.27</v>
      </c>
      <c r="T4049">
        <f t="shared" si="457"/>
        <v>161.451734693878</v>
      </c>
      <c r="U4049">
        <f t="shared" si="456"/>
        <v>4772.6</v>
      </c>
      <c r="V4049">
        <f t="shared" si="458"/>
        <v>397.716666666667</v>
      </c>
      <c r="W4049">
        <f t="shared" si="461"/>
        <v>5722.41666666667</v>
      </c>
      <c r="X4049">
        <f t="shared" si="459"/>
        <v>0.311016532984122</v>
      </c>
      <c r="AH4049" t="str">
        <f t="shared" si="462"/>
        <v>3rd Quality</v>
      </c>
      <c r="AJ4049">
        <f>((T4049-X4049)*2)/18.6</f>
        <v>17.3269589420316</v>
      </c>
      <c r="AK4049">
        <f t="shared" si="460"/>
        <v>67486.8251020408</v>
      </c>
    </row>
    <row r="4050" spans="1:37">
      <c r="A4050" t="s">
        <v>4116</v>
      </c>
      <c r="B4050">
        <v>29</v>
      </c>
      <c r="C4050" t="s">
        <v>50</v>
      </c>
      <c r="D4050" t="s">
        <v>45</v>
      </c>
      <c r="E4050">
        <v>1371</v>
      </c>
      <c r="F4050">
        <v>75</v>
      </c>
      <c r="G4050">
        <v>10</v>
      </c>
      <c r="H4050">
        <v>2273.68</v>
      </c>
      <c r="I4050">
        <v>23943.86</v>
      </c>
      <c r="J4050">
        <v>32</v>
      </c>
      <c r="K4050">
        <v>1</v>
      </c>
      <c r="L4050">
        <v>34.2</v>
      </c>
      <c r="M4050">
        <v>14.5</v>
      </c>
      <c r="N4050" t="s">
        <v>61</v>
      </c>
      <c r="O4050" t="s">
        <v>47</v>
      </c>
      <c r="P4050" t="s">
        <v>58</v>
      </c>
      <c r="R4050">
        <f>SUMIF(A4050:A9049,"C04049",I4050:I9049)</f>
        <v>23943.86</v>
      </c>
      <c r="S4050" s="1">
        <v>1463.73</v>
      </c>
      <c r="T4050">
        <f t="shared" si="457"/>
        <v>748.245625</v>
      </c>
      <c r="U4050">
        <f t="shared" si="456"/>
        <v>464</v>
      </c>
      <c r="V4050">
        <f>U4050*1</f>
        <v>464</v>
      </c>
      <c r="W4050">
        <f t="shared" si="461"/>
        <v>8739.51333333333</v>
      </c>
      <c r="X4050">
        <f t="shared" si="459"/>
        <v>0.602987227754125</v>
      </c>
      <c r="AH4050" t="str">
        <f t="shared" si="462"/>
        <v>2nd Quality</v>
      </c>
      <c r="AJ4050">
        <f>((T4050-X4050)*2)/34.2</f>
        <v>43.7217916825875</v>
      </c>
      <c r="AK4050">
        <f t="shared" si="460"/>
        <v>1025844.751875</v>
      </c>
    </row>
    <row r="4051" spans="1:37">
      <c r="A4051" t="s">
        <v>4117</v>
      </c>
      <c r="B4051">
        <v>42</v>
      </c>
      <c r="C4051" t="s">
        <v>44</v>
      </c>
      <c r="D4051" t="s">
        <v>60</v>
      </c>
      <c r="E4051">
        <v>1118</v>
      </c>
      <c r="F4051">
        <v>30</v>
      </c>
      <c r="G4051">
        <v>7</v>
      </c>
      <c r="H4051">
        <v>426.36</v>
      </c>
      <c r="I4051">
        <v>3194.96</v>
      </c>
      <c r="J4051">
        <v>36</v>
      </c>
      <c r="K4051">
        <v>0</v>
      </c>
      <c r="L4051">
        <v>21.2</v>
      </c>
      <c r="M4051">
        <v>41.1</v>
      </c>
      <c r="N4051" t="s">
        <v>46</v>
      </c>
      <c r="O4051" t="s">
        <v>75</v>
      </c>
      <c r="P4051" t="s">
        <v>68</v>
      </c>
      <c r="R4051">
        <f>SUMIF(A4051:A9050,"C04050",I4051:I9050)</f>
        <v>3194.96</v>
      </c>
      <c r="S4051" s="1">
        <v>41539.97</v>
      </c>
      <c r="T4051">
        <f t="shared" si="457"/>
        <v>88.7488888888889</v>
      </c>
      <c r="U4051">
        <f t="shared" si="456"/>
        <v>1479.6</v>
      </c>
      <c r="V4051">
        <f t="shared" si="458"/>
        <v>123.3</v>
      </c>
      <c r="W4051">
        <f t="shared" si="461"/>
        <v>1207.44</v>
      </c>
      <c r="X4051">
        <f t="shared" si="459"/>
        <v>2.62219720424055</v>
      </c>
      <c r="AH4051" t="str">
        <f t="shared" si="462"/>
        <v>3rd Quality</v>
      </c>
      <c r="AJ4051">
        <f>((T4051-X4051)*2)/21.2</f>
        <v>8.12515959289135</v>
      </c>
      <c r="AK4051">
        <f t="shared" si="460"/>
        <v>99221.2577777778</v>
      </c>
    </row>
    <row r="4052" spans="1:37">
      <c r="A4052" t="s">
        <v>4118</v>
      </c>
      <c r="B4052">
        <v>45</v>
      </c>
      <c r="C4052" t="s">
        <v>44</v>
      </c>
      <c r="D4052" t="s">
        <v>60</v>
      </c>
      <c r="E4052">
        <v>460</v>
      </c>
      <c r="F4052">
        <v>95</v>
      </c>
      <c r="G4052">
        <v>1</v>
      </c>
      <c r="H4052">
        <v>2279.19</v>
      </c>
      <c r="I4052">
        <v>2505.27</v>
      </c>
      <c r="J4052">
        <v>16</v>
      </c>
      <c r="K4052">
        <v>0</v>
      </c>
      <c r="L4052">
        <v>6.4</v>
      </c>
      <c r="M4052">
        <v>13.9</v>
      </c>
      <c r="N4052" t="s">
        <v>81</v>
      </c>
      <c r="O4052" t="s">
        <v>75</v>
      </c>
      <c r="P4052" t="s">
        <v>58</v>
      </c>
      <c r="R4052">
        <f>SUMIF(A4052:A9051,"C04051",I4052:I9051)</f>
        <v>2505.27</v>
      </c>
      <c r="S4052" s="1">
        <v>15674.06</v>
      </c>
      <c r="T4052">
        <f t="shared" si="457"/>
        <v>156.579375</v>
      </c>
      <c r="U4052">
        <f t="shared" si="456"/>
        <v>222.4</v>
      </c>
      <c r="V4052">
        <f t="shared" si="458"/>
        <v>18.5333333333333</v>
      </c>
      <c r="W4052">
        <f t="shared" si="461"/>
        <v>1595.15333333333</v>
      </c>
      <c r="X4052">
        <f t="shared" si="459"/>
        <v>0.201826087338046</v>
      </c>
      <c r="AH4052" t="str">
        <f t="shared" si="462"/>
        <v>3rd Quality</v>
      </c>
      <c r="AJ4052">
        <f>((T4052-X4052)*2)/6.4</f>
        <v>48.8679840352069</v>
      </c>
      <c r="AK4052">
        <f t="shared" si="460"/>
        <v>72026.5125</v>
      </c>
    </row>
    <row r="4053" spans="1:37">
      <c r="A4053" t="s">
        <v>4119</v>
      </c>
      <c r="B4053">
        <v>36</v>
      </c>
      <c r="C4053" t="s">
        <v>44</v>
      </c>
      <c r="D4053" t="s">
        <v>45</v>
      </c>
      <c r="E4053">
        <v>687</v>
      </c>
      <c r="F4053">
        <v>228</v>
      </c>
      <c r="G4053">
        <v>2</v>
      </c>
      <c r="H4053">
        <v>700.73</v>
      </c>
      <c r="I4053">
        <v>1463.73</v>
      </c>
      <c r="J4053">
        <v>11</v>
      </c>
      <c r="K4053">
        <v>1</v>
      </c>
      <c r="L4053">
        <v>28.2</v>
      </c>
      <c r="M4053">
        <v>27.1</v>
      </c>
      <c r="N4053" t="s">
        <v>52</v>
      </c>
      <c r="O4053" t="s">
        <v>53</v>
      </c>
      <c r="P4053" t="s">
        <v>58</v>
      </c>
      <c r="R4053">
        <f>SUMIF(A4053:A9052,"C04052",I4053:I9052)</f>
        <v>1463.73</v>
      </c>
      <c r="S4053" s="1">
        <v>3495.75</v>
      </c>
      <c r="T4053">
        <f t="shared" si="457"/>
        <v>133.066363636364</v>
      </c>
      <c r="U4053">
        <f t="shared" si="456"/>
        <v>298.1</v>
      </c>
      <c r="V4053">
        <f>U4053*1</f>
        <v>298.1</v>
      </c>
      <c r="W4053">
        <f t="shared" si="461"/>
        <v>721.82</v>
      </c>
      <c r="X4053">
        <f t="shared" si="459"/>
        <v>0.98040614787436</v>
      </c>
      <c r="AH4053" t="str">
        <f t="shared" si="462"/>
        <v>3rd Quality</v>
      </c>
      <c r="AJ4053">
        <f>((T4053-X4053)*2)/28.2</f>
        <v>9.36779840343898</v>
      </c>
      <c r="AK4053">
        <f t="shared" si="460"/>
        <v>91416.5918181818</v>
      </c>
    </row>
    <row r="4054" spans="1:37">
      <c r="A4054" t="s">
        <v>4120</v>
      </c>
      <c r="B4054">
        <v>29</v>
      </c>
      <c r="C4054" t="s">
        <v>50</v>
      </c>
      <c r="D4054" t="s">
        <v>45</v>
      </c>
      <c r="E4054">
        <v>1149</v>
      </c>
      <c r="F4054">
        <v>13</v>
      </c>
      <c r="G4054">
        <v>4</v>
      </c>
      <c r="H4054">
        <v>11500.93</v>
      </c>
      <c r="I4054">
        <v>41539.97</v>
      </c>
      <c r="J4054">
        <v>17</v>
      </c>
      <c r="K4054">
        <v>1</v>
      </c>
      <c r="L4054">
        <v>0</v>
      </c>
      <c r="M4054">
        <v>21.3</v>
      </c>
      <c r="N4054" t="s">
        <v>46</v>
      </c>
      <c r="O4054" t="s">
        <v>75</v>
      </c>
      <c r="P4054" t="s">
        <v>66</v>
      </c>
      <c r="R4054">
        <f>SUMIF(A4054:A9053,"C04053",I4054:I9053)</f>
        <v>41539.97</v>
      </c>
      <c r="S4054" s="1">
        <v>6140.94</v>
      </c>
      <c r="T4054">
        <f t="shared" si="457"/>
        <v>2443.52764705882</v>
      </c>
      <c r="U4054">
        <f t="shared" si="456"/>
        <v>362.1</v>
      </c>
      <c r="V4054">
        <f>U4054*1</f>
        <v>362.1</v>
      </c>
      <c r="W4054">
        <f t="shared" si="461"/>
        <v>17680.6333333333</v>
      </c>
      <c r="X4054">
        <f t="shared" si="459"/>
        <v>0.0999049642072424</v>
      </c>
      <c r="AH4054" t="str">
        <f t="shared" si="462"/>
        <v>1st Quality</v>
      </c>
      <c r="AJ4054">
        <f>((T4054-X4054)*2)</f>
        <v>4886.85548418923</v>
      </c>
      <c r="AK4054">
        <f t="shared" si="460"/>
        <v>2807613.26647059</v>
      </c>
    </row>
    <row r="4055" spans="1:37">
      <c r="A4055" t="s">
        <v>4121</v>
      </c>
      <c r="B4055">
        <v>31</v>
      </c>
      <c r="C4055" t="s">
        <v>44</v>
      </c>
      <c r="D4055" t="s">
        <v>60</v>
      </c>
      <c r="E4055">
        <v>668</v>
      </c>
      <c r="F4055">
        <v>87</v>
      </c>
      <c r="G4055">
        <v>9</v>
      </c>
      <c r="H4055">
        <v>1637.32</v>
      </c>
      <c r="I4055">
        <v>15674.06</v>
      </c>
      <c r="J4055">
        <v>82</v>
      </c>
      <c r="K4055">
        <v>1</v>
      </c>
      <c r="L4055">
        <v>16.6</v>
      </c>
      <c r="M4055">
        <v>37.3</v>
      </c>
      <c r="N4055" t="s">
        <v>78</v>
      </c>
      <c r="O4055" t="s">
        <v>53</v>
      </c>
      <c r="P4055" t="s">
        <v>66</v>
      </c>
      <c r="R4055">
        <f>SUMIF(A4055:A9054,"C04054",I4055:I9054)</f>
        <v>15674.06</v>
      </c>
      <c r="S4055" s="1">
        <v>4259.73</v>
      </c>
      <c r="T4055">
        <f t="shared" si="457"/>
        <v>191.147073170732</v>
      </c>
      <c r="U4055">
        <f t="shared" si="456"/>
        <v>3058.6</v>
      </c>
      <c r="V4055">
        <f>U4055*1</f>
        <v>3058.6</v>
      </c>
      <c r="W4055">
        <f t="shared" si="461"/>
        <v>5770.79333333333</v>
      </c>
      <c r="X4055">
        <f t="shared" si="459"/>
        <v>0.407983778369531</v>
      </c>
      <c r="AH4055" t="str">
        <f t="shared" si="462"/>
        <v>3rd Quality</v>
      </c>
      <c r="AJ4055">
        <f>((T4055-X4055)*2)/16.6</f>
        <v>22.9806131798027</v>
      </c>
      <c r="AK4055">
        <f t="shared" si="460"/>
        <v>127686.244878049</v>
      </c>
    </row>
    <row r="4056" spans="1:37">
      <c r="A4056" t="s">
        <v>4122</v>
      </c>
      <c r="B4056">
        <v>33</v>
      </c>
      <c r="C4056" t="s">
        <v>50</v>
      </c>
      <c r="D4056" t="s">
        <v>60</v>
      </c>
      <c r="E4056">
        <v>888</v>
      </c>
      <c r="F4056">
        <v>48</v>
      </c>
      <c r="G4056">
        <v>3</v>
      </c>
      <c r="H4056">
        <v>1123.12</v>
      </c>
      <c r="I4056">
        <v>3495.75</v>
      </c>
      <c r="J4056">
        <v>29</v>
      </c>
      <c r="K4056">
        <v>0</v>
      </c>
      <c r="L4056">
        <v>24.6</v>
      </c>
      <c r="M4056">
        <v>31.1</v>
      </c>
      <c r="N4056" t="s">
        <v>57</v>
      </c>
      <c r="O4056" t="s">
        <v>53</v>
      </c>
      <c r="P4056" t="s">
        <v>58</v>
      </c>
      <c r="R4056">
        <f>SUMIF(A4056:A9055,"C04055",I4056:I9055)</f>
        <v>3495.75</v>
      </c>
      <c r="S4056" s="1">
        <v>2506.05</v>
      </c>
      <c r="T4056">
        <f t="shared" si="457"/>
        <v>120.543103448276</v>
      </c>
      <c r="U4056">
        <f t="shared" si="456"/>
        <v>901.9</v>
      </c>
      <c r="V4056">
        <f t="shared" si="458"/>
        <v>75.1583333333333</v>
      </c>
      <c r="W4056">
        <f t="shared" si="461"/>
        <v>1539.95666666667</v>
      </c>
      <c r="X4056">
        <f t="shared" si="459"/>
        <v>0.790654605028848</v>
      </c>
      <c r="AH4056" t="str">
        <f t="shared" si="462"/>
        <v>3rd Quality</v>
      </c>
      <c r="AJ4056">
        <f>((T4056-X4056)*2)/24.6</f>
        <v>9.7359714506705</v>
      </c>
      <c r="AK4056">
        <f t="shared" si="460"/>
        <v>107042.275862069</v>
      </c>
    </row>
    <row r="4057" spans="1:37">
      <c r="A4057" t="s">
        <v>4123</v>
      </c>
      <c r="B4057">
        <v>45</v>
      </c>
      <c r="C4057" t="s">
        <v>44</v>
      </c>
      <c r="D4057" t="s">
        <v>60</v>
      </c>
      <c r="E4057">
        <v>490</v>
      </c>
      <c r="F4057">
        <v>24</v>
      </c>
      <c r="G4057">
        <v>4</v>
      </c>
      <c r="H4057">
        <v>1551.57</v>
      </c>
      <c r="I4057">
        <v>6140.94</v>
      </c>
      <c r="J4057">
        <v>38</v>
      </c>
      <c r="K4057">
        <v>1</v>
      </c>
      <c r="L4057">
        <v>29.1</v>
      </c>
      <c r="M4057">
        <v>44.1</v>
      </c>
      <c r="N4057" t="s">
        <v>81</v>
      </c>
      <c r="O4057" t="s">
        <v>47</v>
      </c>
      <c r="P4057" t="s">
        <v>68</v>
      </c>
      <c r="R4057">
        <f>SUMIF(A4057:A9056,"C04056",I4057:I9056)</f>
        <v>6140.94</v>
      </c>
      <c r="S4057" s="1">
        <v>15997.79</v>
      </c>
      <c r="T4057">
        <f t="shared" si="457"/>
        <v>161.603684210526</v>
      </c>
      <c r="U4057">
        <f t="shared" si="456"/>
        <v>1675.8</v>
      </c>
      <c r="V4057">
        <f>U4057*1</f>
        <v>1675.8</v>
      </c>
      <c r="W4057">
        <f t="shared" si="461"/>
        <v>2564.50333333333</v>
      </c>
      <c r="X4057">
        <f t="shared" si="459"/>
        <v>0.315809148153161</v>
      </c>
      <c r="AH4057" t="str">
        <f t="shared" si="462"/>
        <v>3rd Quality</v>
      </c>
      <c r="AJ4057">
        <f>((T4057-X4057)*2)/29.1</f>
        <v>11.0850773238744</v>
      </c>
      <c r="AK4057">
        <f t="shared" si="460"/>
        <v>79185.8052631579</v>
      </c>
    </row>
    <row r="4058" spans="1:37">
      <c r="A4058" t="s">
        <v>4124</v>
      </c>
      <c r="B4058">
        <v>44</v>
      </c>
      <c r="C4058" t="s">
        <v>44</v>
      </c>
      <c r="D4058" t="s">
        <v>45</v>
      </c>
      <c r="E4058">
        <v>1312</v>
      </c>
      <c r="F4058">
        <v>28</v>
      </c>
      <c r="G4058">
        <v>5</v>
      </c>
      <c r="H4058">
        <v>801.81</v>
      </c>
      <c r="I4058">
        <v>4259.73</v>
      </c>
      <c r="J4058">
        <v>46</v>
      </c>
      <c r="K4058">
        <v>1</v>
      </c>
      <c r="L4058">
        <v>20.6</v>
      </c>
      <c r="M4058">
        <v>42.8</v>
      </c>
      <c r="N4058" t="s">
        <v>57</v>
      </c>
      <c r="O4058" t="s">
        <v>53</v>
      </c>
      <c r="P4058" t="s">
        <v>58</v>
      </c>
      <c r="R4058">
        <f>SUMIF(A4058:A9057,"C04057",I4058:I9057)</f>
        <v>4259.73</v>
      </c>
      <c r="S4058" s="1">
        <v>1574.7</v>
      </c>
      <c r="T4058">
        <f t="shared" si="457"/>
        <v>92.6028260869565</v>
      </c>
      <c r="U4058">
        <f t="shared" si="456"/>
        <v>1968.8</v>
      </c>
      <c r="V4058">
        <f>U4058*1</f>
        <v>1968.8</v>
      </c>
      <c r="W4058">
        <f t="shared" si="461"/>
        <v>1687.51333333333</v>
      </c>
      <c r="X4058">
        <f t="shared" si="459"/>
        <v>1.63629787605542</v>
      </c>
      <c r="AH4058" t="str">
        <f t="shared" si="462"/>
        <v>3rd Quality</v>
      </c>
      <c r="AJ4058">
        <f>((T4058-X4058)*2)/20.6</f>
        <v>8.83170176804865</v>
      </c>
      <c r="AK4058">
        <f t="shared" si="460"/>
        <v>121494.907826087</v>
      </c>
    </row>
    <row r="4059" spans="1:37">
      <c r="A4059" t="s">
        <v>4125</v>
      </c>
      <c r="B4059">
        <v>36</v>
      </c>
      <c r="C4059" t="s">
        <v>44</v>
      </c>
      <c r="D4059" t="s">
        <v>60</v>
      </c>
      <c r="E4059">
        <v>427</v>
      </c>
      <c r="F4059">
        <v>66</v>
      </c>
      <c r="G4059">
        <v>1</v>
      </c>
      <c r="H4059">
        <v>2491.03</v>
      </c>
      <c r="I4059">
        <v>2506.05</v>
      </c>
      <c r="J4059">
        <v>11</v>
      </c>
      <c r="K4059">
        <v>0</v>
      </c>
      <c r="L4059">
        <v>18.7</v>
      </c>
      <c r="M4059">
        <v>20.5</v>
      </c>
      <c r="N4059" t="s">
        <v>52</v>
      </c>
      <c r="O4059" t="s">
        <v>47</v>
      </c>
      <c r="P4059" t="s">
        <v>58</v>
      </c>
      <c r="R4059">
        <f>SUMIF(A4059:A9058,"C04058",I4059:I9058)</f>
        <v>2506.05</v>
      </c>
      <c r="S4059" s="1">
        <v>3439.39</v>
      </c>
      <c r="T4059">
        <f t="shared" si="457"/>
        <v>227.822727272727</v>
      </c>
      <c r="U4059">
        <f t="shared" si="456"/>
        <v>225.5</v>
      </c>
      <c r="V4059">
        <f t="shared" si="458"/>
        <v>18.7916666666667</v>
      </c>
      <c r="W4059">
        <f t="shared" si="461"/>
        <v>1666.02666666667</v>
      </c>
      <c r="X4059">
        <f t="shared" si="459"/>
        <v>0.171415037153306</v>
      </c>
      <c r="AH4059" t="str">
        <f t="shared" si="462"/>
        <v>3rd Quality</v>
      </c>
      <c r="AJ4059">
        <f>((T4059-X4059)*2)/18.7</f>
        <v>24.3477339289384</v>
      </c>
      <c r="AK4059">
        <f t="shared" si="460"/>
        <v>97280.3045454545</v>
      </c>
    </row>
    <row r="4060" spans="1:37">
      <c r="A4060" t="s">
        <v>4126</v>
      </c>
      <c r="B4060">
        <v>38</v>
      </c>
      <c r="C4060" t="s">
        <v>44</v>
      </c>
      <c r="D4060" t="s">
        <v>60</v>
      </c>
      <c r="E4060">
        <v>474</v>
      </c>
      <c r="F4060">
        <v>51</v>
      </c>
      <c r="G4060">
        <v>11</v>
      </c>
      <c r="H4060">
        <v>1317.64</v>
      </c>
      <c r="I4060">
        <v>15997.79</v>
      </c>
      <c r="J4060">
        <v>86</v>
      </c>
      <c r="K4060">
        <v>0</v>
      </c>
      <c r="L4060">
        <v>16.5</v>
      </c>
      <c r="M4060">
        <v>49.5</v>
      </c>
      <c r="N4060" t="s">
        <v>57</v>
      </c>
      <c r="O4060" t="s">
        <v>47</v>
      </c>
      <c r="P4060" t="s">
        <v>58</v>
      </c>
      <c r="R4060">
        <f>SUMIF(A4060:A9059,"C04059",I4060:I9059)</f>
        <v>15997.79</v>
      </c>
      <c r="S4060" s="1">
        <v>4376.01</v>
      </c>
      <c r="T4060">
        <f t="shared" si="457"/>
        <v>186.020813953488</v>
      </c>
      <c r="U4060">
        <f t="shared" si="456"/>
        <v>4257</v>
      </c>
      <c r="V4060">
        <f t="shared" si="458"/>
        <v>354.75</v>
      </c>
      <c r="W4060">
        <f t="shared" si="461"/>
        <v>5772.14333333333</v>
      </c>
      <c r="X4060">
        <f t="shared" si="459"/>
        <v>0.359734070003946</v>
      </c>
      <c r="AH4060" t="str">
        <f t="shared" si="462"/>
        <v>3rd Quality</v>
      </c>
      <c r="AJ4060">
        <f>((T4060-X4060)*2)/16.5</f>
        <v>22.5043733192102</v>
      </c>
      <c r="AK4060">
        <f t="shared" si="460"/>
        <v>88173.8658139535</v>
      </c>
    </row>
    <row r="4061" spans="1:37">
      <c r="A4061" t="s">
        <v>4127</v>
      </c>
      <c r="B4061">
        <v>34</v>
      </c>
      <c r="C4061" t="s">
        <v>44</v>
      </c>
      <c r="D4061" t="s">
        <v>45</v>
      </c>
      <c r="E4061">
        <v>621</v>
      </c>
      <c r="F4061">
        <v>7</v>
      </c>
      <c r="G4061">
        <v>2</v>
      </c>
      <c r="H4061">
        <v>713.45</v>
      </c>
      <c r="I4061">
        <v>1574.7</v>
      </c>
      <c r="J4061">
        <v>22</v>
      </c>
      <c r="K4061">
        <v>0</v>
      </c>
      <c r="L4061">
        <v>26.4</v>
      </c>
      <c r="M4061">
        <v>15</v>
      </c>
      <c r="N4061" t="s">
        <v>63</v>
      </c>
      <c r="O4061" t="s">
        <v>47</v>
      </c>
      <c r="P4061" t="s">
        <v>58</v>
      </c>
      <c r="R4061">
        <f>SUMIF(A4061:A9060,"C04060",I4061:I9060)</f>
        <v>1574.7</v>
      </c>
      <c r="S4061" s="1">
        <v>70931.25</v>
      </c>
      <c r="T4061">
        <f t="shared" si="457"/>
        <v>71.5772727272727</v>
      </c>
      <c r="U4061">
        <f t="shared" si="456"/>
        <v>330</v>
      </c>
      <c r="V4061">
        <f t="shared" si="458"/>
        <v>27.5</v>
      </c>
      <c r="W4061">
        <f t="shared" si="461"/>
        <v>763.05</v>
      </c>
      <c r="X4061">
        <f t="shared" si="459"/>
        <v>0.870418389515733</v>
      </c>
      <c r="AH4061" t="str">
        <f t="shared" si="462"/>
        <v>3rd Quality</v>
      </c>
      <c r="AJ4061">
        <f>((T4061-X4061)*2)/26.4</f>
        <v>5.3565798740725</v>
      </c>
      <c r="AK4061">
        <f t="shared" si="460"/>
        <v>44449.4863636364</v>
      </c>
    </row>
    <row r="4062" spans="1:37">
      <c r="A4062" t="s">
        <v>4128</v>
      </c>
      <c r="B4062">
        <v>18</v>
      </c>
      <c r="C4062" t="s">
        <v>50</v>
      </c>
      <c r="D4062" t="s">
        <v>60</v>
      </c>
      <c r="E4062">
        <v>768</v>
      </c>
      <c r="F4062">
        <v>365</v>
      </c>
      <c r="G4062">
        <v>1</v>
      </c>
      <c r="H4062">
        <v>3682.01</v>
      </c>
      <c r="I4062">
        <v>3439.39</v>
      </c>
      <c r="J4062">
        <v>12</v>
      </c>
      <c r="K4062">
        <v>0</v>
      </c>
      <c r="L4062">
        <v>21.1</v>
      </c>
      <c r="M4062">
        <v>45</v>
      </c>
      <c r="N4062" t="s">
        <v>63</v>
      </c>
      <c r="O4062" t="s">
        <v>75</v>
      </c>
      <c r="P4062" t="s">
        <v>68</v>
      </c>
      <c r="R4062">
        <f>SUMIF(A4062:A9061,"C04061",I4062:I9061)</f>
        <v>3439.39</v>
      </c>
      <c r="S4062" s="1">
        <v>52451.49</v>
      </c>
      <c r="T4062">
        <f t="shared" si="457"/>
        <v>286.615833333333</v>
      </c>
      <c r="U4062">
        <f t="shared" si="456"/>
        <v>540</v>
      </c>
      <c r="V4062">
        <f t="shared" si="458"/>
        <v>45</v>
      </c>
      <c r="W4062">
        <f t="shared" si="461"/>
        <v>2374.13333333333</v>
      </c>
      <c r="X4062">
        <f t="shared" si="459"/>
        <v>0.20858172574219</v>
      </c>
      <c r="AH4062" t="str">
        <f t="shared" si="462"/>
        <v>3rd Quality</v>
      </c>
      <c r="AJ4062">
        <f>((T4062-X4062)*2)/21.1</f>
        <v>27.1476067874494</v>
      </c>
      <c r="AK4062">
        <f t="shared" si="460"/>
        <v>220120.96</v>
      </c>
    </row>
    <row r="4063" spans="1:37">
      <c r="A4063" t="s">
        <v>4129</v>
      </c>
      <c r="B4063">
        <v>26</v>
      </c>
      <c r="C4063" t="s">
        <v>50</v>
      </c>
      <c r="D4063" t="s">
        <v>60</v>
      </c>
      <c r="E4063">
        <v>802</v>
      </c>
      <c r="F4063">
        <v>92</v>
      </c>
      <c r="G4063">
        <v>4</v>
      </c>
      <c r="H4063">
        <v>1109.83</v>
      </c>
      <c r="I4063">
        <v>4376.01</v>
      </c>
      <c r="J4063">
        <v>33</v>
      </c>
      <c r="K4063">
        <v>0</v>
      </c>
      <c r="L4063">
        <v>13.1</v>
      </c>
      <c r="M4063">
        <v>19.5</v>
      </c>
      <c r="N4063" t="s">
        <v>46</v>
      </c>
      <c r="O4063" t="s">
        <v>47</v>
      </c>
      <c r="P4063" t="s">
        <v>66</v>
      </c>
      <c r="R4063">
        <f>SUMIF(A4063:A9062,"C04062",I4063:I9062)</f>
        <v>4376.01</v>
      </c>
      <c r="S4063" s="1">
        <v>93936.17</v>
      </c>
      <c r="T4063">
        <f t="shared" si="457"/>
        <v>132.606363636364</v>
      </c>
      <c r="U4063">
        <f t="shared" si="456"/>
        <v>643.5</v>
      </c>
      <c r="V4063">
        <f t="shared" si="458"/>
        <v>53.625</v>
      </c>
      <c r="W4063">
        <f t="shared" si="461"/>
        <v>1828.94666666667</v>
      </c>
      <c r="X4063">
        <f t="shared" si="459"/>
        <v>0.722633196075075</v>
      </c>
      <c r="AH4063" t="str">
        <f t="shared" si="462"/>
        <v>3rd Quality</v>
      </c>
      <c r="AJ4063">
        <f>((T4063-X4063)*2)/13.1</f>
        <v>20.1349206779067</v>
      </c>
      <c r="AK4063">
        <f t="shared" si="460"/>
        <v>106350.303636364</v>
      </c>
    </row>
    <row r="4064" spans="1:37">
      <c r="A4064" t="s">
        <v>4130</v>
      </c>
      <c r="B4064">
        <v>32</v>
      </c>
      <c r="C4064" t="s">
        <v>50</v>
      </c>
      <c r="D4064" t="s">
        <v>51</v>
      </c>
      <c r="E4064">
        <v>1124</v>
      </c>
      <c r="F4064">
        <v>15</v>
      </c>
      <c r="G4064">
        <v>28</v>
      </c>
      <c r="H4064">
        <v>2730.85</v>
      </c>
      <c r="I4064">
        <v>70931.25</v>
      </c>
      <c r="J4064">
        <v>89</v>
      </c>
      <c r="K4064">
        <v>5</v>
      </c>
      <c r="L4064">
        <v>11.9</v>
      </c>
      <c r="M4064">
        <v>38.2</v>
      </c>
      <c r="N4064" t="s">
        <v>78</v>
      </c>
      <c r="O4064" t="s">
        <v>47</v>
      </c>
      <c r="P4064" t="s">
        <v>58</v>
      </c>
      <c r="R4064">
        <f>SUMIF(A4064:A9063,"C04063",I4064:I9063)</f>
        <v>70931.25</v>
      </c>
      <c r="S4064" s="1">
        <v>2169.4</v>
      </c>
      <c r="T4064">
        <f t="shared" si="457"/>
        <v>796.980337078652</v>
      </c>
      <c r="U4064">
        <f t="shared" si="456"/>
        <v>3399.8</v>
      </c>
      <c r="V4064">
        <f>U4064*5</f>
        <v>16999</v>
      </c>
      <c r="W4064">
        <f t="shared" si="461"/>
        <v>24554.3666666667</v>
      </c>
      <c r="X4064">
        <f t="shared" si="459"/>
        <v>0.411593459911749</v>
      </c>
      <c r="AH4064" t="str">
        <f t="shared" si="462"/>
        <v>1st Quality</v>
      </c>
      <c r="AJ4064">
        <f>((T4064-X4064)*2)/11.9</f>
        <v>133.877099767855</v>
      </c>
      <c r="AK4064">
        <f t="shared" si="460"/>
        <v>895805.898876405</v>
      </c>
    </row>
    <row r="4065" spans="1:37">
      <c r="A4065" t="s">
        <v>4131</v>
      </c>
      <c r="B4065">
        <v>35</v>
      </c>
      <c r="C4065" t="s">
        <v>44</v>
      </c>
      <c r="D4065" t="s">
        <v>45</v>
      </c>
      <c r="E4065">
        <v>1092</v>
      </c>
      <c r="F4065">
        <v>48</v>
      </c>
      <c r="G4065">
        <v>4</v>
      </c>
      <c r="H4065">
        <v>13668.18</v>
      </c>
      <c r="I4065">
        <v>52451.49</v>
      </c>
      <c r="J4065">
        <v>40</v>
      </c>
      <c r="K4065">
        <v>0</v>
      </c>
      <c r="L4065">
        <v>0</v>
      </c>
      <c r="M4065">
        <v>7.8</v>
      </c>
      <c r="N4065" t="s">
        <v>57</v>
      </c>
      <c r="O4065" t="s">
        <v>47</v>
      </c>
      <c r="P4065" t="s">
        <v>58</v>
      </c>
      <c r="R4065">
        <f>SUMIF(A4065:A9064,"C04064",I4065:I9064)</f>
        <v>52451.49</v>
      </c>
      <c r="S4065" s="1">
        <v>13212.81</v>
      </c>
      <c r="T4065">
        <f t="shared" si="457"/>
        <v>1311.28725</v>
      </c>
      <c r="U4065">
        <f t="shared" si="456"/>
        <v>312</v>
      </c>
      <c r="V4065">
        <f t="shared" si="458"/>
        <v>26</v>
      </c>
      <c r="W4065">
        <f t="shared" si="461"/>
        <v>22040.2233333333</v>
      </c>
      <c r="X4065">
        <f t="shared" si="459"/>
        <v>0.0798935922705144</v>
      </c>
      <c r="AH4065" t="str">
        <f t="shared" si="462"/>
        <v>2nd Quality</v>
      </c>
      <c r="AJ4065">
        <f>((T4065-X4065)*2)</f>
        <v>2622.41471281546</v>
      </c>
      <c r="AK4065">
        <f t="shared" si="460"/>
        <v>1431925.677</v>
      </c>
    </row>
    <row r="4066" spans="1:37">
      <c r="A4066" t="s">
        <v>4132</v>
      </c>
      <c r="B4066">
        <v>18</v>
      </c>
      <c r="C4066" t="s">
        <v>44</v>
      </c>
      <c r="D4066" t="s">
        <v>45</v>
      </c>
      <c r="E4066">
        <v>374</v>
      </c>
      <c r="F4066">
        <v>10</v>
      </c>
      <c r="G4066">
        <v>32</v>
      </c>
      <c r="H4066">
        <v>3144.48</v>
      </c>
      <c r="I4066">
        <v>93936.17</v>
      </c>
      <c r="J4066">
        <v>107</v>
      </c>
      <c r="K4066">
        <v>3</v>
      </c>
      <c r="L4066">
        <v>9.1</v>
      </c>
      <c r="M4066">
        <v>25</v>
      </c>
      <c r="N4066" t="s">
        <v>63</v>
      </c>
      <c r="O4066" t="s">
        <v>53</v>
      </c>
      <c r="P4066" t="s">
        <v>68</v>
      </c>
      <c r="R4066">
        <f>SUMIF(A4066:A9065,"C04065",I4066:I9065)</f>
        <v>93936.17</v>
      </c>
      <c r="S4066" s="1">
        <v>5105.15</v>
      </c>
      <c r="T4066">
        <f t="shared" si="457"/>
        <v>877.908130841122</v>
      </c>
      <c r="U4066">
        <f t="shared" ref="U4066:U4129" si="463">J4066*M4066</f>
        <v>2675</v>
      </c>
      <c r="V4066">
        <f>U4066*3</f>
        <v>8025</v>
      </c>
      <c r="W4066">
        <f t="shared" si="461"/>
        <v>32360.55</v>
      </c>
      <c r="X4066">
        <f t="shared" si="459"/>
        <v>0.118938584440035</v>
      </c>
      <c r="AH4066" t="str">
        <f t="shared" si="462"/>
        <v>3rd Quality</v>
      </c>
      <c r="AJ4066">
        <f>((T4066-X4066)*2)/9.1</f>
        <v>192.920701594875</v>
      </c>
      <c r="AK4066">
        <f t="shared" si="460"/>
        <v>328337.640934579</v>
      </c>
    </row>
    <row r="4067" spans="1:37">
      <c r="A4067" t="s">
        <v>4133</v>
      </c>
      <c r="B4067">
        <v>46</v>
      </c>
      <c r="C4067" t="s">
        <v>44</v>
      </c>
      <c r="D4067" t="s">
        <v>51</v>
      </c>
      <c r="E4067">
        <v>480</v>
      </c>
      <c r="F4067">
        <v>120</v>
      </c>
      <c r="G4067">
        <v>3</v>
      </c>
      <c r="H4067">
        <v>721.07</v>
      </c>
      <c r="I4067">
        <v>2169.4</v>
      </c>
      <c r="J4067">
        <v>15</v>
      </c>
      <c r="K4067">
        <v>1</v>
      </c>
      <c r="L4067">
        <v>32.6</v>
      </c>
      <c r="M4067">
        <v>40.9</v>
      </c>
      <c r="N4067" t="s">
        <v>63</v>
      </c>
      <c r="O4067" t="s">
        <v>53</v>
      </c>
      <c r="P4067" t="s">
        <v>48</v>
      </c>
      <c r="R4067">
        <f>SUMIF(A4067:A9066,"C04066",I4067:I9066)</f>
        <v>2169.4</v>
      </c>
      <c r="S4067" s="1">
        <v>2472.2</v>
      </c>
      <c r="T4067">
        <f t="shared" si="457"/>
        <v>144.626666666667</v>
      </c>
      <c r="U4067">
        <f t="shared" si="463"/>
        <v>613.5</v>
      </c>
      <c r="V4067">
        <f>U4067*1</f>
        <v>613.5</v>
      </c>
      <c r="W4067">
        <f t="shared" si="461"/>
        <v>963.823333333333</v>
      </c>
      <c r="X4067">
        <f t="shared" si="459"/>
        <v>0.665677396091919</v>
      </c>
      <c r="AH4067" t="str">
        <f t="shared" si="462"/>
        <v>3rd Quality</v>
      </c>
      <c r="AJ4067">
        <f>((T4067-X4067)*2)/32.6</f>
        <v>8.83196253193712</v>
      </c>
      <c r="AK4067">
        <f t="shared" si="460"/>
        <v>69420.8</v>
      </c>
    </row>
    <row r="4068" spans="1:37">
      <c r="A4068" t="s">
        <v>4134</v>
      </c>
      <c r="B4068">
        <v>22</v>
      </c>
      <c r="C4068" t="s">
        <v>44</v>
      </c>
      <c r="D4068" t="s">
        <v>45</v>
      </c>
      <c r="E4068">
        <v>716</v>
      </c>
      <c r="F4068">
        <v>25</v>
      </c>
      <c r="G4068">
        <v>14</v>
      </c>
      <c r="H4068">
        <v>1072.28</v>
      </c>
      <c r="I4068">
        <v>13212.81</v>
      </c>
      <c r="J4068">
        <v>118</v>
      </c>
      <c r="K4068">
        <v>0</v>
      </c>
      <c r="L4068">
        <v>24.2</v>
      </c>
      <c r="M4068">
        <v>36</v>
      </c>
      <c r="N4068" t="s">
        <v>52</v>
      </c>
      <c r="O4068" t="s">
        <v>75</v>
      </c>
      <c r="P4068" t="s">
        <v>68</v>
      </c>
      <c r="R4068">
        <f>SUMIF(A4068:A9067,"C04067",I4068:I9067)</f>
        <v>13212.81</v>
      </c>
      <c r="S4068" s="1">
        <v>89898.53</v>
      </c>
      <c r="T4068">
        <f t="shared" si="457"/>
        <v>111.972966101695</v>
      </c>
      <c r="U4068">
        <f t="shared" si="463"/>
        <v>4248</v>
      </c>
      <c r="V4068">
        <f t="shared" si="458"/>
        <v>354</v>
      </c>
      <c r="W4068">
        <f t="shared" si="461"/>
        <v>4762.03</v>
      </c>
      <c r="X4068">
        <f t="shared" si="459"/>
        <v>0.667736039094266</v>
      </c>
      <c r="AH4068" t="str">
        <f t="shared" si="462"/>
        <v>3rd Quality</v>
      </c>
      <c r="AJ4068">
        <f>((T4068-X4068)*2)/24.2</f>
        <v>9.19877934401659</v>
      </c>
      <c r="AK4068">
        <f t="shared" si="460"/>
        <v>80172.6437288135</v>
      </c>
    </row>
    <row r="4069" spans="1:37">
      <c r="A4069" t="s">
        <v>4135</v>
      </c>
      <c r="B4069">
        <v>40</v>
      </c>
      <c r="C4069" t="s">
        <v>50</v>
      </c>
      <c r="D4069" t="s">
        <v>45</v>
      </c>
      <c r="E4069">
        <v>769</v>
      </c>
      <c r="F4069">
        <v>151</v>
      </c>
      <c r="G4069">
        <v>5</v>
      </c>
      <c r="H4069">
        <v>954.29</v>
      </c>
      <c r="I4069">
        <v>5105.15</v>
      </c>
      <c r="J4069">
        <v>21</v>
      </c>
      <c r="K4069">
        <v>0</v>
      </c>
      <c r="L4069">
        <v>24.7</v>
      </c>
      <c r="M4069">
        <v>9</v>
      </c>
      <c r="N4069" t="s">
        <v>81</v>
      </c>
      <c r="O4069" t="s">
        <v>47</v>
      </c>
      <c r="P4069" t="s">
        <v>68</v>
      </c>
      <c r="R4069">
        <f>SUMIF(A4069:A9068,"C04068",I4069:I9068)</f>
        <v>5105.15</v>
      </c>
      <c r="S4069" s="1">
        <v>15692.15</v>
      </c>
      <c r="T4069">
        <f t="shared" si="457"/>
        <v>243.102380952381</v>
      </c>
      <c r="U4069">
        <f t="shared" si="463"/>
        <v>189</v>
      </c>
      <c r="V4069">
        <f t="shared" si="458"/>
        <v>15.75</v>
      </c>
      <c r="W4069">
        <f t="shared" si="461"/>
        <v>2020.14666666667</v>
      </c>
      <c r="X4069">
        <f t="shared" si="459"/>
        <v>0.80583470433516</v>
      </c>
      <c r="AH4069" t="str">
        <f t="shared" si="462"/>
        <v>3rd Quality</v>
      </c>
      <c r="AJ4069">
        <f>((T4069-X4069)*2)/24.7</f>
        <v>19.6191535423519</v>
      </c>
      <c r="AK4069">
        <f t="shared" si="460"/>
        <v>186945.730952381</v>
      </c>
    </row>
    <row r="4070" spans="1:37">
      <c r="A4070" t="s">
        <v>4136</v>
      </c>
      <c r="B4070">
        <v>30</v>
      </c>
      <c r="C4070" t="s">
        <v>50</v>
      </c>
      <c r="D4070" t="s">
        <v>45</v>
      </c>
      <c r="E4070">
        <v>1212</v>
      </c>
      <c r="F4070">
        <v>365</v>
      </c>
      <c r="G4070">
        <v>2</v>
      </c>
      <c r="H4070">
        <v>1346.3</v>
      </c>
      <c r="I4070">
        <v>2472.2</v>
      </c>
      <c r="J4070">
        <v>11</v>
      </c>
      <c r="K4070">
        <v>0</v>
      </c>
      <c r="L4070">
        <v>18.8</v>
      </c>
      <c r="M4070">
        <v>25.9</v>
      </c>
      <c r="N4070" t="s">
        <v>61</v>
      </c>
      <c r="O4070" t="s">
        <v>47</v>
      </c>
      <c r="P4070" t="s">
        <v>58</v>
      </c>
      <c r="R4070">
        <f>SUMIF(A4070:A9069,"C04069",I4070:I9069)</f>
        <v>2472.2</v>
      </c>
      <c r="S4070" s="1">
        <v>76481.38</v>
      </c>
      <c r="T4070">
        <f t="shared" si="457"/>
        <v>224.745454545455</v>
      </c>
      <c r="U4070">
        <f t="shared" si="463"/>
        <v>284.9</v>
      </c>
      <c r="V4070">
        <f t="shared" si="458"/>
        <v>23.7416666666667</v>
      </c>
      <c r="W4070">
        <f t="shared" si="461"/>
        <v>1273.16666666667</v>
      </c>
      <c r="X4070">
        <f t="shared" si="459"/>
        <v>0.900245116244522</v>
      </c>
      <c r="AH4070" t="str">
        <f t="shared" si="462"/>
        <v>3rd Quality</v>
      </c>
      <c r="AJ4070">
        <f>((T4070-X4070)*2)/18.8</f>
        <v>23.8133201520437</v>
      </c>
      <c r="AK4070">
        <f t="shared" si="460"/>
        <v>272391.490909091</v>
      </c>
    </row>
    <row r="4071" spans="1:37">
      <c r="A4071" t="s">
        <v>4137</v>
      </c>
      <c r="B4071">
        <v>38</v>
      </c>
      <c r="C4071" t="s">
        <v>44</v>
      </c>
      <c r="D4071" t="s">
        <v>60</v>
      </c>
      <c r="E4071">
        <v>1452</v>
      </c>
      <c r="F4071">
        <v>7</v>
      </c>
      <c r="G4071">
        <v>28</v>
      </c>
      <c r="H4071">
        <v>3394.69</v>
      </c>
      <c r="I4071">
        <v>89898.53</v>
      </c>
      <c r="J4071">
        <v>175</v>
      </c>
      <c r="K4071">
        <v>0</v>
      </c>
      <c r="L4071">
        <v>2.4</v>
      </c>
      <c r="M4071">
        <v>27.1</v>
      </c>
      <c r="N4071" t="s">
        <v>52</v>
      </c>
      <c r="O4071" t="s">
        <v>47</v>
      </c>
      <c r="P4071" t="s">
        <v>68</v>
      </c>
      <c r="R4071">
        <f>SUMIF(A4071:A9070,"C04070",I4071:I9070)</f>
        <v>89898.53</v>
      </c>
      <c r="S4071" s="1">
        <v>12852.91</v>
      </c>
      <c r="T4071">
        <f t="shared" ref="T4071:T4134" si="464">I4071/J4071</f>
        <v>513.705885714286</v>
      </c>
      <c r="U4071">
        <f t="shared" si="463"/>
        <v>4742.5</v>
      </c>
      <c r="V4071">
        <f t="shared" si="458"/>
        <v>395.208333333333</v>
      </c>
      <c r="W4071">
        <f t="shared" si="461"/>
        <v>31098.0733333333</v>
      </c>
      <c r="X4071">
        <f t="shared" si="459"/>
        <v>0.4277268321997</v>
      </c>
      <c r="AH4071" t="str">
        <f t="shared" si="462"/>
        <v>2nd Quality</v>
      </c>
      <c r="AJ4071">
        <f>((T4071-X4071)*2)/2.4</f>
        <v>427.731799068405</v>
      </c>
      <c r="AK4071">
        <f t="shared" si="460"/>
        <v>745900.946057143</v>
      </c>
    </row>
    <row r="4072" spans="1:37">
      <c r="A4072" t="s">
        <v>4138</v>
      </c>
      <c r="B4072">
        <v>18</v>
      </c>
      <c r="C4072" t="s">
        <v>50</v>
      </c>
      <c r="D4072" t="s">
        <v>45</v>
      </c>
      <c r="E4072">
        <v>644</v>
      </c>
      <c r="F4072">
        <v>62</v>
      </c>
      <c r="G4072">
        <v>9</v>
      </c>
      <c r="H4072">
        <v>1891.12</v>
      </c>
      <c r="I4072">
        <v>15692.15</v>
      </c>
      <c r="J4072">
        <v>41</v>
      </c>
      <c r="K4072">
        <v>0</v>
      </c>
      <c r="L4072">
        <v>31.7</v>
      </c>
      <c r="M4072">
        <v>30.1</v>
      </c>
      <c r="N4072" t="s">
        <v>46</v>
      </c>
      <c r="O4072" t="s">
        <v>47</v>
      </c>
      <c r="P4072" t="s">
        <v>66</v>
      </c>
      <c r="R4072">
        <f>SUMIF(A4072:A9071,"C04071",I4072:I9071)</f>
        <v>15692.15</v>
      </c>
      <c r="S4072" s="1">
        <v>83835.06</v>
      </c>
      <c r="T4072">
        <f t="shared" si="464"/>
        <v>382.735365853659</v>
      </c>
      <c r="U4072">
        <f t="shared" si="463"/>
        <v>1234.1</v>
      </c>
      <c r="V4072">
        <f t="shared" si="458"/>
        <v>102.841666666667</v>
      </c>
      <c r="W4072">
        <f t="shared" si="461"/>
        <v>5861.42333333333</v>
      </c>
      <c r="X4072">
        <f t="shared" si="459"/>
        <v>0.340538939887474</v>
      </c>
      <c r="AH4072" t="str">
        <f t="shared" si="462"/>
        <v>3rd Quality</v>
      </c>
      <c r="AJ4072">
        <f>((T4072-X4072)*2)/31.7</f>
        <v>24.1258565876197</v>
      </c>
      <c r="AK4072">
        <f t="shared" si="460"/>
        <v>246481.575609756</v>
      </c>
    </row>
    <row r="4073" spans="1:37">
      <c r="A4073" t="s">
        <v>4139</v>
      </c>
      <c r="B4073">
        <v>27</v>
      </c>
      <c r="C4073" t="s">
        <v>50</v>
      </c>
      <c r="D4073" t="s">
        <v>51</v>
      </c>
      <c r="E4073">
        <v>1113</v>
      </c>
      <c r="F4073">
        <v>58</v>
      </c>
      <c r="G4073">
        <v>8</v>
      </c>
      <c r="H4073">
        <v>9907.44</v>
      </c>
      <c r="I4073">
        <v>76481.38</v>
      </c>
      <c r="J4073">
        <v>22</v>
      </c>
      <c r="K4073">
        <v>1</v>
      </c>
      <c r="L4073">
        <v>11.8</v>
      </c>
      <c r="M4073">
        <v>43.1</v>
      </c>
      <c r="N4073" t="s">
        <v>52</v>
      </c>
      <c r="O4073" t="s">
        <v>47</v>
      </c>
      <c r="P4073" t="s">
        <v>58</v>
      </c>
      <c r="R4073">
        <f>SUMIF(A4073:A9072,"C04072",I4073:I9072)</f>
        <v>76481.38</v>
      </c>
      <c r="S4073" s="1">
        <v>136082.1</v>
      </c>
      <c r="T4073">
        <f t="shared" si="464"/>
        <v>3476.42636363636</v>
      </c>
      <c r="U4073">
        <f t="shared" si="463"/>
        <v>948.2</v>
      </c>
      <c r="V4073">
        <f>U4073*1</f>
        <v>948.2</v>
      </c>
      <c r="W4073">
        <f t="shared" si="461"/>
        <v>28796.6066666667</v>
      </c>
      <c r="X4073">
        <f t="shared" si="459"/>
        <v>0.112339817349386</v>
      </c>
      <c r="AH4073" t="str">
        <f t="shared" si="462"/>
        <v>1st Quality</v>
      </c>
      <c r="AJ4073">
        <f>((T4073-X4073)*2)/11.8</f>
        <v>589.205766748985</v>
      </c>
      <c r="AK4073">
        <f t="shared" si="460"/>
        <v>3869262.54272727</v>
      </c>
    </row>
    <row r="4074" spans="1:37">
      <c r="A4074" t="s">
        <v>4140</v>
      </c>
      <c r="B4074">
        <v>48</v>
      </c>
      <c r="C4074" t="s">
        <v>101</v>
      </c>
      <c r="D4074" t="s">
        <v>45</v>
      </c>
      <c r="E4074">
        <v>669</v>
      </c>
      <c r="F4074">
        <v>23</v>
      </c>
      <c r="G4074">
        <v>5</v>
      </c>
      <c r="H4074">
        <v>2861.01</v>
      </c>
      <c r="I4074">
        <v>12852.91</v>
      </c>
      <c r="J4074">
        <v>20</v>
      </c>
      <c r="K4074">
        <v>1</v>
      </c>
      <c r="L4074">
        <v>15.4</v>
      </c>
      <c r="M4074">
        <v>38.8</v>
      </c>
      <c r="N4074" t="s">
        <v>78</v>
      </c>
      <c r="O4074" t="s">
        <v>53</v>
      </c>
      <c r="P4074" t="s">
        <v>66</v>
      </c>
      <c r="R4074">
        <f>SUMIF(A4074:A9073,"C04073",I4074:I9073)</f>
        <v>12852.91</v>
      </c>
      <c r="S4074" s="1">
        <v>10777.82</v>
      </c>
      <c r="T4074">
        <f t="shared" si="464"/>
        <v>642.6455</v>
      </c>
      <c r="U4074">
        <f t="shared" si="463"/>
        <v>776</v>
      </c>
      <c r="V4074">
        <f>U4074*1</f>
        <v>776</v>
      </c>
      <c r="W4074">
        <f t="shared" si="461"/>
        <v>5238.30666666667</v>
      </c>
      <c r="X4074">
        <f t="shared" si="459"/>
        <v>0.233833506349156</v>
      </c>
      <c r="AH4074" t="str">
        <f t="shared" si="462"/>
        <v>3rd Quality</v>
      </c>
      <c r="AJ4074">
        <f>((T4074-X4074)*2)/15.4</f>
        <v>83.430086557617</v>
      </c>
      <c r="AK4074">
        <f t="shared" si="460"/>
        <v>429929.8395</v>
      </c>
    </row>
    <row r="4075" spans="1:37">
      <c r="A4075" t="s">
        <v>4141</v>
      </c>
      <c r="B4075">
        <v>27</v>
      </c>
      <c r="C4075" t="s">
        <v>44</v>
      </c>
      <c r="D4075" t="s">
        <v>60</v>
      </c>
      <c r="E4075">
        <v>1460</v>
      </c>
      <c r="F4075">
        <v>9</v>
      </c>
      <c r="G4075">
        <v>24</v>
      </c>
      <c r="H4075">
        <v>3216.1</v>
      </c>
      <c r="I4075">
        <v>83835.06</v>
      </c>
      <c r="J4075">
        <v>178</v>
      </c>
      <c r="K4075">
        <v>1</v>
      </c>
      <c r="L4075">
        <v>18.6</v>
      </c>
      <c r="M4075">
        <v>38.5</v>
      </c>
      <c r="N4075" t="s">
        <v>63</v>
      </c>
      <c r="O4075" t="s">
        <v>75</v>
      </c>
      <c r="P4075" t="s">
        <v>66</v>
      </c>
      <c r="R4075">
        <f>SUMIF(A4075:A9074,"C04074",I4075:I9074)</f>
        <v>83835.06</v>
      </c>
      <c r="S4075" s="1">
        <v>30233.37</v>
      </c>
      <c r="T4075">
        <f t="shared" si="464"/>
        <v>470.983483146067</v>
      </c>
      <c r="U4075">
        <f t="shared" si="463"/>
        <v>6853</v>
      </c>
      <c r="V4075">
        <f>U4075*1</f>
        <v>6853</v>
      </c>
      <c r="W4075">
        <f t="shared" si="461"/>
        <v>29017.3866666667</v>
      </c>
      <c r="X4075">
        <f t="shared" si="459"/>
        <v>0.453965983644787</v>
      </c>
      <c r="AH4075" t="str">
        <f t="shared" si="462"/>
        <v>1st Quality</v>
      </c>
      <c r="AJ4075">
        <f>((T4075-X4075)*2)/18.6</f>
        <v>50.5945717378949</v>
      </c>
      <c r="AK4075">
        <f t="shared" si="460"/>
        <v>687635.885393258</v>
      </c>
    </row>
    <row r="4076" spans="1:37">
      <c r="A4076" t="s">
        <v>4142</v>
      </c>
      <c r="B4076">
        <v>18</v>
      </c>
      <c r="C4076" t="s">
        <v>50</v>
      </c>
      <c r="D4076" t="s">
        <v>51</v>
      </c>
      <c r="E4076">
        <v>1049</v>
      </c>
      <c r="F4076">
        <v>9</v>
      </c>
      <c r="G4076">
        <v>26</v>
      </c>
      <c r="H4076">
        <v>5342.99</v>
      </c>
      <c r="I4076">
        <v>136082.1</v>
      </c>
      <c r="J4076">
        <v>82</v>
      </c>
      <c r="K4076">
        <v>2</v>
      </c>
      <c r="L4076">
        <v>10.4</v>
      </c>
      <c r="M4076">
        <v>46.2</v>
      </c>
      <c r="N4076" t="s">
        <v>63</v>
      </c>
      <c r="O4076" t="s">
        <v>47</v>
      </c>
      <c r="P4076" t="s">
        <v>58</v>
      </c>
      <c r="R4076">
        <f>SUMIF(A4076:A9075,"C04075",I4076:I9075)</f>
        <v>136082.1</v>
      </c>
      <c r="S4076" s="1">
        <v>74080.31</v>
      </c>
      <c r="T4076">
        <f t="shared" si="464"/>
        <v>1659.53780487805</v>
      </c>
      <c r="U4076">
        <f t="shared" si="463"/>
        <v>3788.4</v>
      </c>
      <c r="V4076">
        <f>U4076*2</f>
        <v>7576.8</v>
      </c>
      <c r="W4076">
        <f t="shared" si="461"/>
        <v>47142.03</v>
      </c>
      <c r="X4076">
        <f t="shared" si="459"/>
        <v>0.196332016342909</v>
      </c>
      <c r="AH4076" t="str">
        <f t="shared" si="462"/>
        <v>1st Quality</v>
      </c>
      <c r="AJ4076">
        <f>((T4076-X4076)*2)/10.4</f>
        <v>319.104129396482</v>
      </c>
      <c r="AK4076">
        <f t="shared" si="460"/>
        <v>1740855.15731707</v>
      </c>
    </row>
    <row r="4077" spans="1:37">
      <c r="A4077" t="s">
        <v>4143</v>
      </c>
      <c r="B4077">
        <v>36</v>
      </c>
      <c r="C4077" t="s">
        <v>44</v>
      </c>
      <c r="D4077" t="s">
        <v>60</v>
      </c>
      <c r="E4077">
        <v>456</v>
      </c>
      <c r="F4077">
        <v>28</v>
      </c>
      <c r="G4077">
        <v>5</v>
      </c>
      <c r="H4077">
        <v>1956.38</v>
      </c>
      <c r="I4077">
        <v>10777.82</v>
      </c>
      <c r="J4077">
        <v>24</v>
      </c>
      <c r="K4077">
        <v>2</v>
      </c>
      <c r="L4077">
        <v>14.1</v>
      </c>
      <c r="M4077">
        <v>11.8</v>
      </c>
      <c r="N4077" t="s">
        <v>78</v>
      </c>
      <c r="O4077" t="s">
        <v>47</v>
      </c>
      <c r="P4077" t="s">
        <v>48</v>
      </c>
      <c r="R4077">
        <f>SUMIF(A4077:A9076,"C04076",I4077:I9076)</f>
        <v>10777.82</v>
      </c>
      <c r="S4077" s="1">
        <v>37184.04</v>
      </c>
      <c r="T4077">
        <f t="shared" si="464"/>
        <v>449.075833333333</v>
      </c>
      <c r="U4077">
        <f t="shared" si="463"/>
        <v>283.2</v>
      </c>
      <c r="V4077">
        <f>U4077*2</f>
        <v>566.4</v>
      </c>
      <c r="W4077">
        <f t="shared" si="461"/>
        <v>4245.06666666667</v>
      </c>
      <c r="X4077">
        <f t="shared" si="459"/>
        <v>0.23308355227512</v>
      </c>
      <c r="AH4077" t="str">
        <f t="shared" si="462"/>
        <v>3rd Quality</v>
      </c>
      <c r="AJ4077">
        <f>((T4077-X4077)*2)/14.1</f>
        <v>63.6656382668167</v>
      </c>
      <c r="AK4077">
        <f t="shared" si="460"/>
        <v>204778.58</v>
      </c>
    </row>
    <row r="4078" spans="1:37">
      <c r="A4078" t="s">
        <v>4144</v>
      </c>
      <c r="B4078">
        <v>33</v>
      </c>
      <c r="C4078" t="s">
        <v>44</v>
      </c>
      <c r="D4078" t="s">
        <v>60</v>
      </c>
      <c r="E4078">
        <v>472</v>
      </c>
      <c r="F4078">
        <v>15</v>
      </c>
      <c r="G4078">
        <v>2</v>
      </c>
      <c r="H4078">
        <v>16960.82</v>
      </c>
      <c r="I4078">
        <v>30233.37</v>
      </c>
      <c r="J4078">
        <v>18</v>
      </c>
      <c r="K4078">
        <v>0</v>
      </c>
      <c r="L4078">
        <v>14.2</v>
      </c>
      <c r="M4078">
        <v>55.4</v>
      </c>
      <c r="N4078" t="s">
        <v>78</v>
      </c>
      <c r="O4078" t="s">
        <v>53</v>
      </c>
      <c r="P4078" t="s">
        <v>58</v>
      </c>
      <c r="R4078">
        <f>SUMIF(A4078:A9077,"C04077",I4078:I9077)</f>
        <v>30233.37</v>
      </c>
      <c r="S4078" s="1">
        <v>14801.52</v>
      </c>
      <c r="T4078">
        <f t="shared" si="464"/>
        <v>1679.63166666667</v>
      </c>
      <c r="U4078">
        <f t="shared" si="463"/>
        <v>997.2</v>
      </c>
      <c r="V4078">
        <f t="shared" si="458"/>
        <v>83.1</v>
      </c>
      <c r="W4078">
        <f t="shared" si="461"/>
        <v>15731.73</v>
      </c>
      <c r="X4078">
        <f t="shared" si="459"/>
        <v>0.0278288431809311</v>
      </c>
      <c r="AH4078" t="str">
        <f t="shared" si="462"/>
        <v>2nd Quality</v>
      </c>
      <c r="AJ4078">
        <f>((T4078-X4078)*2)/14.2</f>
        <v>236.56392082021</v>
      </c>
      <c r="AK4078">
        <f t="shared" si="460"/>
        <v>792786.146666667</v>
      </c>
    </row>
    <row r="4079" spans="1:37">
      <c r="A4079" t="s">
        <v>4145</v>
      </c>
      <c r="B4079">
        <v>27</v>
      </c>
      <c r="C4079" t="s">
        <v>50</v>
      </c>
      <c r="D4079" t="s">
        <v>45</v>
      </c>
      <c r="E4079">
        <v>811</v>
      </c>
      <c r="F4079">
        <v>28</v>
      </c>
      <c r="G4079">
        <v>4</v>
      </c>
      <c r="H4079">
        <v>20099.43</v>
      </c>
      <c r="I4079">
        <v>74080.31</v>
      </c>
      <c r="J4079">
        <v>42</v>
      </c>
      <c r="K4079">
        <v>0</v>
      </c>
      <c r="L4079">
        <v>17.5</v>
      </c>
      <c r="M4079">
        <v>11.2</v>
      </c>
      <c r="N4079" t="s">
        <v>46</v>
      </c>
      <c r="O4079" t="s">
        <v>75</v>
      </c>
      <c r="P4079" t="s">
        <v>66</v>
      </c>
      <c r="R4079">
        <f>SUMIF(A4079:A9078,"C04078",I4079:I9078)</f>
        <v>74080.31</v>
      </c>
      <c r="S4079" s="1">
        <v>9256.09</v>
      </c>
      <c r="T4079">
        <f t="shared" si="464"/>
        <v>1763.8169047619</v>
      </c>
      <c r="U4079">
        <f t="shared" si="463"/>
        <v>470.4</v>
      </c>
      <c r="V4079">
        <f t="shared" si="458"/>
        <v>39.2</v>
      </c>
      <c r="W4079">
        <f t="shared" si="461"/>
        <v>31393.58</v>
      </c>
      <c r="X4079">
        <f t="shared" si="459"/>
        <v>0.0403494029432675</v>
      </c>
      <c r="AH4079" t="str">
        <f t="shared" si="462"/>
        <v>2nd Quality</v>
      </c>
      <c r="AJ4079">
        <f>((T4079-X4079)*2)/17.5</f>
        <v>201.574463469595</v>
      </c>
      <c r="AK4079">
        <f t="shared" si="460"/>
        <v>1430455.5097619</v>
      </c>
    </row>
    <row r="4080" spans="1:37">
      <c r="A4080" t="s">
        <v>4146</v>
      </c>
      <c r="B4080">
        <v>42</v>
      </c>
      <c r="C4080" t="s">
        <v>44</v>
      </c>
      <c r="D4080" t="s">
        <v>60</v>
      </c>
      <c r="E4080">
        <v>854</v>
      </c>
      <c r="F4080">
        <v>7</v>
      </c>
      <c r="G4080">
        <v>21</v>
      </c>
      <c r="H4080">
        <v>1638.6</v>
      </c>
      <c r="I4080">
        <v>37184.04</v>
      </c>
      <c r="J4080">
        <v>115</v>
      </c>
      <c r="K4080">
        <v>1</v>
      </c>
      <c r="L4080">
        <v>7.2</v>
      </c>
      <c r="M4080">
        <v>78.4</v>
      </c>
      <c r="N4080" t="s">
        <v>63</v>
      </c>
      <c r="O4080" t="s">
        <v>47</v>
      </c>
      <c r="P4080" t="s">
        <v>66</v>
      </c>
      <c r="R4080">
        <f>SUMIF(A4080:A9079,"C04079",I4080:I9079)</f>
        <v>37184.04</v>
      </c>
      <c r="S4080" s="1">
        <v>11296.45</v>
      </c>
      <c r="T4080">
        <f t="shared" si="464"/>
        <v>323.33947826087</v>
      </c>
      <c r="U4080">
        <f t="shared" si="463"/>
        <v>9016</v>
      </c>
      <c r="V4080">
        <f>U4080*1</f>
        <v>9016</v>
      </c>
      <c r="W4080">
        <f t="shared" si="461"/>
        <v>12941.2133333333</v>
      </c>
      <c r="X4080">
        <f t="shared" si="459"/>
        <v>0.521176614182839</v>
      </c>
      <c r="AH4080" t="str">
        <f t="shared" si="462"/>
        <v>2nd Quality</v>
      </c>
      <c r="AJ4080">
        <f>((T4080-X4080)*2)/7.2</f>
        <v>89.6717504574131</v>
      </c>
      <c r="AK4080">
        <f t="shared" si="460"/>
        <v>276131.914434783</v>
      </c>
    </row>
    <row r="4081" spans="1:37">
      <c r="A4081" t="s">
        <v>4147</v>
      </c>
      <c r="B4081">
        <v>27</v>
      </c>
      <c r="C4081" t="s">
        <v>50</v>
      </c>
      <c r="D4081" t="s">
        <v>45</v>
      </c>
      <c r="E4081">
        <v>621</v>
      </c>
      <c r="F4081">
        <v>80</v>
      </c>
      <c r="G4081">
        <v>10</v>
      </c>
      <c r="H4081">
        <v>1493.12</v>
      </c>
      <c r="I4081">
        <v>14801.52</v>
      </c>
      <c r="J4081">
        <v>33</v>
      </c>
      <c r="K4081">
        <v>0</v>
      </c>
      <c r="L4081">
        <v>24.6</v>
      </c>
      <c r="M4081">
        <v>8.5</v>
      </c>
      <c r="N4081" t="s">
        <v>57</v>
      </c>
      <c r="O4081" t="s">
        <v>47</v>
      </c>
      <c r="P4081" t="s">
        <v>58</v>
      </c>
      <c r="R4081">
        <f>SUMIF(A4081:A9080,"C04080",I4081:I9080)</f>
        <v>14801.52</v>
      </c>
      <c r="S4081" s="1">
        <v>2400.36</v>
      </c>
      <c r="T4081">
        <f t="shared" si="464"/>
        <v>448.530909090909</v>
      </c>
      <c r="U4081">
        <f t="shared" si="463"/>
        <v>280.5</v>
      </c>
      <c r="V4081">
        <f t="shared" si="458"/>
        <v>23.375</v>
      </c>
      <c r="W4081">
        <f t="shared" si="461"/>
        <v>5431.88</v>
      </c>
      <c r="X4081">
        <f t="shared" si="459"/>
        <v>0.41590762966138</v>
      </c>
      <c r="AH4081" t="str">
        <f t="shared" si="462"/>
        <v>3rd Quality</v>
      </c>
      <c r="AJ4081">
        <f>((T4081-X4081)*2)/24.6</f>
        <v>36.4321139399388</v>
      </c>
      <c r="AK4081">
        <f t="shared" si="460"/>
        <v>278537.694545455</v>
      </c>
    </row>
    <row r="4082" spans="1:37">
      <c r="A4082" t="s">
        <v>4148</v>
      </c>
      <c r="B4082">
        <v>24</v>
      </c>
      <c r="C4082" t="s">
        <v>50</v>
      </c>
      <c r="D4082" t="s">
        <v>45</v>
      </c>
      <c r="E4082">
        <v>457</v>
      </c>
      <c r="F4082">
        <v>40</v>
      </c>
      <c r="G4082">
        <v>8</v>
      </c>
      <c r="H4082">
        <v>1293.81</v>
      </c>
      <c r="I4082">
        <v>9256.09</v>
      </c>
      <c r="J4082">
        <v>45</v>
      </c>
      <c r="K4082">
        <v>0</v>
      </c>
      <c r="L4082">
        <v>21.9</v>
      </c>
      <c r="M4082">
        <v>14</v>
      </c>
      <c r="N4082" t="s">
        <v>57</v>
      </c>
      <c r="O4082" t="s">
        <v>75</v>
      </c>
      <c r="P4082" t="s">
        <v>58</v>
      </c>
      <c r="R4082">
        <f>SUMIF(A4082:A9081,"C04081",I4082:I9081)</f>
        <v>9256.09</v>
      </c>
      <c r="S4082" s="1">
        <v>8282.47</v>
      </c>
      <c r="T4082">
        <f t="shared" si="464"/>
        <v>205.690888888889</v>
      </c>
      <c r="U4082">
        <f t="shared" si="463"/>
        <v>630</v>
      </c>
      <c r="V4082">
        <f t="shared" si="458"/>
        <v>52.5</v>
      </c>
      <c r="W4082">
        <f t="shared" si="461"/>
        <v>3516.96666666667</v>
      </c>
      <c r="X4082">
        <f t="shared" si="459"/>
        <v>0.353220333742976</v>
      </c>
      <c r="AH4082" t="str">
        <f t="shared" si="462"/>
        <v>3rd Quality</v>
      </c>
      <c r="AJ4082">
        <f>((T4082-X4082)*2)/21.9</f>
        <v>18.7522984981869</v>
      </c>
      <c r="AK4082">
        <f t="shared" si="460"/>
        <v>94000.7362222222</v>
      </c>
    </row>
    <row r="4083" spans="1:37">
      <c r="A4083" t="s">
        <v>4149</v>
      </c>
      <c r="B4083">
        <v>41</v>
      </c>
      <c r="C4083" t="s">
        <v>50</v>
      </c>
      <c r="D4083" t="s">
        <v>60</v>
      </c>
      <c r="E4083">
        <v>1397</v>
      </c>
      <c r="F4083">
        <v>20</v>
      </c>
      <c r="G4083">
        <v>9</v>
      </c>
      <c r="H4083">
        <v>1408.39</v>
      </c>
      <c r="I4083">
        <v>11296.45</v>
      </c>
      <c r="J4083">
        <v>70</v>
      </c>
      <c r="K4083">
        <v>1</v>
      </c>
      <c r="L4083">
        <v>26.1</v>
      </c>
      <c r="M4083">
        <v>24.5</v>
      </c>
      <c r="N4083" t="s">
        <v>52</v>
      </c>
      <c r="O4083" t="s">
        <v>47</v>
      </c>
      <c r="P4083" t="s">
        <v>58</v>
      </c>
      <c r="R4083">
        <f>SUMIF(A4083:A9082,"C04082",I4083:I9082)</f>
        <v>11296.45</v>
      </c>
      <c r="S4083" s="1">
        <v>12243.26</v>
      </c>
      <c r="T4083">
        <f t="shared" si="464"/>
        <v>161.377857142857</v>
      </c>
      <c r="U4083">
        <f t="shared" si="463"/>
        <v>1715</v>
      </c>
      <c r="V4083">
        <f>U4083*1</f>
        <v>1715</v>
      </c>
      <c r="W4083">
        <f t="shared" si="461"/>
        <v>4235.28</v>
      </c>
      <c r="X4083">
        <f t="shared" si="459"/>
        <v>0.991912751439587</v>
      </c>
      <c r="AH4083" t="str">
        <f t="shared" si="462"/>
        <v>3rd Quality</v>
      </c>
      <c r="AJ4083">
        <f>((T4083-X4083)*2)/26.1</f>
        <v>12.2901106813347</v>
      </c>
      <c r="AK4083">
        <f t="shared" si="460"/>
        <v>225444.866428571</v>
      </c>
    </row>
    <row r="4084" spans="1:37">
      <c r="A4084" t="s">
        <v>4150</v>
      </c>
      <c r="B4084">
        <v>27</v>
      </c>
      <c r="C4084" t="s">
        <v>50</v>
      </c>
      <c r="D4084" t="s">
        <v>60</v>
      </c>
      <c r="E4084">
        <v>1119</v>
      </c>
      <c r="F4084">
        <v>218</v>
      </c>
      <c r="G4084">
        <v>3</v>
      </c>
      <c r="H4084">
        <v>730.86</v>
      </c>
      <c r="I4084">
        <v>2400.36</v>
      </c>
      <c r="J4084">
        <v>22</v>
      </c>
      <c r="K4084">
        <v>0</v>
      </c>
      <c r="L4084">
        <v>34.6</v>
      </c>
      <c r="M4084">
        <v>29.3</v>
      </c>
      <c r="N4084" t="s">
        <v>52</v>
      </c>
      <c r="O4084" t="s">
        <v>75</v>
      </c>
      <c r="P4084" t="s">
        <v>48</v>
      </c>
      <c r="R4084">
        <f>SUMIF(A4084:A9083,"C04083",I4084:I9083)</f>
        <v>2400.36</v>
      </c>
      <c r="S4084" s="1">
        <v>1932.18</v>
      </c>
      <c r="T4084">
        <f t="shared" si="464"/>
        <v>109.107272727273</v>
      </c>
      <c r="U4084">
        <f t="shared" si="463"/>
        <v>644.6</v>
      </c>
      <c r="V4084">
        <f t="shared" si="458"/>
        <v>53.7166666666667</v>
      </c>
      <c r="W4084">
        <f t="shared" si="461"/>
        <v>1044.07333333333</v>
      </c>
      <c r="X4084">
        <f t="shared" si="459"/>
        <v>1.53107298251375</v>
      </c>
      <c r="AH4084" t="str">
        <f t="shared" si="462"/>
        <v>3rd Quality</v>
      </c>
      <c r="AJ4084">
        <f>((T4084-X4084)*2)/34.6</f>
        <v>6.2182774418936</v>
      </c>
      <c r="AK4084">
        <f t="shared" si="460"/>
        <v>122091.038181818</v>
      </c>
    </row>
    <row r="4085" spans="1:37">
      <c r="A4085" t="s">
        <v>4151</v>
      </c>
      <c r="B4085">
        <v>25</v>
      </c>
      <c r="C4085" t="s">
        <v>50</v>
      </c>
      <c r="D4085" t="s">
        <v>45</v>
      </c>
      <c r="E4085">
        <v>1357</v>
      </c>
      <c r="F4085">
        <v>72</v>
      </c>
      <c r="G4085">
        <v>8</v>
      </c>
      <c r="H4085">
        <v>1098.11</v>
      </c>
      <c r="I4085">
        <v>8282.47</v>
      </c>
      <c r="J4085">
        <v>23</v>
      </c>
      <c r="K4085">
        <v>1</v>
      </c>
      <c r="L4085">
        <v>28.9</v>
      </c>
      <c r="M4085">
        <v>29</v>
      </c>
      <c r="N4085" t="s">
        <v>52</v>
      </c>
      <c r="O4085" t="s">
        <v>47</v>
      </c>
      <c r="P4085" t="s">
        <v>68</v>
      </c>
      <c r="R4085">
        <f>SUMIF(A4085:A9084,"C04084",I4085:I9084)</f>
        <v>8282.47</v>
      </c>
      <c r="S4085" s="1">
        <v>98649.41</v>
      </c>
      <c r="T4085">
        <f t="shared" si="464"/>
        <v>360.107391304348</v>
      </c>
      <c r="U4085">
        <f t="shared" si="463"/>
        <v>667</v>
      </c>
      <c r="V4085">
        <f>U4085*1</f>
        <v>667</v>
      </c>
      <c r="W4085">
        <f t="shared" si="461"/>
        <v>3127.19333333333</v>
      </c>
      <c r="X4085">
        <f t="shared" si="459"/>
        <v>1.23575962335285</v>
      </c>
      <c r="AH4085" t="str">
        <f t="shared" si="462"/>
        <v>3rd Quality</v>
      </c>
      <c r="AJ4085">
        <f>((T4085-X4085)*2)/28.9</f>
        <v>24.8354070367471</v>
      </c>
      <c r="AK4085">
        <f t="shared" si="460"/>
        <v>488665.73</v>
      </c>
    </row>
    <row r="4086" spans="1:37">
      <c r="A4086" t="s">
        <v>4152</v>
      </c>
      <c r="B4086">
        <v>65</v>
      </c>
      <c r="C4086" t="s">
        <v>44</v>
      </c>
      <c r="D4086" t="s">
        <v>45</v>
      </c>
      <c r="E4086">
        <v>682</v>
      </c>
      <c r="F4086">
        <v>23</v>
      </c>
      <c r="G4086">
        <v>2</v>
      </c>
      <c r="H4086">
        <v>6255.42</v>
      </c>
      <c r="I4086">
        <v>12243.26</v>
      </c>
      <c r="J4086">
        <v>24</v>
      </c>
      <c r="K4086">
        <v>0</v>
      </c>
      <c r="L4086">
        <v>0</v>
      </c>
      <c r="M4086">
        <v>61.8</v>
      </c>
      <c r="N4086" t="s">
        <v>63</v>
      </c>
      <c r="O4086" t="s">
        <v>47</v>
      </c>
      <c r="P4086" t="s">
        <v>58</v>
      </c>
      <c r="R4086">
        <f>SUMIF(A4086:A9085,"C04085",I4086:I9085)</f>
        <v>12243.26</v>
      </c>
      <c r="S4086" s="1">
        <v>8386.1</v>
      </c>
      <c r="T4086">
        <f t="shared" si="464"/>
        <v>510.135833333333</v>
      </c>
      <c r="U4086">
        <f t="shared" si="463"/>
        <v>1483.2</v>
      </c>
      <c r="V4086">
        <f t="shared" ref="V4086:V4149" si="465">U4086/12</f>
        <v>123.6</v>
      </c>
      <c r="W4086">
        <f t="shared" si="461"/>
        <v>6166.56</v>
      </c>
      <c r="X4086">
        <f t="shared" si="459"/>
        <v>0.109025453127048</v>
      </c>
      <c r="AH4086" t="str">
        <f t="shared" si="462"/>
        <v>3rd Quality</v>
      </c>
      <c r="AJ4086">
        <f>((T4086-X4086)*2)</f>
        <v>1020.05361576041</v>
      </c>
      <c r="AK4086">
        <f t="shared" si="460"/>
        <v>347912.638333333</v>
      </c>
    </row>
    <row r="4087" spans="1:37">
      <c r="A4087" t="s">
        <v>4153</v>
      </c>
      <c r="B4087">
        <v>43</v>
      </c>
      <c r="C4087" t="s">
        <v>50</v>
      </c>
      <c r="D4087" t="s">
        <v>45</v>
      </c>
      <c r="E4087">
        <v>990</v>
      </c>
      <c r="F4087">
        <v>226</v>
      </c>
      <c r="G4087">
        <v>1</v>
      </c>
      <c r="H4087">
        <v>1764.09</v>
      </c>
      <c r="I4087">
        <v>1932.18</v>
      </c>
      <c r="J4087">
        <v>8</v>
      </c>
      <c r="K4087">
        <v>0</v>
      </c>
      <c r="L4087">
        <v>13.4</v>
      </c>
      <c r="M4087">
        <v>46.6</v>
      </c>
      <c r="N4087" t="s">
        <v>81</v>
      </c>
      <c r="O4087" t="s">
        <v>53</v>
      </c>
      <c r="P4087" t="s">
        <v>48</v>
      </c>
      <c r="R4087">
        <f>SUMIF(A4087:A9086,"C04086",I4087:I9086)</f>
        <v>1932.18</v>
      </c>
      <c r="S4087" s="1">
        <v>89764.52</v>
      </c>
      <c r="T4087">
        <f t="shared" si="464"/>
        <v>241.5225</v>
      </c>
      <c r="U4087">
        <f t="shared" si="463"/>
        <v>372.8</v>
      </c>
      <c r="V4087">
        <f t="shared" si="465"/>
        <v>31.0666666666667</v>
      </c>
      <c r="W4087">
        <f t="shared" si="461"/>
        <v>1232.42333333333</v>
      </c>
      <c r="X4087">
        <f t="shared" si="459"/>
        <v>0.561195857354217</v>
      </c>
      <c r="AH4087" t="str">
        <f t="shared" si="462"/>
        <v>3rd Quality</v>
      </c>
      <c r="AJ4087">
        <f>((T4087-X4087)*2)/13.4</f>
        <v>35.9643737526337</v>
      </c>
      <c r="AK4087">
        <f t="shared" si="460"/>
        <v>239107.275</v>
      </c>
    </row>
    <row r="4088" spans="1:37">
      <c r="A4088" t="s">
        <v>4154</v>
      </c>
      <c r="B4088">
        <v>52</v>
      </c>
      <c r="C4088" t="s">
        <v>50</v>
      </c>
      <c r="D4088" t="s">
        <v>60</v>
      </c>
      <c r="E4088">
        <v>1063</v>
      </c>
      <c r="F4088">
        <v>67</v>
      </c>
      <c r="G4088">
        <v>7</v>
      </c>
      <c r="H4088">
        <v>13547.71</v>
      </c>
      <c r="I4088">
        <v>98649.41</v>
      </c>
      <c r="J4088">
        <v>48</v>
      </c>
      <c r="K4088">
        <v>1</v>
      </c>
      <c r="L4088">
        <v>12.8</v>
      </c>
      <c r="M4088">
        <v>43.6</v>
      </c>
      <c r="N4088" t="s">
        <v>63</v>
      </c>
      <c r="O4088" t="s">
        <v>75</v>
      </c>
      <c r="P4088" t="s">
        <v>68</v>
      </c>
      <c r="R4088">
        <f>SUMIF(A4088:A9087,"C04087",I4088:I9087)</f>
        <v>98649.41</v>
      </c>
      <c r="S4088" s="1">
        <v>61665.91</v>
      </c>
      <c r="T4088">
        <f t="shared" si="464"/>
        <v>2055.19604166667</v>
      </c>
      <c r="U4088">
        <f t="shared" si="463"/>
        <v>2092.8</v>
      </c>
      <c r="V4088">
        <f>U4088*1</f>
        <v>2092.8</v>
      </c>
      <c r="W4088">
        <f t="shared" si="461"/>
        <v>37399.3733333333</v>
      </c>
      <c r="X4088">
        <f t="shared" ref="X4088:X4151" si="466">E4088/H4088</f>
        <v>0.0784634451136022</v>
      </c>
      <c r="AH4088" t="str">
        <f t="shared" si="462"/>
        <v>3rd Quality</v>
      </c>
      <c r="AJ4088">
        <f>((T4088-X4088)*2)/12.8</f>
        <v>321.112121597118</v>
      </c>
      <c r="AK4088">
        <f t="shared" si="460"/>
        <v>2184673.39229167</v>
      </c>
    </row>
    <row r="4089" spans="1:37">
      <c r="A4089" t="s">
        <v>4155</v>
      </c>
      <c r="B4089">
        <v>33</v>
      </c>
      <c r="C4089" t="s">
        <v>101</v>
      </c>
      <c r="D4089" t="s">
        <v>51</v>
      </c>
      <c r="E4089">
        <v>705</v>
      </c>
      <c r="F4089">
        <v>50</v>
      </c>
      <c r="G4089">
        <v>1</v>
      </c>
      <c r="H4089">
        <v>7874.96</v>
      </c>
      <c r="I4089">
        <v>8386.1</v>
      </c>
      <c r="J4089">
        <v>7</v>
      </c>
      <c r="K4089">
        <v>0</v>
      </c>
      <c r="L4089">
        <v>1.1</v>
      </c>
      <c r="M4089">
        <v>49.4</v>
      </c>
      <c r="N4089" t="s">
        <v>57</v>
      </c>
      <c r="O4089" t="s">
        <v>47</v>
      </c>
      <c r="P4089" t="s">
        <v>58</v>
      </c>
      <c r="R4089">
        <f>SUMIF(A4089:A9088,"C04088",I4089:I9088)</f>
        <v>8386.1</v>
      </c>
      <c r="S4089" s="1">
        <v>71598.09</v>
      </c>
      <c r="T4089">
        <f t="shared" si="464"/>
        <v>1198.01428571429</v>
      </c>
      <c r="U4089">
        <f t="shared" si="463"/>
        <v>345.8</v>
      </c>
      <c r="V4089">
        <f t="shared" si="465"/>
        <v>28.8166666666667</v>
      </c>
      <c r="W4089">
        <f t="shared" si="461"/>
        <v>5420.68666666667</v>
      </c>
      <c r="X4089">
        <f t="shared" si="466"/>
        <v>0.0895242642502311</v>
      </c>
      <c r="AH4089" t="str">
        <f t="shared" si="462"/>
        <v>3rd Quality</v>
      </c>
      <c r="AJ4089">
        <f>((T4089-X4089)*2)/1.1</f>
        <v>2178.04502081825</v>
      </c>
      <c r="AK4089">
        <f t="shared" si="460"/>
        <v>844600.071428571</v>
      </c>
    </row>
    <row r="4090" spans="1:37">
      <c r="A4090" t="s">
        <v>4156</v>
      </c>
      <c r="B4090">
        <v>26</v>
      </c>
      <c r="C4090" t="s">
        <v>44</v>
      </c>
      <c r="D4090" t="s">
        <v>60</v>
      </c>
      <c r="E4090">
        <v>1072</v>
      </c>
      <c r="F4090">
        <v>2</v>
      </c>
      <c r="G4090">
        <v>32</v>
      </c>
      <c r="H4090">
        <v>2824.46</v>
      </c>
      <c r="I4090">
        <v>89764.52</v>
      </c>
      <c r="J4090">
        <v>141</v>
      </c>
      <c r="K4090">
        <v>3</v>
      </c>
      <c r="L4090">
        <v>11.4</v>
      </c>
      <c r="M4090">
        <v>64.5</v>
      </c>
      <c r="N4090" t="s">
        <v>81</v>
      </c>
      <c r="O4090" t="s">
        <v>47</v>
      </c>
      <c r="P4090" t="s">
        <v>68</v>
      </c>
      <c r="R4090">
        <f>SUMIF(A4090:A9089,"C04089",I4090:I9089)</f>
        <v>89764.52</v>
      </c>
      <c r="S4090" s="1">
        <v>1431.12</v>
      </c>
      <c r="T4090">
        <f t="shared" si="464"/>
        <v>636.62780141844</v>
      </c>
      <c r="U4090">
        <f t="shared" si="463"/>
        <v>9094.5</v>
      </c>
      <c r="V4090">
        <f>U4090*3</f>
        <v>27283.5</v>
      </c>
      <c r="W4090">
        <f t="shared" si="461"/>
        <v>30863.3266666667</v>
      </c>
      <c r="X4090">
        <f t="shared" si="466"/>
        <v>0.379541576088881</v>
      </c>
      <c r="AH4090" t="str">
        <f t="shared" si="462"/>
        <v>1st Quality</v>
      </c>
      <c r="AJ4090">
        <f>((T4090-X4090)*2)/11.4</f>
        <v>111.622501726728</v>
      </c>
      <c r="AK4090">
        <f t="shared" si="460"/>
        <v>682465.003120567</v>
      </c>
    </row>
    <row r="4091" spans="1:37">
      <c r="A4091" t="s">
        <v>4157</v>
      </c>
      <c r="B4091">
        <v>20</v>
      </c>
      <c r="C4091" t="s">
        <v>44</v>
      </c>
      <c r="D4091" t="s">
        <v>45</v>
      </c>
      <c r="E4091">
        <v>964</v>
      </c>
      <c r="F4091">
        <v>4</v>
      </c>
      <c r="G4091">
        <v>24</v>
      </c>
      <c r="H4091">
        <v>2454.4</v>
      </c>
      <c r="I4091">
        <v>61665.91</v>
      </c>
      <c r="J4091">
        <v>153</v>
      </c>
      <c r="K4091">
        <v>1</v>
      </c>
      <c r="L4091">
        <v>2.6</v>
      </c>
      <c r="M4091">
        <v>17.1</v>
      </c>
      <c r="N4091" t="s">
        <v>61</v>
      </c>
      <c r="O4091" t="s">
        <v>47</v>
      </c>
      <c r="P4091" t="s">
        <v>58</v>
      </c>
      <c r="R4091">
        <f>SUMIF(A4091:A9090,"C04090",I4091:I9090)</f>
        <v>61665.91</v>
      </c>
      <c r="S4091" s="1">
        <v>3941.21</v>
      </c>
      <c r="T4091">
        <f t="shared" si="464"/>
        <v>403.045163398693</v>
      </c>
      <c r="U4091">
        <f t="shared" si="463"/>
        <v>2616.3</v>
      </c>
      <c r="V4091">
        <f>U4091*1</f>
        <v>2616.3</v>
      </c>
      <c r="W4091">
        <f t="shared" si="461"/>
        <v>21373.77</v>
      </c>
      <c r="X4091">
        <f t="shared" si="466"/>
        <v>0.392764015645372</v>
      </c>
      <c r="AH4091" t="str">
        <f t="shared" si="462"/>
        <v>1st Quality</v>
      </c>
      <c r="AJ4091">
        <f>((T4091-X4091)*2)/2.6</f>
        <v>309.732614910037</v>
      </c>
      <c r="AK4091">
        <f t="shared" si="460"/>
        <v>388535.53751634</v>
      </c>
    </row>
    <row r="4092" spans="1:37">
      <c r="A4092" t="s">
        <v>4158</v>
      </c>
      <c r="B4092">
        <v>31</v>
      </c>
      <c r="C4092" t="s">
        <v>44</v>
      </c>
      <c r="D4092" t="s">
        <v>51</v>
      </c>
      <c r="E4092">
        <v>1304</v>
      </c>
      <c r="F4092">
        <v>6</v>
      </c>
      <c r="G4092">
        <v>32</v>
      </c>
      <c r="H4092">
        <v>2193.06</v>
      </c>
      <c r="I4092">
        <v>71598.09</v>
      </c>
      <c r="J4092">
        <v>100</v>
      </c>
      <c r="K4092">
        <v>3</v>
      </c>
      <c r="L4092">
        <v>13.7</v>
      </c>
      <c r="M4092">
        <v>59</v>
      </c>
      <c r="N4092" t="s">
        <v>46</v>
      </c>
      <c r="O4092" t="s">
        <v>47</v>
      </c>
      <c r="P4092" t="s">
        <v>68</v>
      </c>
      <c r="R4092">
        <f>SUMIF(A4092:A9091,"C04091",I4092:I9091)</f>
        <v>71598.09</v>
      </c>
      <c r="S4092" s="1">
        <v>125115.66</v>
      </c>
      <c r="T4092">
        <f t="shared" si="464"/>
        <v>715.9809</v>
      </c>
      <c r="U4092">
        <f t="shared" si="463"/>
        <v>5900</v>
      </c>
      <c r="V4092">
        <f>U4092*3</f>
        <v>17700</v>
      </c>
      <c r="W4092">
        <f t="shared" si="461"/>
        <v>24597.3833333333</v>
      </c>
      <c r="X4092">
        <f t="shared" si="466"/>
        <v>0.59460297483881</v>
      </c>
      <c r="AH4092" t="str">
        <f t="shared" si="462"/>
        <v>1st Quality</v>
      </c>
      <c r="AJ4092">
        <f>((T4092-X4092)*2)/13.7</f>
        <v>104.435955770097</v>
      </c>
      <c r="AK4092">
        <f t="shared" si="460"/>
        <v>933639.0936</v>
      </c>
    </row>
    <row r="4093" spans="1:37">
      <c r="A4093" t="s">
        <v>4159</v>
      </c>
      <c r="B4093">
        <v>18</v>
      </c>
      <c r="C4093" t="s">
        <v>44</v>
      </c>
      <c r="D4093" t="s">
        <v>51</v>
      </c>
      <c r="E4093">
        <v>1320</v>
      </c>
      <c r="F4093">
        <v>63</v>
      </c>
      <c r="G4093">
        <v>2</v>
      </c>
      <c r="H4093">
        <v>777.05</v>
      </c>
      <c r="I4093">
        <v>1431.12</v>
      </c>
      <c r="J4093">
        <v>13</v>
      </c>
      <c r="K4093">
        <v>0</v>
      </c>
      <c r="L4093">
        <v>29.3</v>
      </c>
      <c r="M4093">
        <v>5.7</v>
      </c>
      <c r="N4093" t="s">
        <v>57</v>
      </c>
      <c r="O4093" t="s">
        <v>47</v>
      </c>
      <c r="P4093" t="s">
        <v>66</v>
      </c>
      <c r="R4093">
        <f>SUMIF(A4093:A9092,"C04092",I4093:I9092)</f>
        <v>1431.12</v>
      </c>
      <c r="S4093" s="1">
        <v>41133.49</v>
      </c>
      <c r="T4093">
        <f t="shared" si="464"/>
        <v>110.086153846154</v>
      </c>
      <c r="U4093">
        <f t="shared" si="463"/>
        <v>74.1</v>
      </c>
      <c r="V4093">
        <f t="shared" si="465"/>
        <v>6.175</v>
      </c>
      <c r="W4093">
        <f t="shared" si="461"/>
        <v>736.39</v>
      </c>
      <c r="X4093">
        <f t="shared" si="466"/>
        <v>1.69873238530339</v>
      </c>
      <c r="AH4093" t="str">
        <f t="shared" si="462"/>
        <v>3rd Quality</v>
      </c>
      <c r="AJ4093">
        <f>((T4093-X4093)*2)/29.3</f>
        <v>7.39845880278844</v>
      </c>
      <c r="AK4093">
        <f t="shared" si="460"/>
        <v>145313.723076923</v>
      </c>
    </row>
    <row r="4094" spans="1:37">
      <c r="A4094" t="s">
        <v>4160</v>
      </c>
      <c r="B4094">
        <v>18</v>
      </c>
      <c r="C4094" t="s">
        <v>44</v>
      </c>
      <c r="D4094" t="s">
        <v>45</v>
      </c>
      <c r="E4094">
        <v>1382</v>
      </c>
      <c r="F4094">
        <v>84</v>
      </c>
      <c r="G4094">
        <v>4</v>
      </c>
      <c r="H4094">
        <v>968.41</v>
      </c>
      <c r="I4094">
        <v>3941.21</v>
      </c>
      <c r="J4094">
        <v>33</v>
      </c>
      <c r="K4094">
        <v>1</v>
      </c>
      <c r="L4094">
        <v>33.2</v>
      </c>
      <c r="M4094">
        <v>48.7</v>
      </c>
      <c r="N4094" t="s">
        <v>46</v>
      </c>
      <c r="O4094" t="s">
        <v>47</v>
      </c>
      <c r="P4094" t="s">
        <v>66</v>
      </c>
      <c r="R4094">
        <f>SUMIF(A4094:A9093,"C04093",I4094:I9093)</f>
        <v>3941.21</v>
      </c>
      <c r="S4094" s="1">
        <v>11992.86</v>
      </c>
      <c r="T4094">
        <f t="shared" si="464"/>
        <v>119.430606060606</v>
      </c>
      <c r="U4094">
        <f t="shared" si="463"/>
        <v>1607.1</v>
      </c>
      <c r="V4094">
        <f>U4094*1</f>
        <v>1607.1</v>
      </c>
      <c r="W4094">
        <f t="shared" si="461"/>
        <v>1636.87333333333</v>
      </c>
      <c r="X4094">
        <f t="shared" si="466"/>
        <v>1.42708150473456</v>
      </c>
      <c r="AH4094" t="str">
        <f t="shared" si="462"/>
        <v>3rd Quality</v>
      </c>
      <c r="AJ4094">
        <f>((T4094-X4094)*2)/33.2</f>
        <v>7.10864605758262</v>
      </c>
      <c r="AK4094">
        <f t="shared" si="460"/>
        <v>165053.097575758</v>
      </c>
    </row>
    <row r="4095" spans="1:37">
      <c r="A4095" t="s">
        <v>4161</v>
      </c>
      <c r="B4095">
        <v>28</v>
      </c>
      <c r="C4095" t="s">
        <v>44</v>
      </c>
      <c r="D4095" t="s">
        <v>60</v>
      </c>
      <c r="E4095">
        <v>996</v>
      </c>
      <c r="F4095">
        <v>12</v>
      </c>
      <c r="G4095">
        <v>22</v>
      </c>
      <c r="H4095">
        <v>5160.03</v>
      </c>
      <c r="I4095">
        <v>125115.66</v>
      </c>
      <c r="J4095">
        <v>91</v>
      </c>
      <c r="K4095">
        <v>2</v>
      </c>
      <c r="L4095">
        <v>11.8</v>
      </c>
      <c r="M4095">
        <v>41.6</v>
      </c>
      <c r="N4095" t="s">
        <v>46</v>
      </c>
      <c r="O4095" t="s">
        <v>75</v>
      </c>
      <c r="P4095" t="s">
        <v>54</v>
      </c>
      <c r="R4095">
        <f>SUMIF(A4095:A9094,"C04094",I4095:I9094)</f>
        <v>125115.66</v>
      </c>
      <c r="S4095" s="1">
        <v>87391.51</v>
      </c>
      <c r="T4095">
        <f t="shared" si="464"/>
        <v>1374.89736263736</v>
      </c>
      <c r="U4095">
        <f t="shared" si="463"/>
        <v>3785.6</v>
      </c>
      <c r="V4095">
        <f>U4095*2</f>
        <v>7571.2</v>
      </c>
      <c r="W4095">
        <f t="shared" si="461"/>
        <v>43425.5633333333</v>
      </c>
      <c r="X4095">
        <f t="shared" si="466"/>
        <v>0.193022133592247</v>
      </c>
      <c r="AH4095" t="str">
        <f t="shared" si="462"/>
        <v>1st Quality</v>
      </c>
      <c r="AJ4095">
        <f>((T4095-X4095)*2)/11.8</f>
        <v>233.000735678605</v>
      </c>
      <c r="AK4095">
        <f t="shared" si="460"/>
        <v>1369397.77318681</v>
      </c>
    </row>
    <row r="4096" spans="1:37">
      <c r="A4096" t="s">
        <v>4162</v>
      </c>
      <c r="B4096">
        <v>30</v>
      </c>
      <c r="C4096" t="s">
        <v>44</v>
      </c>
      <c r="D4096" t="s">
        <v>60</v>
      </c>
      <c r="E4096">
        <v>430</v>
      </c>
      <c r="F4096">
        <v>9</v>
      </c>
      <c r="G4096">
        <v>21</v>
      </c>
      <c r="H4096">
        <v>2034.3</v>
      </c>
      <c r="I4096">
        <v>41133.49</v>
      </c>
      <c r="J4096">
        <v>69</v>
      </c>
      <c r="K4096">
        <v>0</v>
      </c>
      <c r="L4096">
        <v>0</v>
      </c>
      <c r="M4096">
        <v>25.4</v>
      </c>
      <c r="N4096" t="s">
        <v>63</v>
      </c>
      <c r="O4096" t="s">
        <v>47</v>
      </c>
      <c r="P4096" t="s">
        <v>68</v>
      </c>
      <c r="R4096">
        <f>SUMIF(A4096:A9095,"C04095",I4096:I9095)</f>
        <v>41133.49</v>
      </c>
      <c r="S4096" s="1">
        <v>25378.55</v>
      </c>
      <c r="T4096">
        <f t="shared" si="464"/>
        <v>596.137536231884</v>
      </c>
      <c r="U4096">
        <f t="shared" si="463"/>
        <v>1752.6</v>
      </c>
      <c r="V4096">
        <f t="shared" si="465"/>
        <v>146.05</v>
      </c>
      <c r="W4096">
        <f t="shared" si="461"/>
        <v>14389.5966666667</v>
      </c>
      <c r="X4096">
        <f t="shared" si="466"/>
        <v>0.211374920119943</v>
      </c>
      <c r="AH4096" t="str">
        <f t="shared" si="462"/>
        <v>3rd Quality</v>
      </c>
      <c r="AJ4096">
        <f>((T4096-X4096)*2)</f>
        <v>1191.85232262353</v>
      </c>
      <c r="AK4096">
        <f t="shared" si="460"/>
        <v>256339.14057971</v>
      </c>
    </row>
    <row r="4097" spans="1:37">
      <c r="A4097" t="s">
        <v>4163</v>
      </c>
      <c r="B4097">
        <v>30</v>
      </c>
      <c r="C4097" t="s">
        <v>101</v>
      </c>
      <c r="D4097" t="s">
        <v>45</v>
      </c>
      <c r="E4097">
        <v>1204</v>
      </c>
      <c r="F4097">
        <v>71</v>
      </c>
      <c r="G4097">
        <v>9</v>
      </c>
      <c r="H4097">
        <v>1334.5</v>
      </c>
      <c r="I4097">
        <v>11992.86</v>
      </c>
      <c r="J4097">
        <v>82</v>
      </c>
      <c r="K4097">
        <v>0</v>
      </c>
      <c r="L4097">
        <v>36.7</v>
      </c>
      <c r="M4097">
        <v>36.4</v>
      </c>
      <c r="N4097" t="s">
        <v>78</v>
      </c>
      <c r="O4097" t="s">
        <v>53</v>
      </c>
      <c r="P4097" t="s">
        <v>58</v>
      </c>
      <c r="R4097">
        <f>SUMIF(A4097:A9096,"C04096",I4097:I9096)</f>
        <v>11992.86</v>
      </c>
      <c r="S4097" s="1">
        <v>1417.62</v>
      </c>
      <c r="T4097">
        <f t="shared" si="464"/>
        <v>146.254390243902</v>
      </c>
      <c r="U4097">
        <f t="shared" si="463"/>
        <v>2984.8</v>
      </c>
      <c r="V4097">
        <f t="shared" si="465"/>
        <v>248.733333333333</v>
      </c>
      <c r="W4097">
        <f t="shared" si="461"/>
        <v>4442.78666666667</v>
      </c>
      <c r="X4097">
        <f t="shared" si="466"/>
        <v>0.902210565754964</v>
      </c>
      <c r="AH4097" t="str">
        <f t="shared" si="462"/>
        <v>3rd Quality</v>
      </c>
      <c r="AJ4097">
        <f>((T4097-X4097)*2)/36.7</f>
        <v>7.92109970998077</v>
      </c>
      <c r="AK4097">
        <f t="shared" si="460"/>
        <v>176090.285853659</v>
      </c>
    </row>
    <row r="4098" spans="1:37">
      <c r="A4098" t="s">
        <v>4164</v>
      </c>
      <c r="B4098">
        <v>40</v>
      </c>
      <c r="C4098" t="s">
        <v>50</v>
      </c>
      <c r="D4098" t="s">
        <v>51</v>
      </c>
      <c r="E4098">
        <v>820</v>
      </c>
      <c r="F4098">
        <v>20</v>
      </c>
      <c r="G4098">
        <v>6</v>
      </c>
      <c r="H4098">
        <v>14864.62</v>
      </c>
      <c r="I4098">
        <v>87391.51</v>
      </c>
      <c r="J4098">
        <v>35</v>
      </c>
      <c r="K4098">
        <v>0</v>
      </c>
      <c r="L4098">
        <v>0</v>
      </c>
      <c r="M4098">
        <v>9.4</v>
      </c>
      <c r="N4098" t="s">
        <v>61</v>
      </c>
      <c r="O4098" t="s">
        <v>47</v>
      </c>
      <c r="P4098" t="s">
        <v>58</v>
      </c>
      <c r="R4098">
        <f>SUMIF(A4098:A9097,"C04097",I4098:I9097)</f>
        <v>87391.51</v>
      </c>
      <c r="S4098" s="1">
        <v>1430.9</v>
      </c>
      <c r="T4098">
        <f t="shared" si="464"/>
        <v>2496.90028571429</v>
      </c>
      <c r="U4098">
        <f t="shared" si="463"/>
        <v>329</v>
      </c>
      <c r="V4098">
        <f t="shared" si="465"/>
        <v>27.4166666666667</v>
      </c>
      <c r="W4098">
        <f t="shared" si="461"/>
        <v>34085.71</v>
      </c>
      <c r="X4098">
        <f t="shared" si="466"/>
        <v>0.0551645450741425</v>
      </c>
      <c r="AH4098" t="str">
        <f t="shared" si="462"/>
        <v>2nd Quality</v>
      </c>
      <c r="AJ4098">
        <f>((T4098-X4098)*2)</f>
        <v>4993.69024233843</v>
      </c>
      <c r="AK4098">
        <f t="shared" si="460"/>
        <v>2047458.23428571</v>
      </c>
    </row>
    <row r="4099" spans="1:37">
      <c r="A4099" t="s">
        <v>4165</v>
      </c>
      <c r="B4099">
        <v>26</v>
      </c>
      <c r="C4099" t="s">
        <v>44</v>
      </c>
      <c r="D4099" t="s">
        <v>60</v>
      </c>
      <c r="E4099">
        <v>1120</v>
      </c>
      <c r="F4099">
        <v>59</v>
      </c>
      <c r="G4099">
        <v>4</v>
      </c>
      <c r="H4099">
        <v>6069.85</v>
      </c>
      <c r="I4099">
        <v>25378.55</v>
      </c>
      <c r="J4099">
        <v>25</v>
      </c>
      <c r="K4099">
        <v>1</v>
      </c>
      <c r="L4099">
        <v>23.4</v>
      </c>
      <c r="M4099">
        <v>18.5</v>
      </c>
      <c r="N4099" t="s">
        <v>46</v>
      </c>
      <c r="O4099" t="s">
        <v>75</v>
      </c>
      <c r="P4099" t="s">
        <v>58</v>
      </c>
      <c r="R4099">
        <f>SUMIF(A4099:A9098,"C04098",I4099:I9098)</f>
        <v>25378.55</v>
      </c>
      <c r="S4099" s="1">
        <v>6307.17</v>
      </c>
      <c r="T4099">
        <f t="shared" si="464"/>
        <v>1015.142</v>
      </c>
      <c r="U4099">
        <f t="shared" si="463"/>
        <v>462.5</v>
      </c>
      <c r="V4099">
        <f>U4099*1</f>
        <v>462.5</v>
      </c>
      <c r="W4099">
        <f t="shared" si="461"/>
        <v>10483.1333333333</v>
      </c>
      <c r="X4099">
        <f t="shared" si="466"/>
        <v>0.18451856306169</v>
      </c>
      <c r="AH4099" t="str">
        <f t="shared" si="462"/>
        <v>2nd Quality</v>
      </c>
      <c r="AJ4099">
        <f>((T4099-X4099)*2)/23.4</f>
        <v>86.7485026869178</v>
      </c>
      <c r="AK4099">
        <f t="shared" ref="AK4099:AK4162" si="467">I4099/J4099*E4099</f>
        <v>1136959.04</v>
      </c>
    </row>
    <row r="4100" spans="1:37">
      <c r="A4100" t="s">
        <v>4166</v>
      </c>
      <c r="B4100">
        <v>40</v>
      </c>
      <c r="C4100" t="s">
        <v>50</v>
      </c>
      <c r="D4100" t="s">
        <v>60</v>
      </c>
      <c r="E4100">
        <v>1097</v>
      </c>
      <c r="F4100">
        <v>106</v>
      </c>
      <c r="G4100">
        <v>1</v>
      </c>
      <c r="H4100">
        <v>1375.68</v>
      </c>
      <c r="I4100">
        <v>1417.62</v>
      </c>
      <c r="J4100">
        <v>17</v>
      </c>
      <c r="K4100">
        <v>0</v>
      </c>
      <c r="L4100">
        <v>13.9</v>
      </c>
      <c r="M4100">
        <v>58.5</v>
      </c>
      <c r="N4100" t="s">
        <v>61</v>
      </c>
      <c r="O4100" t="s">
        <v>47</v>
      </c>
      <c r="P4100" t="s">
        <v>66</v>
      </c>
      <c r="R4100">
        <f>SUMIF(A4100:A9099,"C04099",I4100:I9099)</f>
        <v>1417.62</v>
      </c>
      <c r="S4100" s="1">
        <v>33001.39</v>
      </c>
      <c r="T4100">
        <f t="shared" si="464"/>
        <v>83.3894117647059</v>
      </c>
      <c r="U4100">
        <f t="shared" si="463"/>
        <v>994.5</v>
      </c>
      <c r="V4100">
        <f t="shared" si="465"/>
        <v>82.875</v>
      </c>
      <c r="W4100">
        <f t="shared" si="461"/>
        <v>931.433333333333</v>
      </c>
      <c r="X4100">
        <f t="shared" si="466"/>
        <v>0.797423819492905</v>
      </c>
      <c r="AH4100" t="str">
        <f t="shared" si="462"/>
        <v>3rd Quality</v>
      </c>
      <c r="AJ4100">
        <f>((T4100-X4100)*2)/13.9</f>
        <v>11.8837392726925</v>
      </c>
      <c r="AK4100">
        <f t="shared" si="467"/>
        <v>91478.1847058823</v>
      </c>
    </row>
    <row r="4101" spans="1:37">
      <c r="A4101" t="s">
        <v>4167</v>
      </c>
      <c r="B4101">
        <v>34</v>
      </c>
      <c r="C4101" t="s">
        <v>50</v>
      </c>
      <c r="D4101" t="s">
        <v>45</v>
      </c>
      <c r="E4101">
        <v>476</v>
      </c>
      <c r="F4101">
        <v>227</v>
      </c>
      <c r="G4101">
        <v>1</v>
      </c>
      <c r="H4101">
        <v>1438.82</v>
      </c>
      <c r="I4101">
        <v>1430.9</v>
      </c>
      <c r="J4101">
        <v>9</v>
      </c>
      <c r="K4101">
        <v>0</v>
      </c>
      <c r="L4101">
        <v>17.5</v>
      </c>
      <c r="M4101">
        <v>43.5</v>
      </c>
      <c r="N4101" t="s">
        <v>78</v>
      </c>
      <c r="O4101" t="s">
        <v>47</v>
      </c>
      <c r="P4101" t="s">
        <v>68</v>
      </c>
      <c r="R4101">
        <f>SUMIF(A4101:A9100,"C04100",I4101:I9100)</f>
        <v>1430.9</v>
      </c>
      <c r="S4101" s="1">
        <v>54028.94</v>
      </c>
      <c r="T4101">
        <f t="shared" si="464"/>
        <v>158.988888888889</v>
      </c>
      <c r="U4101">
        <f t="shared" si="463"/>
        <v>391.5</v>
      </c>
      <c r="V4101">
        <f t="shared" si="465"/>
        <v>32.625</v>
      </c>
      <c r="W4101">
        <f t="shared" si="461"/>
        <v>956.906666666667</v>
      </c>
      <c r="X4101">
        <f t="shared" si="466"/>
        <v>0.330826649615657</v>
      </c>
      <c r="AH4101" t="str">
        <f t="shared" si="462"/>
        <v>3rd Quality</v>
      </c>
      <c r="AJ4101">
        <f>((T4101-X4101)*2)/17.5</f>
        <v>18.1323499702027</v>
      </c>
      <c r="AK4101">
        <f t="shared" si="467"/>
        <v>75678.7111111111</v>
      </c>
    </row>
    <row r="4102" spans="1:37">
      <c r="A4102" t="s">
        <v>4168</v>
      </c>
      <c r="B4102">
        <v>30</v>
      </c>
      <c r="C4102" t="s">
        <v>50</v>
      </c>
      <c r="D4102" t="s">
        <v>60</v>
      </c>
      <c r="E4102">
        <v>579</v>
      </c>
      <c r="F4102">
        <v>56</v>
      </c>
      <c r="G4102">
        <v>4</v>
      </c>
      <c r="H4102">
        <v>1769</v>
      </c>
      <c r="I4102">
        <v>6307.17</v>
      </c>
      <c r="J4102">
        <v>27</v>
      </c>
      <c r="K4102">
        <v>0</v>
      </c>
      <c r="L4102">
        <v>12.1</v>
      </c>
      <c r="M4102">
        <v>17.9</v>
      </c>
      <c r="N4102" t="s">
        <v>46</v>
      </c>
      <c r="O4102" t="s">
        <v>47</v>
      </c>
      <c r="P4102" t="s">
        <v>58</v>
      </c>
      <c r="R4102">
        <f>SUMIF(A4102:A9101,"C04101",I4102:I9101)</f>
        <v>6307.17</v>
      </c>
      <c r="S4102" s="1">
        <v>36777.77</v>
      </c>
      <c r="T4102">
        <f t="shared" si="464"/>
        <v>233.598888888889</v>
      </c>
      <c r="U4102">
        <f t="shared" si="463"/>
        <v>483.3</v>
      </c>
      <c r="V4102">
        <f t="shared" si="465"/>
        <v>40.275</v>
      </c>
      <c r="W4102">
        <f t="shared" si="461"/>
        <v>2692.39</v>
      </c>
      <c r="X4102">
        <f t="shared" si="466"/>
        <v>0.327303561334087</v>
      </c>
      <c r="AH4102" t="str">
        <f t="shared" si="462"/>
        <v>3rd Quality</v>
      </c>
      <c r="AJ4102">
        <f>((T4102-X4102)*2)/12.1</f>
        <v>38.5572868310008</v>
      </c>
      <c r="AK4102">
        <f t="shared" si="467"/>
        <v>135253.756666667</v>
      </c>
    </row>
    <row r="4103" spans="1:37">
      <c r="A4103" t="s">
        <v>4169</v>
      </c>
      <c r="B4103">
        <v>20</v>
      </c>
      <c r="C4103" t="s">
        <v>44</v>
      </c>
      <c r="D4103" t="s">
        <v>60</v>
      </c>
      <c r="E4103">
        <v>1196</v>
      </c>
      <c r="F4103">
        <v>42</v>
      </c>
      <c r="G4103">
        <v>4</v>
      </c>
      <c r="H4103">
        <v>8744.51</v>
      </c>
      <c r="I4103">
        <v>33001.39</v>
      </c>
      <c r="J4103">
        <v>39</v>
      </c>
      <c r="K4103">
        <v>0</v>
      </c>
      <c r="L4103">
        <v>17.3</v>
      </c>
      <c r="M4103">
        <v>4.7</v>
      </c>
      <c r="N4103" t="s">
        <v>52</v>
      </c>
      <c r="O4103" t="s">
        <v>47</v>
      </c>
      <c r="P4103" t="s">
        <v>58</v>
      </c>
      <c r="R4103">
        <f>SUMIF(A4103:A9102,"C04102",I4103:I9102)</f>
        <v>33001.39</v>
      </c>
      <c r="S4103" s="1">
        <v>1582.94</v>
      </c>
      <c r="T4103">
        <f t="shared" si="464"/>
        <v>846.189487179487</v>
      </c>
      <c r="U4103">
        <f t="shared" si="463"/>
        <v>183.3</v>
      </c>
      <c r="V4103">
        <f t="shared" si="465"/>
        <v>15.275</v>
      </c>
      <c r="W4103">
        <f t="shared" si="461"/>
        <v>13915.6333333333</v>
      </c>
      <c r="X4103">
        <f t="shared" si="466"/>
        <v>0.136771528650548</v>
      </c>
      <c r="AH4103" t="str">
        <f t="shared" si="462"/>
        <v>1st Quality</v>
      </c>
      <c r="AJ4103">
        <f>((T4103-X4103)*2)/17.3</f>
        <v>97.8095625029869</v>
      </c>
      <c r="AK4103">
        <f t="shared" si="467"/>
        <v>1012042.62666667</v>
      </c>
    </row>
    <row r="4104" spans="1:37">
      <c r="A4104" t="s">
        <v>4170</v>
      </c>
      <c r="B4104">
        <v>57</v>
      </c>
      <c r="C4104" t="s">
        <v>101</v>
      </c>
      <c r="D4104" t="s">
        <v>60</v>
      </c>
      <c r="E4104">
        <v>976</v>
      </c>
      <c r="F4104">
        <v>26</v>
      </c>
      <c r="G4104">
        <v>5</v>
      </c>
      <c r="H4104">
        <v>11309.2</v>
      </c>
      <c r="I4104">
        <v>54028.94</v>
      </c>
      <c r="J4104">
        <v>16</v>
      </c>
      <c r="K4104">
        <v>1</v>
      </c>
      <c r="L4104">
        <v>0</v>
      </c>
      <c r="M4104">
        <v>23.3</v>
      </c>
      <c r="N4104" t="s">
        <v>61</v>
      </c>
      <c r="O4104" t="s">
        <v>47</v>
      </c>
      <c r="P4104" t="s">
        <v>68</v>
      </c>
      <c r="R4104">
        <f>SUMIF(A4104:A9103,"C04103",I4104:I9103)</f>
        <v>54028.94</v>
      </c>
      <c r="S4104" s="1">
        <v>140634.72</v>
      </c>
      <c r="T4104">
        <f t="shared" si="464"/>
        <v>3376.80875</v>
      </c>
      <c r="U4104">
        <f t="shared" si="463"/>
        <v>372.8</v>
      </c>
      <c r="V4104">
        <f>U4104*1</f>
        <v>372.8</v>
      </c>
      <c r="W4104">
        <f t="shared" si="461"/>
        <v>21779.7133333333</v>
      </c>
      <c r="X4104">
        <f t="shared" si="466"/>
        <v>0.0863014183142928</v>
      </c>
      <c r="AH4104" t="str">
        <f t="shared" si="462"/>
        <v>3rd Quality</v>
      </c>
      <c r="AJ4104">
        <f>((T4104-X4104)*2)</f>
        <v>6753.44489716337</v>
      </c>
      <c r="AK4104">
        <f t="shared" si="467"/>
        <v>3295765.34</v>
      </c>
    </row>
    <row r="4105" spans="1:37">
      <c r="A4105" t="s">
        <v>4171</v>
      </c>
      <c r="B4105">
        <v>51</v>
      </c>
      <c r="C4105" t="s">
        <v>50</v>
      </c>
      <c r="D4105" t="s">
        <v>60</v>
      </c>
      <c r="E4105">
        <v>597</v>
      </c>
      <c r="F4105">
        <v>18</v>
      </c>
      <c r="G4105">
        <v>14</v>
      </c>
      <c r="H4105">
        <v>2488.15</v>
      </c>
      <c r="I4105">
        <v>36777.77</v>
      </c>
      <c r="J4105">
        <v>52</v>
      </c>
      <c r="K4105">
        <v>0</v>
      </c>
      <c r="L4105">
        <v>14.3</v>
      </c>
      <c r="M4105">
        <v>20.3</v>
      </c>
      <c r="N4105" t="s">
        <v>81</v>
      </c>
      <c r="O4105" t="s">
        <v>53</v>
      </c>
      <c r="P4105" t="s">
        <v>48</v>
      </c>
      <c r="R4105">
        <f>SUMIF(A4105:A9104,"C04104",I4105:I9104)</f>
        <v>36777.77</v>
      </c>
      <c r="S4105" s="1">
        <v>2793.72</v>
      </c>
      <c r="T4105">
        <f t="shared" si="464"/>
        <v>707.264807692308</v>
      </c>
      <c r="U4105">
        <f t="shared" si="463"/>
        <v>1055.6</v>
      </c>
      <c r="V4105">
        <f t="shared" si="465"/>
        <v>87.9666666666667</v>
      </c>
      <c r="W4105">
        <f t="shared" ref="W4105:W4168" si="468">(H4105+I4105+1)/3</f>
        <v>13088.9733333333</v>
      </c>
      <c r="X4105">
        <f t="shared" si="466"/>
        <v>0.239937302815345</v>
      </c>
      <c r="AH4105" t="str">
        <f t="shared" si="462"/>
        <v>3rd Quality</v>
      </c>
      <c r="AJ4105">
        <f>((T4105-X4105)*2)/14.3</f>
        <v>98.8845972572717</v>
      </c>
      <c r="AK4105">
        <f t="shared" si="467"/>
        <v>422237.090192308</v>
      </c>
    </row>
    <row r="4106" spans="1:37">
      <c r="A4106" t="s">
        <v>4172</v>
      </c>
      <c r="B4106">
        <v>30</v>
      </c>
      <c r="C4106" t="s">
        <v>44</v>
      </c>
      <c r="D4106" t="s">
        <v>45</v>
      </c>
      <c r="E4106">
        <v>1299</v>
      </c>
      <c r="F4106">
        <v>365</v>
      </c>
      <c r="G4106">
        <v>1</v>
      </c>
      <c r="H4106">
        <v>1623.35</v>
      </c>
      <c r="I4106">
        <v>1582.94</v>
      </c>
      <c r="J4106">
        <v>12</v>
      </c>
      <c r="K4106">
        <v>0</v>
      </c>
      <c r="L4106">
        <v>17.2</v>
      </c>
      <c r="M4106">
        <v>21.2</v>
      </c>
      <c r="N4106" t="s">
        <v>61</v>
      </c>
      <c r="O4106" t="s">
        <v>47</v>
      </c>
      <c r="P4106" t="s">
        <v>58</v>
      </c>
      <c r="R4106">
        <f>SUMIF(A4106:A9105,"C04105",I4106:I9105)</f>
        <v>1582.94</v>
      </c>
      <c r="S4106" s="1">
        <v>1240.45</v>
      </c>
      <c r="T4106">
        <f t="shared" si="464"/>
        <v>131.911666666667</v>
      </c>
      <c r="U4106">
        <f t="shared" si="463"/>
        <v>254.4</v>
      </c>
      <c r="V4106">
        <f t="shared" si="465"/>
        <v>21.2</v>
      </c>
      <c r="W4106">
        <f t="shared" si="468"/>
        <v>1069.09666666667</v>
      </c>
      <c r="X4106">
        <f t="shared" si="466"/>
        <v>0.800197123232821</v>
      </c>
      <c r="AH4106" t="str">
        <f t="shared" si="462"/>
        <v>3rd Quality</v>
      </c>
      <c r="AJ4106">
        <f>((T4106-X4106)*2)/17.2</f>
        <v>15.2455197143528</v>
      </c>
      <c r="AK4106">
        <f t="shared" si="467"/>
        <v>171353.255</v>
      </c>
    </row>
    <row r="4107" spans="1:37">
      <c r="A4107" t="s">
        <v>4173</v>
      </c>
      <c r="B4107">
        <v>46</v>
      </c>
      <c r="C4107" t="s">
        <v>44</v>
      </c>
      <c r="D4107" t="s">
        <v>45</v>
      </c>
      <c r="E4107">
        <v>1319</v>
      </c>
      <c r="F4107">
        <v>10</v>
      </c>
      <c r="G4107">
        <v>31</v>
      </c>
      <c r="H4107">
        <v>4673.09</v>
      </c>
      <c r="I4107">
        <v>140634.72</v>
      </c>
      <c r="J4107">
        <v>221</v>
      </c>
      <c r="K4107">
        <v>1</v>
      </c>
      <c r="L4107">
        <v>19</v>
      </c>
      <c r="M4107">
        <v>48.4</v>
      </c>
      <c r="N4107" t="s">
        <v>57</v>
      </c>
      <c r="O4107" t="s">
        <v>53</v>
      </c>
      <c r="P4107" t="s">
        <v>48</v>
      </c>
      <c r="R4107">
        <f>SUMIF(A4107:A9106,"C04106",I4107:I9106)</f>
        <v>140634.72</v>
      </c>
      <c r="S4107" s="1">
        <v>1692.53</v>
      </c>
      <c r="T4107">
        <f t="shared" si="464"/>
        <v>636.356199095023</v>
      </c>
      <c r="U4107">
        <f t="shared" si="463"/>
        <v>10696.4</v>
      </c>
      <c r="V4107">
        <f>U4107*1</f>
        <v>10696.4</v>
      </c>
      <c r="W4107">
        <f t="shared" si="468"/>
        <v>48436.27</v>
      </c>
      <c r="X4107">
        <f t="shared" si="466"/>
        <v>0.282254354185346</v>
      </c>
      <c r="AH4107" t="str">
        <f t="shared" si="462"/>
        <v>3rd Quality</v>
      </c>
      <c r="AJ4107">
        <f>((T4107-X4107)*2)/19</f>
        <v>66.9551520779829</v>
      </c>
      <c r="AK4107">
        <f t="shared" si="467"/>
        <v>839353.826606335</v>
      </c>
    </row>
    <row r="4108" spans="1:37">
      <c r="A4108" t="s">
        <v>4174</v>
      </c>
      <c r="B4108">
        <v>40</v>
      </c>
      <c r="C4108" t="s">
        <v>50</v>
      </c>
      <c r="D4108" t="s">
        <v>60</v>
      </c>
      <c r="E4108">
        <v>613</v>
      </c>
      <c r="F4108">
        <v>98</v>
      </c>
      <c r="G4108">
        <v>3</v>
      </c>
      <c r="H4108">
        <v>943.5</v>
      </c>
      <c r="I4108">
        <v>2793.72</v>
      </c>
      <c r="J4108">
        <v>15</v>
      </c>
      <c r="K4108">
        <v>1</v>
      </c>
      <c r="L4108">
        <v>37.6</v>
      </c>
      <c r="M4108">
        <v>48.7</v>
      </c>
      <c r="N4108" t="s">
        <v>78</v>
      </c>
      <c r="O4108" t="s">
        <v>75</v>
      </c>
      <c r="P4108" t="s">
        <v>48</v>
      </c>
      <c r="R4108">
        <f>SUMIF(A4108:A9107,"C04107",I4108:I9107)</f>
        <v>2793.72</v>
      </c>
      <c r="S4108" s="1">
        <v>36545.84</v>
      </c>
      <c r="T4108">
        <f t="shared" si="464"/>
        <v>186.248</v>
      </c>
      <c r="U4108">
        <f t="shared" si="463"/>
        <v>730.5</v>
      </c>
      <c r="V4108">
        <f>U4108*1</f>
        <v>730.5</v>
      </c>
      <c r="W4108">
        <f t="shared" si="468"/>
        <v>1246.07333333333</v>
      </c>
      <c r="X4108">
        <f t="shared" si="466"/>
        <v>0.649708532061473</v>
      </c>
      <c r="AH4108" t="str">
        <f t="shared" si="462"/>
        <v>3rd Quality</v>
      </c>
      <c r="AJ4108">
        <f>((T4108-X4108)*2)/37.6</f>
        <v>9.87224954616694</v>
      </c>
      <c r="AK4108">
        <f t="shared" si="467"/>
        <v>114170.024</v>
      </c>
    </row>
    <row r="4109" spans="1:37">
      <c r="A4109" t="s">
        <v>4175</v>
      </c>
      <c r="B4109">
        <v>44</v>
      </c>
      <c r="C4109" t="s">
        <v>50</v>
      </c>
      <c r="D4109" t="s">
        <v>60</v>
      </c>
      <c r="E4109">
        <v>707</v>
      </c>
      <c r="F4109">
        <v>365</v>
      </c>
      <c r="G4109">
        <v>2</v>
      </c>
      <c r="H4109">
        <v>630.52</v>
      </c>
      <c r="I4109">
        <v>1240.45</v>
      </c>
      <c r="J4109">
        <v>22</v>
      </c>
      <c r="K4109">
        <v>0</v>
      </c>
      <c r="L4109">
        <v>27.4</v>
      </c>
      <c r="M4109">
        <v>16.6</v>
      </c>
      <c r="N4109" t="s">
        <v>81</v>
      </c>
      <c r="O4109" t="s">
        <v>47</v>
      </c>
      <c r="P4109" t="s">
        <v>48</v>
      </c>
      <c r="R4109">
        <f>SUMIF(A4109:A9108,"C04108",I4109:I9108)</f>
        <v>1240.45</v>
      </c>
      <c r="S4109" s="1">
        <v>10071.44</v>
      </c>
      <c r="T4109">
        <f t="shared" si="464"/>
        <v>56.3840909090909</v>
      </c>
      <c r="U4109">
        <f t="shared" si="463"/>
        <v>365.2</v>
      </c>
      <c r="V4109">
        <f t="shared" si="465"/>
        <v>30.4333333333333</v>
      </c>
      <c r="W4109">
        <f t="shared" si="468"/>
        <v>623.99</v>
      </c>
      <c r="X4109">
        <f t="shared" si="466"/>
        <v>1.12129670747954</v>
      </c>
      <c r="AH4109" t="str">
        <f t="shared" si="462"/>
        <v>3rd Quality</v>
      </c>
      <c r="AJ4109">
        <f>((T4109-X4109)*2)/27.4</f>
        <v>4.03378059865776</v>
      </c>
      <c r="AK4109">
        <f t="shared" si="467"/>
        <v>39863.5522727273</v>
      </c>
    </row>
    <row r="4110" spans="1:37">
      <c r="A4110" t="s">
        <v>4176</v>
      </c>
      <c r="B4110">
        <v>27</v>
      </c>
      <c r="C4110" t="s">
        <v>44</v>
      </c>
      <c r="D4110" t="s">
        <v>60</v>
      </c>
      <c r="E4110">
        <v>581</v>
      </c>
      <c r="F4110">
        <v>365</v>
      </c>
      <c r="G4110">
        <v>1</v>
      </c>
      <c r="H4110">
        <v>1608.5</v>
      </c>
      <c r="I4110">
        <v>1692.53</v>
      </c>
      <c r="J4110">
        <v>12</v>
      </c>
      <c r="K4110">
        <v>0</v>
      </c>
      <c r="L4110">
        <v>14.8</v>
      </c>
      <c r="M4110">
        <v>8.6</v>
      </c>
      <c r="N4110" t="s">
        <v>61</v>
      </c>
      <c r="O4110" t="s">
        <v>47</v>
      </c>
      <c r="P4110" t="s">
        <v>58</v>
      </c>
      <c r="R4110">
        <f>SUMIF(A4110:A9109,"C04109",I4110:I9109)</f>
        <v>1692.53</v>
      </c>
      <c r="S4110" s="1">
        <v>3763.71</v>
      </c>
      <c r="T4110">
        <f t="shared" si="464"/>
        <v>141.044166666667</v>
      </c>
      <c r="U4110">
        <f t="shared" si="463"/>
        <v>103.2</v>
      </c>
      <c r="V4110">
        <f t="shared" si="465"/>
        <v>8.6</v>
      </c>
      <c r="W4110">
        <f t="shared" si="468"/>
        <v>1100.67666666667</v>
      </c>
      <c r="X4110">
        <f t="shared" si="466"/>
        <v>0.361206092632888</v>
      </c>
      <c r="AH4110" t="str">
        <f t="shared" ref="AH4110:AH4173" si="469">IF(AND(W4110&gt;=12550,B4110&lt;=33,E4110&gt;=915),"1st Quality",IF(AND(W4110&gt;=6275,B4110&lt;=43,E4110&gt;=457),"2nd Quality","3rd Quality"))</f>
        <v>3rd Quality</v>
      </c>
      <c r="AJ4110">
        <f>((T4110-X4110)*2)/14.8</f>
        <v>19.011210888383</v>
      </c>
      <c r="AK4110">
        <f t="shared" si="467"/>
        <v>81946.6608333333</v>
      </c>
    </row>
    <row r="4111" spans="1:37">
      <c r="A4111" t="s">
        <v>4177</v>
      </c>
      <c r="B4111">
        <v>49</v>
      </c>
      <c r="C4111" t="s">
        <v>101</v>
      </c>
      <c r="D4111" t="s">
        <v>51</v>
      </c>
      <c r="E4111">
        <v>985</v>
      </c>
      <c r="F4111">
        <v>24</v>
      </c>
      <c r="G4111">
        <v>4</v>
      </c>
      <c r="H4111">
        <v>8777.68</v>
      </c>
      <c r="I4111">
        <v>36545.84</v>
      </c>
      <c r="J4111">
        <v>37</v>
      </c>
      <c r="K4111">
        <v>0</v>
      </c>
      <c r="L4111">
        <v>9.7</v>
      </c>
      <c r="M4111">
        <v>51.5</v>
      </c>
      <c r="N4111" t="s">
        <v>61</v>
      </c>
      <c r="O4111" t="s">
        <v>47</v>
      </c>
      <c r="P4111" t="s">
        <v>58</v>
      </c>
      <c r="R4111">
        <f>SUMIF(A4111:A9110,"C04110",I4111:I9110)</f>
        <v>36545.84</v>
      </c>
      <c r="S4111" s="1">
        <v>4618.79</v>
      </c>
      <c r="T4111">
        <f t="shared" si="464"/>
        <v>987.725405405405</v>
      </c>
      <c r="U4111">
        <f t="shared" si="463"/>
        <v>1905.5</v>
      </c>
      <c r="V4111">
        <f t="shared" si="465"/>
        <v>158.791666666667</v>
      </c>
      <c r="W4111">
        <f t="shared" si="468"/>
        <v>15108.1733333333</v>
      </c>
      <c r="X4111">
        <f t="shared" si="466"/>
        <v>0.11221643987933</v>
      </c>
      <c r="AH4111" t="str">
        <f t="shared" si="469"/>
        <v>3rd Quality</v>
      </c>
      <c r="AJ4111">
        <f>((T4111-X4111)*2)/9.7</f>
        <v>203.631585353717</v>
      </c>
      <c r="AK4111">
        <f t="shared" si="467"/>
        <v>972909.524324324</v>
      </c>
    </row>
    <row r="4112" spans="1:37">
      <c r="A4112" t="s">
        <v>4178</v>
      </c>
      <c r="B4112">
        <v>18</v>
      </c>
      <c r="C4112" t="s">
        <v>50</v>
      </c>
      <c r="D4112" t="s">
        <v>60</v>
      </c>
      <c r="E4112">
        <v>1207</v>
      </c>
      <c r="F4112">
        <v>35</v>
      </c>
      <c r="G4112">
        <v>12</v>
      </c>
      <c r="H4112">
        <v>789.48</v>
      </c>
      <c r="I4112">
        <v>10071.44</v>
      </c>
      <c r="J4112">
        <v>91</v>
      </c>
      <c r="K4112">
        <v>0</v>
      </c>
      <c r="L4112">
        <v>21.6</v>
      </c>
      <c r="M4112">
        <v>54.3</v>
      </c>
      <c r="N4112" t="s">
        <v>63</v>
      </c>
      <c r="O4112" t="s">
        <v>47</v>
      </c>
      <c r="P4112" t="s">
        <v>68</v>
      </c>
      <c r="R4112">
        <f>SUMIF(A4112:A9111,"C04111",I4112:I9111)</f>
        <v>10071.44</v>
      </c>
      <c r="S4112" s="1">
        <v>86121.68</v>
      </c>
      <c r="T4112">
        <f t="shared" si="464"/>
        <v>110.675164835165</v>
      </c>
      <c r="U4112">
        <f t="shared" si="463"/>
        <v>4941.3</v>
      </c>
      <c r="V4112">
        <f t="shared" si="465"/>
        <v>411.775</v>
      </c>
      <c r="W4112">
        <f t="shared" si="468"/>
        <v>3620.64</v>
      </c>
      <c r="X4112">
        <f t="shared" si="466"/>
        <v>1.52885443583118</v>
      </c>
      <c r="AH4112" t="str">
        <f t="shared" si="469"/>
        <v>3rd Quality</v>
      </c>
      <c r="AJ4112">
        <f>((T4112-X4112)*2)/21.6</f>
        <v>10.1061398517902</v>
      </c>
      <c r="AK4112">
        <f t="shared" si="467"/>
        <v>133584.923956044</v>
      </c>
    </row>
    <row r="4113" spans="1:37">
      <c r="A4113" t="s">
        <v>4179</v>
      </c>
      <c r="B4113">
        <v>18</v>
      </c>
      <c r="C4113" t="s">
        <v>50</v>
      </c>
      <c r="D4113" t="s">
        <v>45</v>
      </c>
      <c r="E4113">
        <v>681</v>
      </c>
      <c r="F4113">
        <v>44</v>
      </c>
      <c r="G4113">
        <v>4</v>
      </c>
      <c r="H4113">
        <v>1011.99</v>
      </c>
      <c r="I4113">
        <v>3763.71</v>
      </c>
      <c r="J4113">
        <v>21</v>
      </c>
      <c r="K4113">
        <v>0</v>
      </c>
      <c r="L4113">
        <v>29.6</v>
      </c>
      <c r="M4113">
        <v>43.6</v>
      </c>
      <c r="N4113" t="s">
        <v>57</v>
      </c>
      <c r="O4113" t="s">
        <v>47</v>
      </c>
      <c r="P4113" t="s">
        <v>68</v>
      </c>
      <c r="R4113">
        <f>SUMIF(A4113:A9112,"C04112",I4113:I9112)</f>
        <v>3763.71</v>
      </c>
      <c r="S4113" s="1">
        <v>3863.6</v>
      </c>
      <c r="T4113">
        <f t="shared" si="464"/>
        <v>179.224285714286</v>
      </c>
      <c r="U4113">
        <f t="shared" si="463"/>
        <v>915.6</v>
      </c>
      <c r="V4113">
        <f t="shared" si="465"/>
        <v>76.3</v>
      </c>
      <c r="W4113">
        <f t="shared" si="468"/>
        <v>1592.23333333333</v>
      </c>
      <c r="X4113">
        <f t="shared" si="466"/>
        <v>0.672931550707023</v>
      </c>
      <c r="AH4113" t="str">
        <f t="shared" si="469"/>
        <v>3rd Quality</v>
      </c>
      <c r="AJ4113">
        <f>((T4113-X4113)*2)/29.6</f>
        <v>12.0642806867283</v>
      </c>
      <c r="AK4113">
        <f t="shared" si="467"/>
        <v>122051.738571429</v>
      </c>
    </row>
    <row r="4114" spans="1:37">
      <c r="A4114" t="s">
        <v>4180</v>
      </c>
      <c r="B4114">
        <v>31</v>
      </c>
      <c r="C4114" t="s">
        <v>44</v>
      </c>
      <c r="D4114" t="s">
        <v>45</v>
      </c>
      <c r="E4114">
        <v>389</v>
      </c>
      <c r="F4114">
        <v>32</v>
      </c>
      <c r="G4114">
        <v>4</v>
      </c>
      <c r="H4114">
        <v>1091.45</v>
      </c>
      <c r="I4114">
        <v>4618.79</v>
      </c>
      <c r="J4114">
        <v>13</v>
      </c>
      <c r="K4114">
        <v>1</v>
      </c>
      <c r="L4114">
        <v>28</v>
      </c>
      <c r="M4114">
        <v>46.3</v>
      </c>
      <c r="N4114" t="s">
        <v>61</v>
      </c>
      <c r="O4114" t="s">
        <v>53</v>
      </c>
      <c r="P4114" t="s">
        <v>68</v>
      </c>
      <c r="R4114">
        <f>SUMIF(A4114:A9113,"C04113",I4114:I9113)</f>
        <v>4618.79</v>
      </c>
      <c r="S4114" s="1">
        <v>10024.02</v>
      </c>
      <c r="T4114">
        <f t="shared" si="464"/>
        <v>355.291538461538</v>
      </c>
      <c r="U4114">
        <f t="shared" si="463"/>
        <v>601.9</v>
      </c>
      <c r="V4114">
        <f>U4114*1</f>
        <v>601.9</v>
      </c>
      <c r="W4114">
        <f t="shared" si="468"/>
        <v>1903.74666666667</v>
      </c>
      <c r="X4114">
        <f t="shared" si="466"/>
        <v>0.356406615053369</v>
      </c>
      <c r="AH4114" t="str">
        <f t="shared" si="469"/>
        <v>3rd Quality</v>
      </c>
      <c r="AJ4114">
        <f>((T4114-X4114)*2)/28</f>
        <v>25.352509417606</v>
      </c>
      <c r="AK4114">
        <f t="shared" si="467"/>
        <v>138208.408461538</v>
      </c>
    </row>
    <row r="4115" spans="1:37">
      <c r="A4115" t="s">
        <v>4181</v>
      </c>
      <c r="B4115">
        <v>27</v>
      </c>
      <c r="C4115" t="s">
        <v>44</v>
      </c>
      <c r="D4115" t="s">
        <v>60</v>
      </c>
      <c r="E4115">
        <v>379</v>
      </c>
      <c r="F4115">
        <v>24</v>
      </c>
      <c r="G4115">
        <v>7</v>
      </c>
      <c r="H4115">
        <v>12935.82</v>
      </c>
      <c r="I4115">
        <v>86121.68</v>
      </c>
      <c r="J4115">
        <v>42</v>
      </c>
      <c r="K4115">
        <v>0</v>
      </c>
      <c r="L4115">
        <v>10.3</v>
      </c>
      <c r="M4115">
        <v>27.2</v>
      </c>
      <c r="N4115" t="s">
        <v>52</v>
      </c>
      <c r="O4115" t="s">
        <v>47</v>
      </c>
      <c r="P4115" t="s">
        <v>66</v>
      </c>
      <c r="R4115">
        <f>SUMIF(A4115:A9114,"C04114",I4115:I9114)</f>
        <v>86121.68</v>
      </c>
      <c r="S4115" s="1">
        <v>26677.36</v>
      </c>
      <c r="T4115">
        <f t="shared" si="464"/>
        <v>2050.51619047619</v>
      </c>
      <c r="U4115">
        <f t="shared" si="463"/>
        <v>1142.4</v>
      </c>
      <c r="V4115">
        <f t="shared" si="465"/>
        <v>95.2</v>
      </c>
      <c r="W4115">
        <f t="shared" si="468"/>
        <v>33019.5</v>
      </c>
      <c r="X4115">
        <f t="shared" si="466"/>
        <v>0.0292984905479513</v>
      </c>
      <c r="AH4115" t="str">
        <f t="shared" si="469"/>
        <v>3rd Quality</v>
      </c>
      <c r="AJ4115">
        <f>((T4115-X4115)*2)/10.3</f>
        <v>398.152794560319</v>
      </c>
      <c r="AK4115">
        <f t="shared" si="467"/>
        <v>777145.636190476</v>
      </c>
    </row>
    <row r="4116" spans="1:37">
      <c r="A4116" t="s">
        <v>4182</v>
      </c>
      <c r="B4116">
        <v>40</v>
      </c>
      <c r="C4116" t="s">
        <v>101</v>
      </c>
      <c r="D4116" t="s">
        <v>51</v>
      </c>
      <c r="E4116">
        <v>657</v>
      </c>
      <c r="F4116">
        <v>126</v>
      </c>
      <c r="G4116">
        <v>3</v>
      </c>
      <c r="H4116">
        <v>1463.46</v>
      </c>
      <c r="I4116">
        <v>3863.6</v>
      </c>
      <c r="J4116">
        <v>32</v>
      </c>
      <c r="K4116">
        <v>0</v>
      </c>
      <c r="L4116">
        <v>32.2</v>
      </c>
      <c r="M4116">
        <v>20.7</v>
      </c>
      <c r="N4116" t="s">
        <v>46</v>
      </c>
      <c r="O4116" t="s">
        <v>47</v>
      </c>
      <c r="P4116" t="s">
        <v>58</v>
      </c>
      <c r="R4116">
        <f>SUMIF(A4116:A9115,"C04115",I4116:I9115)</f>
        <v>3863.6</v>
      </c>
      <c r="S4116" s="1">
        <v>1324.31</v>
      </c>
      <c r="T4116">
        <f t="shared" si="464"/>
        <v>120.7375</v>
      </c>
      <c r="U4116">
        <f t="shared" si="463"/>
        <v>662.4</v>
      </c>
      <c r="V4116">
        <f t="shared" si="465"/>
        <v>55.2</v>
      </c>
      <c r="W4116">
        <f t="shared" si="468"/>
        <v>1776.02</v>
      </c>
      <c r="X4116">
        <f t="shared" si="466"/>
        <v>0.448936082981428</v>
      </c>
      <c r="AH4116" t="str">
        <f t="shared" si="469"/>
        <v>3rd Quality</v>
      </c>
      <c r="AJ4116">
        <f>((T4116-X4116)*2)/32.2</f>
        <v>7.47133937372786</v>
      </c>
      <c r="AK4116">
        <f t="shared" si="467"/>
        <v>79324.5375</v>
      </c>
    </row>
    <row r="4117" spans="1:37">
      <c r="A4117" t="s">
        <v>4183</v>
      </c>
      <c r="B4117">
        <v>18</v>
      </c>
      <c r="C4117" t="s">
        <v>50</v>
      </c>
      <c r="D4117" t="s">
        <v>60</v>
      </c>
      <c r="E4117">
        <v>1221</v>
      </c>
      <c r="F4117">
        <v>18</v>
      </c>
      <c r="G4117">
        <v>5</v>
      </c>
      <c r="H4117">
        <v>1939.82</v>
      </c>
      <c r="I4117">
        <v>10024.02</v>
      </c>
      <c r="J4117">
        <v>42</v>
      </c>
      <c r="K4117">
        <v>1</v>
      </c>
      <c r="L4117">
        <v>32.6</v>
      </c>
      <c r="M4117">
        <v>16.4</v>
      </c>
      <c r="N4117" t="s">
        <v>78</v>
      </c>
      <c r="O4117" t="s">
        <v>53</v>
      </c>
      <c r="P4117" t="s">
        <v>68</v>
      </c>
      <c r="R4117">
        <f>SUMIF(A4117:A9116,"C04116",I4117:I9116)</f>
        <v>10024.02</v>
      </c>
      <c r="S4117" s="1">
        <v>16522.78</v>
      </c>
      <c r="T4117">
        <f t="shared" si="464"/>
        <v>238.667142857143</v>
      </c>
      <c r="U4117">
        <f t="shared" si="463"/>
        <v>688.8</v>
      </c>
      <c r="V4117">
        <f>U4117*1</f>
        <v>688.8</v>
      </c>
      <c r="W4117">
        <f t="shared" si="468"/>
        <v>3988.28</v>
      </c>
      <c r="X4117">
        <f t="shared" si="466"/>
        <v>0.629439844934066</v>
      </c>
      <c r="AH4117" t="str">
        <f t="shared" si="469"/>
        <v>3rd Quality</v>
      </c>
      <c r="AJ4117">
        <f>((T4117-X4117)*2)/32.6</f>
        <v>14.6035400620987</v>
      </c>
      <c r="AK4117">
        <f t="shared" si="467"/>
        <v>291412.581428571</v>
      </c>
    </row>
    <row r="4118" spans="1:37">
      <c r="A4118" t="s">
        <v>4184</v>
      </c>
      <c r="B4118">
        <v>35</v>
      </c>
      <c r="C4118" t="s">
        <v>50</v>
      </c>
      <c r="D4118" t="s">
        <v>45</v>
      </c>
      <c r="E4118">
        <v>765</v>
      </c>
      <c r="F4118">
        <v>50</v>
      </c>
      <c r="G4118">
        <v>4</v>
      </c>
      <c r="H4118">
        <v>7554.49</v>
      </c>
      <c r="I4118">
        <v>26677.36</v>
      </c>
      <c r="J4118">
        <v>17</v>
      </c>
      <c r="K4118">
        <v>0</v>
      </c>
      <c r="L4118">
        <v>1.5</v>
      </c>
      <c r="M4118">
        <v>3.5</v>
      </c>
      <c r="N4118" t="s">
        <v>78</v>
      </c>
      <c r="O4118" t="s">
        <v>47</v>
      </c>
      <c r="P4118" t="s">
        <v>58</v>
      </c>
      <c r="R4118">
        <f>SUMIF(A4118:A9117,"C04117",I4118:I9117)</f>
        <v>26677.36</v>
      </c>
      <c r="S4118" s="1">
        <v>11238.1</v>
      </c>
      <c r="T4118">
        <f t="shared" si="464"/>
        <v>1569.25647058824</v>
      </c>
      <c r="U4118">
        <f t="shared" si="463"/>
        <v>59.5</v>
      </c>
      <c r="V4118">
        <f t="shared" si="465"/>
        <v>4.95833333333333</v>
      </c>
      <c r="W4118">
        <f t="shared" si="468"/>
        <v>11410.95</v>
      </c>
      <c r="X4118">
        <f t="shared" si="466"/>
        <v>0.101264281242016</v>
      </c>
      <c r="AH4118" t="str">
        <f t="shared" si="469"/>
        <v>2nd Quality</v>
      </c>
      <c r="AJ4118">
        <f>((T4118-X4118)*2)/1.5</f>
        <v>2092.20694174266</v>
      </c>
      <c r="AK4118">
        <f t="shared" si="467"/>
        <v>1200481.2</v>
      </c>
    </row>
    <row r="4119" spans="1:37">
      <c r="A4119" t="s">
        <v>4185</v>
      </c>
      <c r="B4119">
        <v>26</v>
      </c>
      <c r="C4119" t="s">
        <v>50</v>
      </c>
      <c r="D4119" t="s">
        <v>45</v>
      </c>
      <c r="E4119">
        <v>1149</v>
      </c>
      <c r="F4119">
        <v>84</v>
      </c>
      <c r="G4119">
        <v>1</v>
      </c>
      <c r="H4119">
        <v>1465.73</v>
      </c>
      <c r="I4119">
        <v>1324.31</v>
      </c>
      <c r="J4119">
        <v>16</v>
      </c>
      <c r="K4119">
        <v>0</v>
      </c>
      <c r="L4119">
        <v>12.5</v>
      </c>
      <c r="M4119">
        <v>35</v>
      </c>
      <c r="N4119" t="s">
        <v>61</v>
      </c>
      <c r="O4119" t="s">
        <v>47</v>
      </c>
      <c r="P4119" t="s">
        <v>58</v>
      </c>
      <c r="R4119">
        <f>SUMIF(A4119:A9118,"C04118",I4119:I9118)</f>
        <v>1324.31</v>
      </c>
      <c r="S4119" s="1">
        <v>3140.29</v>
      </c>
      <c r="T4119">
        <f t="shared" si="464"/>
        <v>82.769375</v>
      </c>
      <c r="U4119">
        <f t="shared" si="463"/>
        <v>560</v>
      </c>
      <c r="V4119">
        <f t="shared" si="465"/>
        <v>46.6666666666667</v>
      </c>
      <c r="W4119">
        <f t="shared" si="468"/>
        <v>930.346666666667</v>
      </c>
      <c r="X4119">
        <f t="shared" si="466"/>
        <v>0.783909724164751</v>
      </c>
      <c r="AH4119" t="str">
        <f t="shared" si="469"/>
        <v>3rd Quality</v>
      </c>
      <c r="AJ4119">
        <f>((T4119-X4119)*2)/12.5</f>
        <v>13.1176744441336</v>
      </c>
      <c r="AK4119">
        <f t="shared" si="467"/>
        <v>95102.011875</v>
      </c>
    </row>
    <row r="4120" spans="1:37">
      <c r="A4120" t="s">
        <v>4186</v>
      </c>
      <c r="B4120">
        <v>50</v>
      </c>
      <c r="C4120" t="s">
        <v>50</v>
      </c>
      <c r="D4120" t="s">
        <v>60</v>
      </c>
      <c r="E4120">
        <v>1359</v>
      </c>
      <c r="F4120">
        <v>30</v>
      </c>
      <c r="G4120">
        <v>10</v>
      </c>
      <c r="H4120">
        <v>1856.76</v>
      </c>
      <c r="I4120">
        <v>16522.78</v>
      </c>
      <c r="J4120">
        <v>57</v>
      </c>
      <c r="K4120">
        <v>0</v>
      </c>
      <c r="L4120">
        <v>21.4</v>
      </c>
      <c r="M4120">
        <v>18.7</v>
      </c>
      <c r="N4120" t="s">
        <v>61</v>
      </c>
      <c r="O4120" t="s">
        <v>47</v>
      </c>
      <c r="P4120" t="s">
        <v>58</v>
      </c>
      <c r="R4120">
        <f>SUMIF(A4120:A9119,"C04119",I4120:I9119)</f>
        <v>16522.78</v>
      </c>
      <c r="S4120" s="1">
        <v>1964.56</v>
      </c>
      <c r="T4120">
        <f t="shared" si="464"/>
        <v>289.873333333333</v>
      </c>
      <c r="U4120">
        <f t="shared" si="463"/>
        <v>1065.9</v>
      </c>
      <c r="V4120">
        <f t="shared" si="465"/>
        <v>88.825</v>
      </c>
      <c r="W4120">
        <f t="shared" si="468"/>
        <v>6126.84666666667</v>
      </c>
      <c r="X4120">
        <f t="shared" si="466"/>
        <v>0.731920118916823</v>
      </c>
      <c r="AH4120" t="str">
        <f t="shared" si="469"/>
        <v>3rd Quality</v>
      </c>
      <c r="AJ4120">
        <f>((T4120-X4120)*2)/21.4</f>
        <v>27.0225619826557</v>
      </c>
      <c r="AK4120">
        <f t="shared" si="467"/>
        <v>393937.86</v>
      </c>
    </row>
    <row r="4121" spans="1:37">
      <c r="A4121" t="s">
        <v>4187</v>
      </c>
      <c r="B4121">
        <v>18</v>
      </c>
      <c r="C4121" t="s">
        <v>50</v>
      </c>
      <c r="D4121" t="s">
        <v>51</v>
      </c>
      <c r="E4121">
        <v>1377</v>
      </c>
      <c r="F4121">
        <v>57</v>
      </c>
      <c r="G4121">
        <v>7</v>
      </c>
      <c r="H4121">
        <v>1565.48</v>
      </c>
      <c r="I4121">
        <v>11238.1</v>
      </c>
      <c r="J4121">
        <v>23</v>
      </c>
      <c r="K4121">
        <v>0</v>
      </c>
      <c r="L4121">
        <v>20.6</v>
      </c>
      <c r="M4121">
        <v>9.7</v>
      </c>
      <c r="N4121" t="s">
        <v>61</v>
      </c>
      <c r="O4121" t="s">
        <v>53</v>
      </c>
      <c r="P4121" t="s">
        <v>58</v>
      </c>
      <c r="R4121">
        <f>SUMIF(A4121:A9120,"C04120",I4121:I9120)</f>
        <v>11238.1</v>
      </c>
      <c r="S4121" s="1">
        <v>4024.8</v>
      </c>
      <c r="T4121">
        <f t="shared" si="464"/>
        <v>488.613043478261</v>
      </c>
      <c r="U4121">
        <f t="shared" si="463"/>
        <v>223.1</v>
      </c>
      <c r="V4121">
        <f t="shared" si="465"/>
        <v>18.5916666666667</v>
      </c>
      <c r="W4121">
        <f t="shared" si="468"/>
        <v>4268.19333333333</v>
      </c>
      <c r="X4121">
        <f t="shared" si="466"/>
        <v>0.879602422260265</v>
      </c>
      <c r="AH4121" t="str">
        <f t="shared" si="469"/>
        <v>3rd Quality</v>
      </c>
      <c r="AJ4121">
        <f>((T4121-X4121)*2)/20.6</f>
        <v>47.3527612675729</v>
      </c>
      <c r="AK4121">
        <f t="shared" si="467"/>
        <v>672820.160869565</v>
      </c>
    </row>
    <row r="4122" spans="1:37">
      <c r="A4122" t="s">
        <v>4188</v>
      </c>
      <c r="B4122">
        <v>50</v>
      </c>
      <c r="C4122" t="s">
        <v>50</v>
      </c>
      <c r="D4122" t="s">
        <v>60</v>
      </c>
      <c r="E4122">
        <v>708</v>
      </c>
      <c r="F4122">
        <v>365</v>
      </c>
      <c r="G4122">
        <v>2</v>
      </c>
      <c r="H4122">
        <v>1688.52</v>
      </c>
      <c r="I4122">
        <v>3140.29</v>
      </c>
      <c r="J4122">
        <v>20</v>
      </c>
      <c r="K4122">
        <v>0</v>
      </c>
      <c r="L4122">
        <v>23</v>
      </c>
      <c r="M4122">
        <v>34.6</v>
      </c>
      <c r="N4122" t="s">
        <v>81</v>
      </c>
      <c r="O4122" t="s">
        <v>53</v>
      </c>
      <c r="P4122" t="s">
        <v>58</v>
      </c>
      <c r="R4122">
        <f>SUMIF(A4122:A9121,"C04121",I4122:I9121)</f>
        <v>3140.29</v>
      </c>
      <c r="S4122" s="1">
        <v>19416.35</v>
      </c>
      <c r="T4122">
        <f t="shared" si="464"/>
        <v>157.0145</v>
      </c>
      <c r="U4122">
        <f t="shared" si="463"/>
        <v>692</v>
      </c>
      <c r="V4122">
        <f t="shared" si="465"/>
        <v>57.6666666666667</v>
      </c>
      <c r="W4122">
        <f t="shared" si="468"/>
        <v>1609.93666666667</v>
      </c>
      <c r="X4122">
        <f t="shared" si="466"/>
        <v>0.419302110724184</v>
      </c>
      <c r="AH4122" t="str">
        <f t="shared" si="469"/>
        <v>3rd Quality</v>
      </c>
      <c r="AJ4122">
        <f>((T4122-X4122)*2)/23</f>
        <v>13.6169737295022</v>
      </c>
      <c r="AK4122">
        <f t="shared" si="467"/>
        <v>111166.266</v>
      </c>
    </row>
    <row r="4123" spans="1:37">
      <c r="A4123" t="s">
        <v>4189</v>
      </c>
      <c r="B4123">
        <v>46</v>
      </c>
      <c r="C4123" t="s">
        <v>44</v>
      </c>
      <c r="D4123" t="s">
        <v>45</v>
      </c>
      <c r="E4123">
        <v>994</v>
      </c>
      <c r="F4123">
        <v>233</v>
      </c>
      <c r="G4123">
        <v>3</v>
      </c>
      <c r="H4123">
        <v>609.62</v>
      </c>
      <c r="I4123">
        <v>1964.56</v>
      </c>
      <c r="J4123">
        <v>14</v>
      </c>
      <c r="K4123">
        <v>0</v>
      </c>
      <c r="L4123">
        <v>21.6</v>
      </c>
      <c r="M4123">
        <v>32.5</v>
      </c>
      <c r="N4123" t="s">
        <v>57</v>
      </c>
      <c r="O4123" t="s">
        <v>75</v>
      </c>
      <c r="P4123" t="s">
        <v>58</v>
      </c>
      <c r="R4123">
        <f>SUMIF(A4123:A9122,"C04122",I4123:I9122)</f>
        <v>1964.56</v>
      </c>
      <c r="S4123" s="1">
        <v>1625.79</v>
      </c>
      <c r="T4123">
        <f t="shared" si="464"/>
        <v>140.325714285714</v>
      </c>
      <c r="U4123">
        <f t="shared" si="463"/>
        <v>455</v>
      </c>
      <c r="V4123">
        <f t="shared" si="465"/>
        <v>37.9166666666667</v>
      </c>
      <c r="W4123">
        <f t="shared" si="468"/>
        <v>858.393333333333</v>
      </c>
      <c r="X4123">
        <f t="shared" si="466"/>
        <v>1.63052393294183</v>
      </c>
      <c r="AH4123" t="str">
        <f t="shared" si="469"/>
        <v>3rd Quality</v>
      </c>
      <c r="AJ4123">
        <f>((T4123-X4123)*2)/21.6</f>
        <v>12.8421472548863</v>
      </c>
      <c r="AK4123">
        <f t="shared" si="467"/>
        <v>139483.76</v>
      </c>
    </row>
    <row r="4124" spans="1:37">
      <c r="A4124" t="s">
        <v>4190</v>
      </c>
      <c r="B4124">
        <v>32</v>
      </c>
      <c r="C4124" t="s">
        <v>50</v>
      </c>
      <c r="D4124" t="s">
        <v>51</v>
      </c>
      <c r="E4124">
        <v>1164</v>
      </c>
      <c r="F4124">
        <v>365</v>
      </c>
      <c r="G4124">
        <v>3</v>
      </c>
      <c r="H4124">
        <v>1389.52</v>
      </c>
      <c r="I4124">
        <v>4024.8</v>
      </c>
      <c r="J4124">
        <v>17</v>
      </c>
      <c r="K4124">
        <v>0</v>
      </c>
      <c r="L4124">
        <v>25.9</v>
      </c>
      <c r="M4124">
        <v>40.2</v>
      </c>
      <c r="N4124" t="s">
        <v>61</v>
      </c>
      <c r="O4124" t="s">
        <v>47</v>
      </c>
      <c r="P4124" t="s">
        <v>58</v>
      </c>
      <c r="R4124">
        <f>SUMIF(A4124:A9123,"C04123",I4124:I9123)</f>
        <v>4024.8</v>
      </c>
      <c r="S4124" s="1">
        <v>26637.69</v>
      </c>
      <c r="T4124">
        <f t="shared" si="464"/>
        <v>236.752941176471</v>
      </c>
      <c r="U4124">
        <f t="shared" si="463"/>
        <v>683.4</v>
      </c>
      <c r="V4124">
        <f t="shared" si="465"/>
        <v>56.95</v>
      </c>
      <c r="W4124">
        <f t="shared" si="468"/>
        <v>1805.10666666667</v>
      </c>
      <c r="X4124">
        <f t="shared" si="466"/>
        <v>0.837699349415626</v>
      </c>
      <c r="AH4124" t="str">
        <f t="shared" si="469"/>
        <v>3rd Quality</v>
      </c>
      <c r="AJ4124">
        <f>((T4124-X4124)*2)/25.9</f>
        <v>18.2173931912784</v>
      </c>
      <c r="AK4124">
        <f t="shared" si="467"/>
        <v>275580.423529412</v>
      </c>
    </row>
    <row r="4125" spans="1:37">
      <c r="A4125" t="s">
        <v>4191</v>
      </c>
      <c r="B4125">
        <v>39</v>
      </c>
      <c r="C4125" t="s">
        <v>44</v>
      </c>
      <c r="D4125" t="s">
        <v>45</v>
      </c>
      <c r="E4125">
        <v>575</v>
      </c>
      <c r="F4125">
        <v>38</v>
      </c>
      <c r="G4125">
        <v>12</v>
      </c>
      <c r="H4125">
        <v>1684.67</v>
      </c>
      <c r="I4125">
        <v>19416.35</v>
      </c>
      <c r="J4125">
        <v>74</v>
      </c>
      <c r="K4125">
        <v>1</v>
      </c>
      <c r="L4125">
        <v>20</v>
      </c>
      <c r="M4125">
        <v>37.2</v>
      </c>
      <c r="N4125" t="s">
        <v>52</v>
      </c>
      <c r="O4125" t="s">
        <v>47</v>
      </c>
      <c r="P4125" t="s">
        <v>58</v>
      </c>
      <c r="R4125">
        <f>SUMIF(A4125:A9124,"C04124",I4125:I9124)</f>
        <v>19416.35</v>
      </c>
      <c r="S4125" s="1">
        <v>51786.41</v>
      </c>
      <c r="T4125">
        <f t="shared" si="464"/>
        <v>262.383108108108</v>
      </c>
      <c r="U4125">
        <f t="shared" si="463"/>
        <v>2752.8</v>
      </c>
      <c r="V4125">
        <f>U4125*1</f>
        <v>2752.8</v>
      </c>
      <c r="W4125">
        <f t="shared" si="468"/>
        <v>7034.00666666667</v>
      </c>
      <c r="X4125">
        <f t="shared" si="466"/>
        <v>0.341313135510219</v>
      </c>
      <c r="AH4125" t="str">
        <f t="shared" si="469"/>
        <v>2nd Quality</v>
      </c>
      <c r="AJ4125">
        <f>((T4125-X4125)*2)/20</f>
        <v>26.2041794972598</v>
      </c>
      <c r="AK4125">
        <f t="shared" si="467"/>
        <v>150870.287162162</v>
      </c>
    </row>
    <row r="4126" spans="1:37">
      <c r="A4126" t="s">
        <v>4192</v>
      </c>
      <c r="B4126">
        <v>42</v>
      </c>
      <c r="C4126" t="s">
        <v>50</v>
      </c>
      <c r="D4126" t="s">
        <v>45</v>
      </c>
      <c r="E4126">
        <v>1129</v>
      </c>
      <c r="F4126">
        <v>365</v>
      </c>
      <c r="G4126">
        <v>2</v>
      </c>
      <c r="H4126">
        <v>810.02</v>
      </c>
      <c r="I4126">
        <v>1625.79</v>
      </c>
      <c r="J4126">
        <v>15</v>
      </c>
      <c r="K4126">
        <v>0</v>
      </c>
      <c r="L4126">
        <v>25.3</v>
      </c>
      <c r="M4126">
        <v>3.3</v>
      </c>
      <c r="N4126" t="s">
        <v>57</v>
      </c>
      <c r="O4126" t="s">
        <v>47</v>
      </c>
      <c r="P4126" t="s">
        <v>58</v>
      </c>
      <c r="R4126">
        <f>SUMIF(A4126:A9125,"C04125",I4126:I9125)</f>
        <v>1625.79</v>
      </c>
      <c r="S4126" s="1">
        <v>7172.53</v>
      </c>
      <c r="T4126">
        <f t="shared" si="464"/>
        <v>108.386</v>
      </c>
      <c r="U4126">
        <f t="shared" si="463"/>
        <v>49.5</v>
      </c>
      <c r="V4126">
        <f t="shared" si="465"/>
        <v>4.125</v>
      </c>
      <c r="W4126">
        <f t="shared" si="468"/>
        <v>812.27</v>
      </c>
      <c r="X4126">
        <f t="shared" si="466"/>
        <v>1.39379274585813</v>
      </c>
      <c r="AH4126" t="str">
        <f t="shared" si="469"/>
        <v>3rd Quality</v>
      </c>
      <c r="AJ4126">
        <f>((T4126-X4126)*2)/25.3</f>
        <v>8.45788199637485</v>
      </c>
      <c r="AK4126">
        <f t="shared" si="467"/>
        <v>122367.794</v>
      </c>
    </row>
    <row r="4127" spans="1:37">
      <c r="A4127" t="s">
        <v>4193</v>
      </c>
      <c r="B4127">
        <v>33</v>
      </c>
      <c r="C4127" t="s">
        <v>44</v>
      </c>
      <c r="D4127" t="s">
        <v>60</v>
      </c>
      <c r="E4127">
        <v>556</v>
      </c>
      <c r="F4127">
        <v>8</v>
      </c>
      <c r="G4127">
        <v>19</v>
      </c>
      <c r="H4127">
        <v>1315.17</v>
      </c>
      <c r="I4127">
        <v>26637.69</v>
      </c>
      <c r="J4127">
        <v>105</v>
      </c>
      <c r="K4127">
        <v>3</v>
      </c>
      <c r="L4127">
        <v>26.7</v>
      </c>
      <c r="M4127">
        <v>39</v>
      </c>
      <c r="N4127" t="s">
        <v>63</v>
      </c>
      <c r="O4127" t="s">
        <v>53</v>
      </c>
      <c r="P4127" t="s">
        <v>58</v>
      </c>
      <c r="R4127">
        <f>SUMIF(A4127:A9126,"C04126",I4127:I9126)</f>
        <v>26637.69</v>
      </c>
      <c r="S4127" s="1">
        <v>1079.88</v>
      </c>
      <c r="T4127">
        <f t="shared" si="464"/>
        <v>253.692285714286</v>
      </c>
      <c r="U4127">
        <f t="shared" si="463"/>
        <v>4095</v>
      </c>
      <c r="V4127">
        <f>U4127*3</f>
        <v>12285</v>
      </c>
      <c r="W4127">
        <f t="shared" si="468"/>
        <v>9317.95333333333</v>
      </c>
      <c r="X4127">
        <f t="shared" si="466"/>
        <v>0.422759034953656</v>
      </c>
      <c r="AH4127" t="str">
        <f t="shared" si="469"/>
        <v>2nd Quality</v>
      </c>
      <c r="AJ4127">
        <f>((T4127-X4127)*2)/26.7</f>
        <v>18.9715001257927</v>
      </c>
      <c r="AK4127">
        <f t="shared" si="467"/>
        <v>141052.910857143</v>
      </c>
    </row>
    <row r="4128" spans="1:37">
      <c r="A4128" t="s">
        <v>4194</v>
      </c>
      <c r="B4128">
        <v>44</v>
      </c>
      <c r="C4128" t="s">
        <v>44</v>
      </c>
      <c r="D4128" t="s">
        <v>45</v>
      </c>
      <c r="E4128">
        <v>986</v>
      </c>
      <c r="F4128">
        <v>45</v>
      </c>
      <c r="G4128">
        <v>4</v>
      </c>
      <c r="H4128">
        <v>12363.83</v>
      </c>
      <c r="I4128">
        <v>51786.41</v>
      </c>
      <c r="J4128">
        <v>42</v>
      </c>
      <c r="K4128">
        <v>0</v>
      </c>
      <c r="L4128">
        <v>13.2</v>
      </c>
      <c r="M4128">
        <v>43.8</v>
      </c>
      <c r="N4128" t="s">
        <v>63</v>
      </c>
      <c r="O4128" t="s">
        <v>47</v>
      </c>
      <c r="P4128" t="s">
        <v>68</v>
      </c>
      <c r="R4128">
        <f>SUMIF(A4128:A9127,"C04127",I4128:I9127)</f>
        <v>51786.41</v>
      </c>
      <c r="S4128" s="1">
        <v>3099.99</v>
      </c>
      <c r="T4128">
        <f t="shared" si="464"/>
        <v>1233.00976190476</v>
      </c>
      <c r="U4128">
        <f t="shared" si="463"/>
        <v>1839.6</v>
      </c>
      <c r="V4128">
        <f t="shared" si="465"/>
        <v>153.3</v>
      </c>
      <c r="W4128">
        <f t="shared" si="468"/>
        <v>21383.7466666667</v>
      </c>
      <c r="X4128">
        <f t="shared" si="466"/>
        <v>0.0797487509938263</v>
      </c>
      <c r="AH4128" t="str">
        <f t="shared" si="469"/>
        <v>3rd Quality</v>
      </c>
      <c r="AJ4128">
        <f>((T4128-X4128)*2)/13.2</f>
        <v>186.807577750571</v>
      </c>
      <c r="AK4128">
        <f t="shared" si="467"/>
        <v>1215747.6252381</v>
      </c>
    </row>
    <row r="4129" spans="1:37">
      <c r="A4129" t="s">
        <v>4195</v>
      </c>
      <c r="B4129">
        <v>28</v>
      </c>
      <c r="C4129" t="s">
        <v>44</v>
      </c>
      <c r="D4129" t="s">
        <v>60</v>
      </c>
      <c r="E4129">
        <v>794</v>
      </c>
      <c r="F4129">
        <v>11</v>
      </c>
      <c r="G4129">
        <v>7</v>
      </c>
      <c r="H4129">
        <v>1102.28</v>
      </c>
      <c r="I4129">
        <v>7172.53</v>
      </c>
      <c r="J4129">
        <v>24</v>
      </c>
      <c r="K4129">
        <v>0</v>
      </c>
      <c r="L4129">
        <v>26.4</v>
      </c>
      <c r="M4129">
        <v>19.2</v>
      </c>
      <c r="N4129" t="s">
        <v>63</v>
      </c>
      <c r="O4129" t="s">
        <v>53</v>
      </c>
      <c r="P4129" t="s">
        <v>58</v>
      </c>
      <c r="R4129">
        <f>SUMIF(A4129:A9128,"C04128",I4129:I9128)</f>
        <v>7172.53</v>
      </c>
      <c r="S4129" s="1">
        <v>1938.18</v>
      </c>
      <c r="T4129">
        <f t="shared" si="464"/>
        <v>298.855416666667</v>
      </c>
      <c r="U4129">
        <f t="shared" si="463"/>
        <v>460.8</v>
      </c>
      <c r="V4129">
        <f t="shared" si="465"/>
        <v>38.4</v>
      </c>
      <c r="W4129">
        <f t="shared" si="468"/>
        <v>2758.60333333333</v>
      </c>
      <c r="X4129">
        <f t="shared" si="466"/>
        <v>0.720325144246471</v>
      </c>
      <c r="AH4129" t="str">
        <f t="shared" si="469"/>
        <v>3rd Quality</v>
      </c>
      <c r="AJ4129">
        <f>((T4129-X4129)*2)/26.4</f>
        <v>22.5859917820016</v>
      </c>
      <c r="AK4129">
        <f t="shared" si="467"/>
        <v>237291.200833333</v>
      </c>
    </row>
    <row r="4130" spans="1:37">
      <c r="A4130" t="s">
        <v>4196</v>
      </c>
      <c r="B4130">
        <v>44</v>
      </c>
      <c r="C4130" t="s">
        <v>44</v>
      </c>
      <c r="D4130" t="s">
        <v>60</v>
      </c>
      <c r="E4130">
        <v>787</v>
      </c>
      <c r="F4130">
        <v>117</v>
      </c>
      <c r="G4130">
        <v>1</v>
      </c>
      <c r="H4130">
        <v>1015.65</v>
      </c>
      <c r="I4130">
        <v>1079.88</v>
      </c>
      <c r="J4130">
        <v>14</v>
      </c>
      <c r="K4130">
        <v>0</v>
      </c>
      <c r="L4130">
        <v>36.8</v>
      </c>
      <c r="M4130">
        <v>39</v>
      </c>
      <c r="N4130" t="s">
        <v>81</v>
      </c>
      <c r="O4130" t="s">
        <v>47</v>
      </c>
      <c r="P4130" t="s">
        <v>58</v>
      </c>
      <c r="R4130">
        <f>SUMIF(A4130:A9129,"C04129",I4130:I9129)</f>
        <v>1079.88</v>
      </c>
      <c r="S4130" s="1">
        <v>20230.01</v>
      </c>
      <c r="T4130">
        <f t="shared" si="464"/>
        <v>77.1342857142857</v>
      </c>
      <c r="U4130">
        <f t="shared" ref="U4130:U4193" si="470">J4130*M4130</f>
        <v>546</v>
      </c>
      <c r="V4130">
        <f t="shared" si="465"/>
        <v>45.5</v>
      </c>
      <c r="W4130">
        <f t="shared" si="468"/>
        <v>698.843333333333</v>
      </c>
      <c r="X4130">
        <f t="shared" si="466"/>
        <v>0.774873233889627</v>
      </c>
      <c r="AH4130" t="str">
        <f t="shared" si="469"/>
        <v>3rd Quality</v>
      </c>
      <c r="AJ4130">
        <f>((T4130-X4130)*2)/36.8</f>
        <v>4.14996806958674</v>
      </c>
      <c r="AK4130">
        <f t="shared" si="467"/>
        <v>60704.6828571429</v>
      </c>
    </row>
    <row r="4131" spans="1:37">
      <c r="A4131" t="s">
        <v>4197</v>
      </c>
      <c r="B4131">
        <v>29</v>
      </c>
      <c r="C4131" t="s">
        <v>101</v>
      </c>
      <c r="D4131" t="s">
        <v>45</v>
      </c>
      <c r="E4131">
        <v>730</v>
      </c>
      <c r="F4131">
        <v>65</v>
      </c>
      <c r="G4131">
        <v>1</v>
      </c>
      <c r="H4131">
        <v>3094.93</v>
      </c>
      <c r="I4131">
        <v>3099.99</v>
      </c>
      <c r="J4131">
        <v>14</v>
      </c>
      <c r="K4131">
        <v>0</v>
      </c>
      <c r="L4131">
        <v>14.9</v>
      </c>
      <c r="M4131">
        <v>39.3</v>
      </c>
      <c r="N4131" t="s">
        <v>61</v>
      </c>
      <c r="O4131" t="s">
        <v>53</v>
      </c>
      <c r="P4131" t="s">
        <v>54</v>
      </c>
      <c r="R4131">
        <f>SUMIF(A4131:A9130,"C04130",I4131:I9130)</f>
        <v>3099.99</v>
      </c>
      <c r="S4131" s="1">
        <v>6918.18</v>
      </c>
      <c r="T4131">
        <f t="shared" si="464"/>
        <v>221.427857142857</v>
      </c>
      <c r="U4131">
        <f t="shared" si="470"/>
        <v>550.2</v>
      </c>
      <c r="V4131">
        <f t="shared" si="465"/>
        <v>45.85</v>
      </c>
      <c r="W4131">
        <f t="shared" si="468"/>
        <v>2065.30666666667</v>
      </c>
      <c r="X4131">
        <f t="shared" si="466"/>
        <v>0.235869631946441</v>
      </c>
      <c r="AH4131" t="str">
        <f t="shared" si="469"/>
        <v>3rd Quality</v>
      </c>
      <c r="AJ4131">
        <f>((T4131-X4131)*2)/14.9</f>
        <v>29.690199665894</v>
      </c>
      <c r="AK4131">
        <f t="shared" si="467"/>
        <v>161642.335714286</v>
      </c>
    </row>
    <row r="4132" spans="1:37">
      <c r="A4132" t="s">
        <v>4198</v>
      </c>
      <c r="B4132">
        <v>30</v>
      </c>
      <c r="C4132" t="s">
        <v>44</v>
      </c>
      <c r="D4132" t="s">
        <v>60</v>
      </c>
      <c r="E4132">
        <v>903</v>
      </c>
      <c r="F4132">
        <v>191</v>
      </c>
      <c r="G4132">
        <v>3</v>
      </c>
      <c r="H4132">
        <v>578.4</v>
      </c>
      <c r="I4132">
        <v>1938.18</v>
      </c>
      <c r="J4132">
        <v>8</v>
      </c>
      <c r="K4132">
        <v>0</v>
      </c>
      <c r="L4132">
        <v>30.8</v>
      </c>
      <c r="M4132">
        <v>27.5</v>
      </c>
      <c r="N4132" t="s">
        <v>57</v>
      </c>
      <c r="O4132" t="s">
        <v>47</v>
      </c>
      <c r="P4132" t="s">
        <v>68</v>
      </c>
      <c r="R4132">
        <f>SUMIF(A4132:A9131,"C04131",I4132:I9131)</f>
        <v>1938.18</v>
      </c>
      <c r="S4132" s="1">
        <v>31129.34</v>
      </c>
      <c r="T4132">
        <f t="shared" si="464"/>
        <v>242.2725</v>
      </c>
      <c r="U4132">
        <f t="shared" si="470"/>
        <v>220</v>
      </c>
      <c r="V4132">
        <f t="shared" si="465"/>
        <v>18.3333333333333</v>
      </c>
      <c r="W4132">
        <f t="shared" si="468"/>
        <v>839.193333333333</v>
      </c>
      <c r="X4132">
        <f t="shared" si="466"/>
        <v>1.56120331950207</v>
      </c>
      <c r="AH4132" t="str">
        <f t="shared" si="469"/>
        <v>3rd Quality</v>
      </c>
      <c r="AJ4132">
        <f>((T4132-X4132)*2)/30.8</f>
        <v>15.6306036805518</v>
      </c>
      <c r="AK4132">
        <f t="shared" si="467"/>
        <v>218772.0675</v>
      </c>
    </row>
    <row r="4133" spans="1:37">
      <c r="A4133" t="s">
        <v>4199</v>
      </c>
      <c r="B4133">
        <v>43</v>
      </c>
      <c r="C4133" t="s">
        <v>44</v>
      </c>
      <c r="D4133" t="s">
        <v>45</v>
      </c>
      <c r="E4133">
        <v>815</v>
      </c>
      <c r="F4133">
        <v>51</v>
      </c>
      <c r="G4133">
        <v>4</v>
      </c>
      <c r="H4133">
        <v>5037.18</v>
      </c>
      <c r="I4133">
        <v>20230.01</v>
      </c>
      <c r="J4133">
        <v>19</v>
      </c>
      <c r="K4133">
        <v>0</v>
      </c>
      <c r="L4133">
        <v>1.3</v>
      </c>
      <c r="M4133">
        <v>24.5</v>
      </c>
      <c r="N4133" t="s">
        <v>52</v>
      </c>
      <c r="O4133" t="s">
        <v>47</v>
      </c>
      <c r="P4133" t="s">
        <v>68</v>
      </c>
      <c r="R4133">
        <f>SUMIF(A4133:A9132,"C04132",I4133:I9132)</f>
        <v>20230.01</v>
      </c>
      <c r="S4133" s="1">
        <v>25037.9</v>
      </c>
      <c r="T4133">
        <f t="shared" si="464"/>
        <v>1064.73736842105</v>
      </c>
      <c r="U4133">
        <f t="shared" si="470"/>
        <v>465.5</v>
      </c>
      <c r="V4133">
        <f t="shared" si="465"/>
        <v>38.7916666666667</v>
      </c>
      <c r="W4133">
        <f t="shared" si="468"/>
        <v>8422.73</v>
      </c>
      <c r="X4133">
        <f t="shared" si="466"/>
        <v>0.161796878412127</v>
      </c>
      <c r="AH4133" t="str">
        <f t="shared" si="469"/>
        <v>2nd Quality</v>
      </c>
      <c r="AJ4133">
        <f>((T4133-X4133)*2)/1.3</f>
        <v>1637.80857160406</v>
      </c>
      <c r="AK4133">
        <f t="shared" si="467"/>
        <v>867760.955263158</v>
      </c>
    </row>
    <row r="4134" spans="1:37">
      <c r="A4134" t="s">
        <v>4200</v>
      </c>
      <c r="B4134">
        <v>20</v>
      </c>
      <c r="C4134" t="s">
        <v>50</v>
      </c>
      <c r="D4134" t="s">
        <v>45</v>
      </c>
      <c r="E4134">
        <v>654</v>
      </c>
      <c r="F4134">
        <v>94</v>
      </c>
      <c r="G4134">
        <v>6</v>
      </c>
      <c r="H4134">
        <v>1215.4</v>
      </c>
      <c r="I4134">
        <v>6918.18</v>
      </c>
      <c r="J4134">
        <v>25</v>
      </c>
      <c r="K4134">
        <v>1</v>
      </c>
      <c r="L4134">
        <v>17.7</v>
      </c>
      <c r="M4134">
        <v>35.8</v>
      </c>
      <c r="N4134" t="s">
        <v>52</v>
      </c>
      <c r="O4134" t="s">
        <v>75</v>
      </c>
      <c r="P4134" t="s">
        <v>66</v>
      </c>
      <c r="R4134">
        <f>SUMIF(A4134:A9133,"C04133",I4134:I9133)</f>
        <v>6918.18</v>
      </c>
      <c r="S4134" s="1">
        <v>115852.34</v>
      </c>
      <c r="T4134">
        <f t="shared" si="464"/>
        <v>276.7272</v>
      </c>
      <c r="U4134">
        <f t="shared" si="470"/>
        <v>895</v>
      </c>
      <c r="V4134">
        <f>U4134*1</f>
        <v>895</v>
      </c>
      <c r="W4134">
        <f t="shared" si="468"/>
        <v>2711.52666666667</v>
      </c>
      <c r="X4134">
        <f t="shared" si="466"/>
        <v>0.538094454500576</v>
      </c>
      <c r="AH4134" t="str">
        <f t="shared" si="469"/>
        <v>3rd Quality</v>
      </c>
      <c r="AJ4134">
        <f>((T4134-X4134)*2)/17.7</f>
        <v>31.2078085362146</v>
      </c>
      <c r="AK4134">
        <f t="shared" si="467"/>
        <v>180979.5888</v>
      </c>
    </row>
    <row r="4135" spans="1:37">
      <c r="A4135" t="s">
        <v>4201</v>
      </c>
      <c r="B4135">
        <v>49</v>
      </c>
      <c r="C4135" t="s">
        <v>50</v>
      </c>
      <c r="D4135" t="s">
        <v>60</v>
      </c>
      <c r="E4135">
        <v>615</v>
      </c>
      <c r="F4135">
        <v>10</v>
      </c>
      <c r="G4135">
        <v>4</v>
      </c>
      <c r="H4135">
        <v>7323.35</v>
      </c>
      <c r="I4135">
        <v>31129.34</v>
      </c>
      <c r="J4135">
        <v>41</v>
      </c>
      <c r="K4135">
        <v>0</v>
      </c>
      <c r="L4135">
        <v>8.2</v>
      </c>
      <c r="M4135">
        <v>31.4</v>
      </c>
      <c r="N4135" t="s">
        <v>61</v>
      </c>
      <c r="O4135" t="s">
        <v>47</v>
      </c>
      <c r="P4135" t="s">
        <v>66</v>
      </c>
      <c r="R4135">
        <f>SUMIF(A4135:A9134,"C04134",I4135:I9134)</f>
        <v>31129.34</v>
      </c>
      <c r="S4135" s="1">
        <v>97804.47</v>
      </c>
      <c r="T4135">
        <f t="shared" ref="T4135:T4198" si="471">I4135/J4135</f>
        <v>759.252195121951</v>
      </c>
      <c r="U4135">
        <f t="shared" si="470"/>
        <v>1287.4</v>
      </c>
      <c r="V4135">
        <f t="shared" si="465"/>
        <v>107.283333333333</v>
      </c>
      <c r="W4135">
        <f t="shared" si="468"/>
        <v>12817.8966666667</v>
      </c>
      <c r="X4135">
        <f t="shared" si="466"/>
        <v>0.0839779609058696</v>
      </c>
      <c r="AH4135" t="str">
        <f t="shared" si="469"/>
        <v>3rd Quality</v>
      </c>
      <c r="AJ4135">
        <f>((T4135-X4135)*2)/8.2</f>
        <v>185.162979795377</v>
      </c>
      <c r="AK4135">
        <f t="shared" si="467"/>
        <v>466940.1</v>
      </c>
    </row>
    <row r="4136" spans="1:37">
      <c r="A4136" t="s">
        <v>4202</v>
      </c>
      <c r="B4136">
        <v>31</v>
      </c>
      <c r="C4136" t="s">
        <v>50</v>
      </c>
      <c r="D4136" t="s">
        <v>45</v>
      </c>
      <c r="E4136">
        <v>901</v>
      </c>
      <c r="F4136">
        <v>120</v>
      </c>
      <c r="G4136">
        <v>3</v>
      </c>
      <c r="H4136">
        <v>9408.89</v>
      </c>
      <c r="I4136">
        <v>25037.9</v>
      </c>
      <c r="J4136">
        <v>27</v>
      </c>
      <c r="K4136">
        <v>0</v>
      </c>
      <c r="L4136">
        <v>6.7</v>
      </c>
      <c r="M4136">
        <v>31.5</v>
      </c>
      <c r="N4136" t="s">
        <v>81</v>
      </c>
      <c r="O4136" t="s">
        <v>47</v>
      </c>
      <c r="P4136" t="s">
        <v>58</v>
      </c>
      <c r="R4136">
        <f>SUMIF(A4136:A9135,"C04135",I4136:I9135)</f>
        <v>25037.9</v>
      </c>
      <c r="S4136" s="1">
        <v>4786.38</v>
      </c>
      <c r="T4136">
        <f t="shared" si="471"/>
        <v>927.32962962963</v>
      </c>
      <c r="U4136">
        <f t="shared" si="470"/>
        <v>850.5</v>
      </c>
      <c r="V4136">
        <f t="shared" si="465"/>
        <v>70.875</v>
      </c>
      <c r="W4136">
        <f t="shared" si="468"/>
        <v>11482.5966666667</v>
      </c>
      <c r="X4136">
        <f t="shared" si="466"/>
        <v>0.0957604988473667</v>
      </c>
      <c r="AH4136" t="str">
        <f t="shared" si="469"/>
        <v>2nd Quality</v>
      </c>
      <c r="AJ4136">
        <f>((T4136-X4136)*2)/6.7</f>
        <v>276.786229591278</v>
      </c>
      <c r="AK4136">
        <f t="shared" si="467"/>
        <v>835523.996296296</v>
      </c>
    </row>
    <row r="4137" spans="1:37">
      <c r="A4137" t="s">
        <v>4203</v>
      </c>
      <c r="B4137">
        <v>39</v>
      </c>
      <c r="C4137" t="s">
        <v>50</v>
      </c>
      <c r="D4137" t="s">
        <v>45</v>
      </c>
      <c r="E4137">
        <v>1448</v>
      </c>
      <c r="F4137">
        <v>9</v>
      </c>
      <c r="G4137">
        <v>28</v>
      </c>
      <c r="H4137">
        <v>3925.93</v>
      </c>
      <c r="I4137">
        <v>115852.34</v>
      </c>
      <c r="J4137">
        <v>180</v>
      </c>
      <c r="K4137">
        <v>3</v>
      </c>
      <c r="L4137">
        <v>12</v>
      </c>
      <c r="M4137">
        <v>61.4</v>
      </c>
      <c r="N4137" t="s">
        <v>63</v>
      </c>
      <c r="O4137" t="s">
        <v>53</v>
      </c>
      <c r="P4137" t="s">
        <v>58</v>
      </c>
      <c r="R4137">
        <f>SUMIF(A4137:A9136,"C04136",I4137:I9136)</f>
        <v>115852.34</v>
      </c>
      <c r="S4137" s="1">
        <v>1125.58</v>
      </c>
      <c r="T4137">
        <f t="shared" si="471"/>
        <v>643.624111111111</v>
      </c>
      <c r="U4137">
        <f t="shared" si="470"/>
        <v>11052</v>
      </c>
      <c r="V4137">
        <f>U4137*3</f>
        <v>33156</v>
      </c>
      <c r="W4137">
        <f t="shared" si="468"/>
        <v>39926.4233333333</v>
      </c>
      <c r="X4137">
        <f t="shared" si="466"/>
        <v>0.368829805931333</v>
      </c>
      <c r="AH4137" t="str">
        <f t="shared" si="469"/>
        <v>2nd Quality</v>
      </c>
      <c r="AJ4137">
        <f>((T4137-X4137)*2)/12</f>
        <v>107.209213550863</v>
      </c>
      <c r="AK4137">
        <f t="shared" si="467"/>
        <v>931967.712888889</v>
      </c>
    </row>
    <row r="4138" spans="1:37">
      <c r="A4138" t="s">
        <v>4204</v>
      </c>
      <c r="B4138">
        <v>34</v>
      </c>
      <c r="C4138" t="s">
        <v>50</v>
      </c>
      <c r="D4138" t="s">
        <v>51</v>
      </c>
      <c r="E4138">
        <v>1080</v>
      </c>
      <c r="F4138">
        <v>60</v>
      </c>
      <c r="G4138">
        <v>9</v>
      </c>
      <c r="H4138">
        <v>10755.7</v>
      </c>
      <c r="I4138">
        <v>97804.47</v>
      </c>
      <c r="J4138">
        <v>27</v>
      </c>
      <c r="K4138">
        <v>0</v>
      </c>
      <c r="L4138">
        <v>6.9</v>
      </c>
      <c r="M4138">
        <v>10.4</v>
      </c>
      <c r="N4138" t="s">
        <v>78</v>
      </c>
      <c r="O4138" t="s">
        <v>47</v>
      </c>
      <c r="P4138" t="s">
        <v>58</v>
      </c>
      <c r="R4138">
        <f>SUMIF(A4138:A9137,"C04137",I4138:I9137)</f>
        <v>97804.47</v>
      </c>
      <c r="S4138" s="1">
        <v>977.4</v>
      </c>
      <c r="T4138">
        <f t="shared" si="471"/>
        <v>3622.38777777778</v>
      </c>
      <c r="U4138">
        <f t="shared" si="470"/>
        <v>280.8</v>
      </c>
      <c r="V4138">
        <f t="shared" si="465"/>
        <v>23.4</v>
      </c>
      <c r="W4138">
        <f t="shared" si="468"/>
        <v>36187.0566666667</v>
      </c>
      <c r="X4138">
        <f t="shared" si="466"/>
        <v>0.100411874633915</v>
      </c>
      <c r="AH4138" t="str">
        <f t="shared" si="469"/>
        <v>2nd Quality</v>
      </c>
      <c r="AJ4138">
        <f>((T4138-X4138)*2)/6.9</f>
        <v>1049.93836692845</v>
      </c>
      <c r="AK4138">
        <f t="shared" si="467"/>
        <v>3912178.8</v>
      </c>
    </row>
    <row r="4139" spans="1:37">
      <c r="A4139" t="s">
        <v>4205</v>
      </c>
      <c r="B4139">
        <v>40</v>
      </c>
      <c r="C4139" t="s">
        <v>50</v>
      </c>
      <c r="D4139" t="s">
        <v>60</v>
      </c>
      <c r="E4139">
        <v>463</v>
      </c>
      <c r="F4139">
        <v>42</v>
      </c>
      <c r="G4139">
        <v>6</v>
      </c>
      <c r="H4139">
        <v>865.07</v>
      </c>
      <c r="I4139">
        <v>4786.38</v>
      </c>
      <c r="J4139">
        <v>44</v>
      </c>
      <c r="K4139">
        <v>0</v>
      </c>
      <c r="L4139">
        <v>27</v>
      </c>
      <c r="M4139">
        <v>16.3</v>
      </c>
      <c r="N4139" t="s">
        <v>61</v>
      </c>
      <c r="O4139" t="s">
        <v>53</v>
      </c>
      <c r="P4139" t="s">
        <v>58</v>
      </c>
      <c r="R4139">
        <f>SUMIF(A4139:A9138,"C04138",I4139:I9138)</f>
        <v>4786.38</v>
      </c>
      <c r="S4139" s="1">
        <v>11336.04</v>
      </c>
      <c r="T4139">
        <f t="shared" si="471"/>
        <v>108.781363636364</v>
      </c>
      <c r="U4139">
        <f t="shared" si="470"/>
        <v>717.2</v>
      </c>
      <c r="V4139">
        <f t="shared" si="465"/>
        <v>59.7666666666667</v>
      </c>
      <c r="W4139">
        <f t="shared" si="468"/>
        <v>1884.15</v>
      </c>
      <c r="X4139">
        <f t="shared" si="466"/>
        <v>0.535216803264476</v>
      </c>
      <c r="AH4139" t="str">
        <f t="shared" si="469"/>
        <v>3rd Quality</v>
      </c>
      <c r="AJ4139">
        <f>((T4139-X4139)*2)/27</f>
        <v>8.01823309874811</v>
      </c>
      <c r="AK4139">
        <f t="shared" si="467"/>
        <v>50365.7713636364</v>
      </c>
    </row>
    <row r="4140" spans="1:37">
      <c r="A4140" t="s">
        <v>4206</v>
      </c>
      <c r="B4140">
        <v>28</v>
      </c>
      <c r="C4140" t="s">
        <v>44</v>
      </c>
      <c r="D4140" t="s">
        <v>51</v>
      </c>
      <c r="E4140">
        <v>448</v>
      </c>
      <c r="F4140">
        <v>124</v>
      </c>
      <c r="G4140">
        <v>1</v>
      </c>
      <c r="H4140">
        <v>1270.72</v>
      </c>
      <c r="I4140">
        <v>1125.58</v>
      </c>
      <c r="J4140">
        <v>14</v>
      </c>
      <c r="K4140">
        <v>0</v>
      </c>
      <c r="L4140">
        <v>35.5</v>
      </c>
      <c r="M4140">
        <v>42.8</v>
      </c>
      <c r="N4140" t="s">
        <v>46</v>
      </c>
      <c r="O4140" t="s">
        <v>53</v>
      </c>
      <c r="P4140" t="s">
        <v>58</v>
      </c>
      <c r="R4140">
        <f>SUMIF(A4140:A9139,"C04139",I4140:I9139)</f>
        <v>1125.58</v>
      </c>
      <c r="S4140" s="1">
        <v>48232.35</v>
      </c>
      <c r="T4140">
        <f t="shared" si="471"/>
        <v>80.3985714285714</v>
      </c>
      <c r="U4140">
        <f t="shared" si="470"/>
        <v>599.2</v>
      </c>
      <c r="V4140">
        <f t="shared" si="465"/>
        <v>49.9333333333333</v>
      </c>
      <c r="W4140">
        <f t="shared" si="468"/>
        <v>799.1</v>
      </c>
      <c r="X4140">
        <f t="shared" si="466"/>
        <v>0.352556031226391</v>
      </c>
      <c r="AH4140" t="str">
        <f t="shared" si="469"/>
        <v>3rd Quality</v>
      </c>
      <c r="AJ4140">
        <f>((T4140-X4140)*2)/35.5</f>
        <v>4.50963467027296</v>
      </c>
      <c r="AK4140">
        <f t="shared" si="467"/>
        <v>36018.56</v>
      </c>
    </row>
    <row r="4141" spans="1:37">
      <c r="A4141" t="s">
        <v>4207</v>
      </c>
      <c r="B4141">
        <v>38</v>
      </c>
      <c r="C4141" t="s">
        <v>50</v>
      </c>
      <c r="D4141" t="s">
        <v>60</v>
      </c>
      <c r="E4141">
        <v>1176</v>
      </c>
      <c r="F4141">
        <v>83</v>
      </c>
      <c r="G4141">
        <v>1</v>
      </c>
      <c r="H4141">
        <v>1096.75</v>
      </c>
      <c r="I4141">
        <v>977.4</v>
      </c>
      <c r="J4141">
        <v>16</v>
      </c>
      <c r="K4141">
        <v>0</v>
      </c>
      <c r="L4141">
        <v>24.7</v>
      </c>
      <c r="M4141">
        <v>17.7</v>
      </c>
      <c r="N4141" t="s">
        <v>52</v>
      </c>
      <c r="O4141" t="s">
        <v>53</v>
      </c>
      <c r="P4141" t="s">
        <v>48</v>
      </c>
      <c r="R4141">
        <f>SUMIF(A4141:A9140,"C04140",I4141:I9140)</f>
        <v>977.4</v>
      </c>
      <c r="S4141" s="1">
        <v>46679.76</v>
      </c>
      <c r="T4141">
        <f t="shared" si="471"/>
        <v>61.0875</v>
      </c>
      <c r="U4141">
        <f t="shared" si="470"/>
        <v>283.2</v>
      </c>
      <c r="V4141">
        <f t="shared" si="465"/>
        <v>23.6</v>
      </c>
      <c r="W4141">
        <f t="shared" si="468"/>
        <v>691.716666666667</v>
      </c>
      <c r="X4141">
        <f t="shared" si="466"/>
        <v>1.07225894688853</v>
      </c>
      <c r="AH4141" t="str">
        <f t="shared" si="469"/>
        <v>3rd Quality</v>
      </c>
      <c r="AJ4141">
        <f>((T4141-X4141)*2)/24.7</f>
        <v>4.85953368851105</v>
      </c>
      <c r="AK4141">
        <f t="shared" si="467"/>
        <v>71838.9</v>
      </c>
    </row>
    <row r="4142" spans="1:37">
      <c r="A4142" t="s">
        <v>4208</v>
      </c>
      <c r="B4142">
        <v>29</v>
      </c>
      <c r="C4142" t="s">
        <v>50</v>
      </c>
      <c r="D4142" t="s">
        <v>60</v>
      </c>
      <c r="E4142">
        <v>965</v>
      </c>
      <c r="F4142">
        <v>61</v>
      </c>
      <c r="G4142">
        <v>10</v>
      </c>
      <c r="H4142">
        <v>1260.08</v>
      </c>
      <c r="I4142">
        <v>11336.04</v>
      </c>
      <c r="J4142">
        <v>57</v>
      </c>
      <c r="K4142">
        <v>2</v>
      </c>
      <c r="L4142">
        <v>23.8</v>
      </c>
      <c r="M4142">
        <v>45.1</v>
      </c>
      <c r="N4142" t="s">
        <v>52</v>
      </c>
      <c r="O4142" t="s">
        <v>75</v>
      </c>
      <c r="P4142" t="s">
        <v>54</v>
      </c>
      <c r="R4142">
        <f>SUMIF(A4142:A9141,"C04141",I4142:I9141)</f>
        <v>11336.04</v>
      </c>
      <c r="S4142" s="1">
        <v>9223.69</v>
      </c>
      <c r="T4142">
        <f t="shared" si="471"/>
        <v>198.877894736842</v>
      </c>
      <c r="U4142">
        <f t="shared" si="470"/>
        <v>2570.7</v>
      </c>
      <c r="V4142">
        <f>U4142*2</f>
        <v>5141.4</v>
      </c>
      <c r="W4142">
        <f t="shared" si="468"/>
        <v>4199.04</v>
      </c>
      <c r="X4142">
        <f t="shared" si="466"/>
        <v>0.765824392102089</v>
      </c>
      <c r="AH4142" t="str">
        <f t="shared" si="469"/>
        <v>3rd Quality</v>
      </c>
      <c r="AJ4142">
        <f>((T4142-X4142)*2)/23.8</f>
        <v>16.6480731382134</v>
      </c>
      <c r="AK4142">
        <f t="shared" si="467"/>
        <v>191917.168421053</v>
      </c>
    </row>
    <row r="4143" spans="1:37">
      <c r="A4143" t="s">
        <v>4209</v>
      </c>
      <c r="B4143">
        <v>63</v>
      </c>
      <c r="C4143" t="s">
        <v>50</v>
      </c>
      <c r="D4143" t="s">
        <v>60</v>
      </c>
      <c r="E4143">
        <v>989</v>
      </c>
      <c r="F4143">
        <v>5</v>
      </c>
      <c r="G4143">
        <v>4</v>
      </c>
      <c r="H4143">
        <v>12093.72</v>
      </c>
      <c r="I4143">
        <v>48232.35</v>
      </c>
      <c r="J4143">
        <v>17</v>
      </c>
      <c r="K4143">
        <v>0</v>
      </c>
      <c r="L4143">
        <v>14</v>
      </c>
      <c r="M4143">
        <v>19</v>
      </c>
      <c r="N4143" t="s">
        <v>78</v>
      </c>
      <c r="O4143" t="s">
        <v>47</v>
      </c>
      <c r="P4143" t="s">
        <v>66</v>
      </c>
      <c r="R4143">
        <f>SUMIF(A4143:A9142,"C04142",I4143:I9142)</f>
        <v>48232.35</v>
      </c>
      <c r="S4143" s="1">
        <v>25000.01</v>
      </c>
      <c r="T4143">
        <f t="shared" si="471"/>
        <v>2837.19705882353</v>
      </c>
      <c r="U4143">
        <f t="shared" si="470"/>
        <v>323</v>
      </c>
      <c r="V4143">
        <f t="shared" si="465"/>
        <v>26.9166666666667</v>
      </c>
      <c r="W4143">
        <f t="shared" si="468"/>
        <v>20109.0233333333</v>
      </c>
      <c r="X4143">
        <f t="shared" si="466"/>
        <v>0.0817779806378848</v>
      </c>
      <c r="AH4143" t="str">
        <f t="shared" si="469"/>
        <v>3rd Quality</v>
      </c>
      <c r="AJ4143">
        <f>((T4143-X4143)*2)/14</f>
        <v>405.302182977556</v>
      </c>
      <c r="AK4143">
        <f t="shared" si="467"/>
        <v>2805987.89117647</v>
      </c>
    </row>
    <row r="4144" spans="1:37">
      <c r="A4144" t="s">
        <v>4210</v>
      </c>
      <c r="B4144">
        <v>25</v>
      </c>
      <c r="C4144" t="s">
        <v>44</v>
      </c>
      <c r="D4144" t="s">
        <v>51</v>
      </c>
      <c r="E4144">
        <v>775</v>
      </c>
      <c r="F4144">
        <v>4</v>
      </c>
      <c r="G4144">
        <v>25</v>
      </c>
      <c r="H4144">
        <v>1778.58</v>
      </c>
      <c r="I4144">
        <v>46679.76</v>
      </c>
      <c r="J4144">
        <v>158</v>
      </c>
      <c r="K4144">
        <v>1</v>
      </c>
      <c r="L4144">
        <v>14</v>
      </c>
      <c r="M4144">
        <v>58.7</v>
      </c>
      <c r="N4144" t="s">
        <v>57</v>
      </c>
      <c r="O4144" t="s">
        <v>47</v>
      </c>
      <c r="P4144" t="s">
        <v>58</v>
      </c>
      <c r="R4144">
        <f>SUMIF(A4144:A9143,"C04143",I4144:I9143)</f>
        <v>46679.76</v>
      </c>
      <c r="S4144" s="1">
        <v>16558.21</v>
      </c>
      <c r="T4144">
        <f t="shared" si="471"/>
        <v>295.441518987342</v>
      </c>
      <c r="U4144">
        <f t="shared" si="470"/>
        <v>9274.6</v>
      </c>
      <c r="V4144">
        <f>U4144*1</f>
        <v>9274.6</v>
      </c>
      <c r="W4144">
        <f t="shared" si="468"/>
        <v>16153.1133333333</v>
      </c>
      <c r="X4144">
        <f t="shared" si="466"/>
        <v>0.435740871931541</v>
      </c>
      <c r="AH4144" t="str">
        <f t="shared" si="469"/>
        <v>2nd Quality</v>
      </c>
      <c r="AJ4144">
        <f>((T4144-X4144)*2)/14</f>
        <v>42.1436825879158</v>
      </c>
      <c r="AK4144">
        <f t="shared" si="467"/>
        <v>228967.17721519</v>
      </c>
    </row>
    <row r="4145" spans="1:37">
      <c r="A4145" t="s">
        <v>4211</v>
      </c>
      <c r="B4145">
        <v>43</v>
      </c>
      <c r="C4145" t="s">
        <v>44</v>
      </c>
      <c r="D4145" t="s">
        <v>45</v>
      </c>
      <c r="E4145">
        <v>976</v>
      </c>
      <c r="F4145">
        <v>77</v>
      </c>
      <c r="G4145">
        <v>5</v>
      </c>
      <c r="H4145">
        <v>2022.49</v>
      </c>
      <c r="I4145">
        <v>9223.69</v>
      </c>
      <c r="J4145">
        <v>32</v>
      </c>
      <c r="K4145">
        <v>0</v>
      </c>
      <c r="L4145">
        <v>21.8</v>
      </c>
      <c r="M4145">
        <v>2.4</v>
      </c>
      <c r="N4145" t="s">
        <v>81</v>
      </c>
      <c r="O4145" t="s">
        <v>53</v>
      </c>
      <c r="P4145" t="s">
        <v>58</v>
      </c>
      <c r="R4145">
        <f>SUMIF(A4145:A9144,"C04144",I4145:I9144)</f>
        <v>9223.69</v>
      </c>
      <c r="S4145" s="1">
        <v>84251.68</v>
      </c>
      <c r="T4145">
        <f t="shared" si="471"/>
        <v>288.2403125</v>
      </c>
      <c r="U4145">
        <f t="shared" si="470"/>
        <v>76.8</v>
      </c>
      <c r="V4145">
        <f t="shared" si="465"/>
        <v>6.4</v>
      </c>
      <c r="W4145">
        <f t="shared" si="468"/>
        <v>3749.06</v>
      </c>
      <c r="X4145">
        <f t="shared" si="466"/>
        <v>0.482573461426262</v>
      </c>
      <c r="AH4145" t="str">
        <f t="shared" si="469"/>
        <v>3rd Quality</v>
      </c>
      <c r="AJ4145">
        <f>((T4145-X4145)*2)/21.8</f>
        <v>26.3997925723462</v>
      </c>
      <c r="AK4145">
        <f t="shared" si="467"/>
        <v>281322.545</v>
      </c>
    </row>
    <row r="4146" spans="1:37">
      <c r="A4146" t="s">
        <v>4212</v>
      </c>
      <c r="B4146">
        <v>23</v>
      </c>
      <c r="C4146" t="s">
        <v>44</v>
      </c>
      <c r="D4146" t="s">
        <v>60</v>
      </c>
      <c r="E4146">
        <v>1008</v>
      </c>
      <c r="F4146">
        <v>14</v>
      </c>
      <c r="G4146">
        <v>20</v>
      </c>
      <c r="H4146">
        <v>1361.43</v>
      </c>
      <c r="I4146">
        <v>25000.01</v>
      </c>
      <c r="J4146">
        <v>68</v>
      </c>
      <c r="K4146">
        <v>1</v>
      </c>
      <c r="L4146">
        <v>9.4</v>
      </c>
      <c r="M4146">
        <v>20</v>
      </c>
      <c r="N4146" t="s">
        <v>78</v>
      </c>
      <c r="O4146" t="s">
        <v>75</v>
      </c>
      <c r="P4146" t="s">
        <v>66</v>
      </c>
      <c r="R4146">
        <f>SUMIF(A4146:A9145,"C04145",I4146:I9145)</f>
        <v>25000.01</v>
      </c>
      <c r="S4146" s="1">
        <v>2720.04</v>
      </c>
      <c r="T4146">
        <f t="shared" si="471"/>
        <v>367.647205882353</v>
      </c>
      <c r="U4146">
        <f t="shared" si="470"/>
        <v>1360</v>
      </c>
      <c r="V4146">
        <f>U4146*1</f>
        <v>1360</v>
      </c>
      <c r="W4146">
        <f t="shared" si="468"/>
        <v>8787.48</v>
      </c>
      <c r="X4146">
        <f t="shared" si="466"/>
        <v>0.740397963905599</v>
      </c>
      <c r="AH4146" t="str">
        <f t="shared" si="469"/>
        <v>2nd Quality</v>
      </c>
      <c r="AJ4146">
        <f>((T4146-X4146)*2)/9.4</f>
        <v>78.0652782805207</v>
      </c>
      <c r="AK4146">
        <f t="shared" si="467"/>
        <v>370588.383529412</v>
      </c>
    </row>
    <row r="4147" spans="1:37">
      <c r="A4147" t="s">
        <v>4213</v>
      </c>
      <c r="B4147">
        <v>21</v>
      </c>
      <c r="C4147" t="s">
        <v>44</v>
      </c>
      <c r="D4147" t="s">
        <v>51</v>
      </c>
      <c r="E4147">
        <v>1039</v>
      </c>
      <c r="F4147">
        <v>32</v>
      </c>
      <c r="G4147">
        <v>18</v>
      </c>
      <c r="H4147">
        <v>855.43</v>
      </c>
      <c r="I4147">
        <v>16558.21</v>
      </c>
      <c r="J4147">
        <v>146</v>
      </c>
      <c r="K4147">
        <v>0</v>
      </c>
      <c r="L4147">
        <v>19.6</v>
      </c>
      <c r="M4147">
        <v>22.4</v>
      </c>
      <c r="N4147" t="s">
        <v>63</v>
      </c>
      <c r="O4147" t="s">
        <v>53</v>
      </c>
      <c r="P4147" t="s">
        <v>48</v>
      </c>
      <c r="R4147">
        <f>SUMIF(A4147:A9146,"C04146",I4147:I9146)</f>
        <v>16558.21</v>
      </c>
      <c r="S4147" s="1">
        <v>9104.21</v>
      </c>
      <c r="T4147">
        <f t="shared" si="471"/>
        <v>113.412397260274</v>
      </c>
      <c r="U4147">
        <f t="shared" si="470"/>
        <v>3270.4</v>
      </c>
      <c r="V4147">
        <f t="shared" si="465"/>
        <v>272.533333333333</v>
      </c>
      <c r="W4147">
        <f t="shared" si="468"/>
        <v>5804.88</v>
      </c>
      <c r="X4147">
        <f t="shared" si="466"/>
        <v>1.21459383000362</v>
      </c>
      <c r="AH4147" t="str">
        <f t="shared" si="469"/>
        <v>3rd Quality</v>
      </c>
      <c r="AJ4147">
        <f>((T4147-X4147)*2)/19.6</f>
        <v>11.4487554520684</v>
      </c>
      <c r="AK4147">
        <f t="shared" si="467"/>
        <v>117835.480753425</v>
      </c>
    </row>
    <row r="4148" spans="1:37">
      <c r="A4148" t="s">
        <v>4214</v>
      </c>
      <c r="B4148">
        <v>40</v>
      </c>
      <c r="C4148" t="s">
        <v>44</v>
      </c>
      <c r="D4148" t="s">
        <v>45</v>
      </c>
      <c r="E4148">
        <v>1399</v>
      </c>
      <c r="F4148">
        <v>8</v>
      </c>
      <c r="G4148">
        <v>33</v>
      </c>
      <c r="H4148">
        <v>2731.44</v>
      </c>
      <c r="I4148">
        <v>84251.68</v>
      </c>
      <c r="J4148">
        <v>108</v>
      </c>
      <c r="K4148">
        <v>2</v>
      </c>
      <c r="L4148">
        <v>23.9</v>
      </c>
      <c r="M4148">
        <v>34.1</v>
      </c>
      <c r="N4148" t="s">
        <v>61</v>
      </c>
      <c r="O4148" t="s">
        <v>47</v>
      </c>
      <c r="P4148" t="s">
        <v>66</v>
      </c>
      <c r="R4148">
        <f>SUMIF(A4148:A9147,"C04147",I4148:I9147)</f>
        <v>84251.68</v>
      </c>
      <c r="S4148" s="1">
        <v>13644.46</v>
      </c>
      <c r="T4148">
        <f t="shared" si="471"/>
        <v>780.108148148148</v>
      </c>
      <c r="U4148">
        <f t="shared" si="470"/>
        <v>3682.8</v>
      </c>
      <c r="V4148">
        <f>U4148*2</f>
        <v>7365.6</v>
      </c>
      <c r="W4148">
        <f t="shared" si="468"/>
        <v>28994.7066666667</v>
      </c>
      <c r="X4148">
        <f t="shared" si="466"/>
        <v>0.512184049439124</v>
      </c>
      <c r="AH4148" t="str">
        <f t="shared" si="469"/>
        <v>2nd Quality</v>
      </c>
      <c r="AJ4148">
        <f>((T4148-X4148)*2)/23.9</f>
        <v>65.2381559915238</v>
      </c>
      <c r="AK4148">
        <f t="shared" si="467"/>
        <v>1091371.29925926</v>
      </c>
    </row>
    <row r="4149" spans="1:37">
      <c r="A4149" t="s">
        <v>4215</v>
      </c>
      <c r="B4149">
        <v>18</v>
      </c>
      <c r="C4149" t="s">
        <v>50</v>
      </c>
      <c r="D4149" t="s">
        <v>60</v>
      </c>
      <c r="E4149">
        <v>1356</v>
      </c>
      <c r="F4149">
        <v>115</v>
      </c>
      <c r="G4149">
        <v>2</v>
      </c>
      <c r="H4149">
        <v>1260.8</v>
      </c>
      <c r="I4149">
        <v>2720.04</v>
      </c>
      <c r="J4149">
        <v>25</v>
      </c>
      <c r="K4149">
        <v>0</v>
      </c>
      <c r="L4149">
        <v>27.3</v>
      </c>
      <c r="M4149">
        <v>14.9</v>
      </c>
      <c r="N4149" t="s">
        <v>46</v>
      </c>
      <c r="O4149" t="s">
        <v>47</v>
      </c>
      <c r="P4149" t="s">
        <v>68</v>
      </c>
      <c r="R4149">
        <f>SUMIF(A4149:A9148,"C04148",I4149:I9148)</f>
        <v>2720.04</v>
      </c>
      <c r="S4149" s="1">
        <v>19904.43</v>
      </c>
      <c r="T4149">
        <f t="shared" si="471"/>
        <v>108.8016</v>
      </c>
      <c r="U4149">
        <f t="shared" si="470"/>
        <v>372.5</v>
      </c>
      <c r="V4149">
        <f t="shared" si="465"/>
        <v>31.0416666666667</v>
      </c>
      <c r="W4149">
        <f t="shared" si="468"/>
        <v>1327.28</v>
      </c>
      <c r="X4149">
        <f t="shared" si="466"/>
        <v>1.0755076142132</v>
      </c>
      <c r="AH4149" t="str">
        <f t="shared" si="469"/>
        <v>3rd Quality</v>
      </c>
      <c r="AJ4149">
        <f>((T4149-X4149)*2)/27.3</f>
        <v>7.89202142020416</v>
      </c>
      <c r="AK4149">
        <f t="shared" si="467"/>
        <v>147534.9696</v>
      </c>
    </row>
    <row r="4150" spans="1:37">
      <c r="A4150" t="s">
        <v>4216</v>
      </c>
      <c r="B4150">
        <v>20</v>
      </c>
      <c r="C4150" t="s">
        <v>44</v>
      </c>
      <c r="D4150" t="s">
        <v>60</v>
      </c>
      <c r="E4150">
        <v>1281</v>
      </c>
      <c r="F4150">
        <v>17</v>
      </c>
      <c r="G4150">
        <v>10</v>
      </c>
      <c r="H4150">
        <v>1008.43</v>
      </c>
      <c r="I4150">
        <v>9104.21</v>
      </c>
      <c r="J4150">
        <v>57</v>
      </c>
      <c r="K4150">
        <v>0</v>
      </c>
      <c r="L4150">
        <v>22</v>
      </c>
      <c r="M4150">
        <v>40.1</v>
      </c>
      <c r="N4150" t="s">
        <v>57</v>
      </c>
      <c r="O4150" t="s">
        <v>75</v>
      </c>
      <c r="P4150" t="s">
        <v>58</v>
      </c>
      <c r="R4150">
        <f>SUMIF(A4150:A9149,"C04149",I4150:I9149)</f>
        <v>9104.21</v>
      </c>
      <c r="S4150" s="1">
        <v>17555.63</v>
      </c>
      <c r="T4150">
        <f t="shared" si="471"/>
        <v>159.72298245614</v>
      </c>
      <c r="U4150">
        <f t="shared" si="470"/>
        <v>2285.7</v>
      </c>
      <c r="V4150">
        <f t="shared" ref="V4150:V4216" si="472">U4150/12</f>
        <v>190.475</v>
      </c>
      <c r="W4150">
        <f t="shared" si="468"/>
        <v>3371.21333333333</v>
      </c>
      <c r="X4150">
        <f t="shared" si="466"/>
        <v>1.27029144313438</v>
      </c>
      <c r="AH4150" t="str">
        <f t="shared" si="469"/>
        <v>3rd Quality</v>
      </c>
      <c r="AJ4150">
        <f>((T4150-X4150)*2)/22</f>
        <v>14.4047900920914</v>
      </c>
      <c r="AK4150">
        <f t="shared" si="467"/>
        <v>204605.140526316</v>
      </c>
    </row>
    <row r="4151" spans="1:37">
      <c r="A4151" t="s">
        <v>4217</v>
      </c>
      <c r="B4151">
        <v>22</v>
      </c>
      <c r="C4151" t="s">
        <v>50</v>
      </c>
      <c r="D4151" t="s">
        <v>45</v>
      </c>
      <c r="E4151">
        <v>1106</v>
      </c>
      <c r="F4151">
        <v>82</v>
      </c>
      <c r="G4151">
        <v>8</v>
      </c>
      <c r="H4151">
        <v>1577.96</v>
      </c>
      <c r="I4151">
        <v>13644.46</v>
      </c>
      <c r="J4151">
        <v>36</v>
      </c>
      <c r="K4151">
        <v>0</v>
      </c>
      <c r="L4151">
        <v>23.2</v>
      </c>
      <c r="M4151">
        <v>20.8</v>
      </c>
      <c r="N4151" t="s">
        <v>81</v>
      </c>
      <c r="O4151" t="s">
        <v>75</v>
      </c>
      <c r="P4151" t="s">
        <v>68</v>
      </c>
      <c r="R4151">
        <f>SUMIF(A4151:A9150,"C04150",I4151:I9150)</f>
        <v>13644.46</v>
      </c>
      <c r="S4151" s="1">
        <v>12144.04</v>
      </c>
      <c r="T4151">
        <f t="shared" si="471"/>
        <v>379.012777777778</v>
      </c>
      <c r="U4151">
        <f t="shared" si="470"/>
        <v>748.8</v>
      </c>
      <c r="V4151">
        <f t="shared" si="472"/>
        <v>62.4</v>
      </c>
      <c r="W4151">
        <f t="shared" si="468"/>
        <v>5074.47333333333</v>
      </c>
      <c r="X4151">
        <f t="shared" si="466"/>
        <v>0.700904965905346</v>
      </c>
      <c r="AH4151" t="str">
        <f t="shared" si="469"/>
        <v>3rd Quality</v>
      </c>
      <c r="AJ4151">
        <f>((T4151-X4151)*2)/23.2</f>
        <v>32.6130924837821</v>
      </c>
      <c r="AK4151">
        <f t="shared" si="467"/>
        <v>419188.132222222</v>
      </c>
    </row>
    <row r="4152" spans="1:37">
      <c r="A4152" t="s">
        <v>4218</v>
      </c>
      <c r="B4152">
        <v>39</v>
      </c>
      <c r="C4152" t="s">
        <v>50</v>
      </c>
      <c r="D4152" t="s">
        <v>51</v>
      </c>
      <c r="E4152">
        <v>1118</v>
      </c>
      <c r="F4152">
        <v>44</v>
      </c>
      <c r="G4152">
        <v>10</v>
      </c>
      <c r="H4152">
        <v>1885.21</v>
      </c>
      <c r="I4152">
        <v>19904.43</v>
      </c>
      <c r="J4152">
        <v>79</v>
      </c>
      <c r="K4152">
        <v>2</v>
      </c>
      <c r="L4152">
        <v>25</v>
      </c>
      <c r="M4152">
        <v>8.9</v>
      </c>
      <c r="N4152" t="s">
        <v>61</v>
      </c>
      <c r="O4152" t="s">
        <v>47</v>
      </c>
      <c r="P4152" t="s">
        <v>48</v>
      </c>
      <c r="R4152">
        <f>SUMIF(A4152:A9151,"C04151",I4152:I9151)</f>
        <v>19904.43</v>
      </c>
      <c r="S4152" s="1">
        <v>6324.18</v>
      </c>
      <c r="T4152">
        <f t="shared" si="471"/>
        <v>251.954810126582</v>
      </c>
      <c r="U4152">
        <f t="shared" si="470"/>
        <v>703.1</v>
      </c>
      <c r="V4152">
        <f>U4152*2</f>
        <v>1406.2</v>
      </c>
      <c r="W4152">
        <f t="shared" si="468"/>
        <v>7263.54666666667</v>
      </c>
      <c r="X4152">
        <f t="shared" ref="X4152:X4215" si="473">E4152/H4152</f>
        <v>0.593037380450984</v>
      </c>
      <c r="AH4152" t="str">
        <f t="shared" si="469"/>
        <v>2nd Quality</v>
      </c>
      <c r="AJ4152">
        <f>((T4152-X4152)*2)/25</f>
        <v>20.1089418196905</v>
      </c>
      <c r="AK4152">
        <f t="shared" si="467"/>
        <v>281685.477721519</v>
      </c>
    </row>
    <row r="4153" spans="1:37">
      <c r="A4153" t="s">
        <v>4219</v>
      </c>
      <c r="B4153">
        <v>30</v>
      </c>
      <c r="C4153" t="s">
        <v>50</v>
      </c>
      <c r="D4153" t="s">
        <v>51</v>
      </c>
      <c r="E4153">
        <v>665</v>
      </c>
      <c r="F4153">
        <v>73</v>
      </c>
      <c r="G4153">
        <v>2</v>
      </c>
      <c r="H4153">
        <v>9588.63</v>
      </c>
      <c r="I4153">
        <v>17555.63</v>
      </c>
      <c r="J4153">
        <v>24</v>
      </c>
      <c r="K4153">
        <v>0</v>
      </c>
      <c r="L4153">
        <v>1.4</v>
      </c>
      <c r="M4153">
        <v>45.4</v>
      </c>
      <c r="N4153" t="s">
        <v>81</v>
      </c>
      <c r="O4153" t="s">
        <v>47</v>
      </c>
      <c r="P4153" t="s">
        <v>58</v>
      </c>
      <c r="R4153">
        <f>SUMIF(A4153:A9152,"C04152",I4153:I9152)</f>
        <v>17555.63</v>
      </c>
      <c r="S4153" s="1">
        <v>45648.27</v>
      </c>
      <c r="T4153">
        <f t="shared" si="471"/>
        <v>731.484583333333</v>
      </c>
      <c r="U4153">
        <f t="shared" si="470"/>
        <v>1089.6</v>
      </c>
      <c r="V4153">
        <f t="shared" si="472"/>
        <v>90.8</v>
      </c>
      <c r="W4153">
        <f t="shared" si="468"/>
        <v>9048.42</v>
      </c>
      <c r="X4153">
        <f t="shared" si="473"/>
        <v>0.0693529732610394</v>
      </c>
      <c r="AH4153" t="str">
        <f t="shared" si="469"/>
        <v>2nd Quality</v>
      </c>
      <c r="AJ4153">
        <f>((T4153-X4153)*2)/1.4</f>
        <v>1044.87890051439</v>
      </c>
      <c r="AK4153">
        <f t="shared" si="467"/>
        <v>486437.247916667</v>
      </c>
    </row>
    <row r="4154" spans="1:37">
      <c r="A4154" t="s">
        <v>4220</v>
      </c>
      <c r="B4154">
        <v>18</v>
      </c>
      <c r="C4154" t="s">
        <v>44</v>
      </c>
      <c r="D4154" t="s">
        <v>60</v>
      </c>
      <c r="E4154">
        <v>1312</v>
      </c>
      <c r="F4154">
        <v>60</v>
      </c>
      <c r="G4154">
        <v>13</v>
      </c>
      <c r="H4154">
        <v>971.96</v>
      </c>
      <c r="I4154">
        <v>12144.04</v>
      </c>
      <c r="J4154">
        <v>113</v>
      </c>
      <c r="K4154">
        <v>1</v>
      </c>
      <c r="L4154">
        <v>27.3</v>
      </c>
      <c r="M4154">
        <v>43</v>
      </c>
      <c r="N4154" t="s">
        <v>57</v>
      </c>
      <c r="O4154" t="s">
        <v>47</v>
      </c>
      <c r="P4154" t="s">
        <v>66</v>
      </c>
      <c r="R4154">
        <f>SUMIF(A4154:A9153,"C04153",I4154:I9153)</f>
        <v>12144.04</v>
      </c>
      <c r="S4154" s="1">
        <v>54165.72</v>
      </c>
      <c r="T4154">
        <f t="shared" si="471"/>
        <v>107.469380530973</v>
      </c>
      <c r="U4154">
        <f t="shared" si="470"/>
        <v>4859</v>
      </c>
      <c r="V4154">
        <f>U4154*1</f>
        <v>4859</v>
      </c>
      <c r="W4154">
        <f t="shared" si="468"/>
        <v>4372.33333333333</v>
      </c>
      <c r="X4154">
        <f t="shared" si="473"/>
        <v>1.34984978805712</v>
      </c>
      <c r="AH4154" t="str">
        <f t="shared" si="469"/>
        <v>3rd Quality</v>
      </c>
      <c r="AJ4154">
        <f>((T4154-X4154)*2)/27.3</f>
        <v>7.77432459655061</v>
      </c>
      <c r="AK4154">
        <f t="shared" si="467"/>
        <v>140999.827256637</v>
      </c>
    </row>
    <row r="4155" spans="1:37">
      <c r="A4155" t="s">
        <v>4221</v>
      </c>
      <c r="B4155">
        <v>31</v>
      </c>
      <c r="C4155" t="s">
        <v>50</v>
      </c>
      <c r="D4155" t="s">
        <v>51</v>
      </c>
      <c r="E4155">
        <v>663</v>
      </c>
      <c r="F4155">
        <v>42</v>
      </c>
      <c r="G4155">
        <v>5</v>
      </c>
      <c r="H4155">
        <v>1317.61</v>
      </c>
      <c r="I4155">
        <v>6324.18</v>
      </c>
      <c r="J4155">
        <v>27</v>
      </c>
      <c r="K4155">
        <v>1</v>
      </c>
      <c r="L4155">
        <v>24.9</v>
      </c>
      <c r="M4155">
        <v>30.6</v>
      </c>
      <c r="N4155" t="s">
        <v>46</v>
      </c>
      <c r="O4155" t="s">
        <v>47</v>
      </c>
      <c r="P4155" t="s">
        <v>58</v>
      </c>
      <c r="R4155">
        <f>SUMIF(A4155:A9154,"C04154",I4155:I9154)</f>
        <v>6324.18</v>
      </c>
      <c r="S4155" s="1">
        <v>2327.58</v>
      </c>
      <c r="T4155">
        <f t="shared" si="471"/>
        <v>234.228888888889</v>
      </c>
      <c r="U4155">
        <f t="shared" si="470"/>
        <v>826.2</v>
      </c>
      <c r="V4155">
        <f>U4155*1</f>
        <v>826.2</v>
      </c>
      <c r="W4155">
        <f t="shared" si="468"/>
        <v>2547.59666666667</v>
      </c>
      <c r="X4155">
        <f t="shared" si="473"/>
        <v>0.503183794901375</v>
      </c>
      <c r="AH4155" t="str">
        <f t="shared" si="469"/>
        <v>3rd Quality</v>
      </c>
      <c r="AJ4155">
        <f>((T4155-X4155)*2)/24.9</f>
        <v>18.7731490035331</v>
      </c>
      <c r="AK4155">
        <f t="shared" si="467"/>
        <v>155293.753333333</v>
      </c>
    </row>
    <row r="4156" spans="1:37">
      <c r="A4156" t="s">
        <v>4222</v>
      </c>
      <c r="B4156">
        <v>31</v>
      </c>
      <c r="C4156" t="s">
        <v>50</v>
      </c>
      <c r="D4156" t="s">
        <v>51</v>
      </c>
      <c r="E4156">
        <v>504</v>
      </c>
      <c r="F4156">
        <v>1</v>
      </c>
      <c r="G4156">
        <v>9</v>
      </c>
      <c r="H4156">
        <v>5560.69</v>
      </c>
      <c r="I4156">
        <v>45648.27</v>
      </c>
      <c r="J4156">
        <v>76</v>
      </c>
      <c r="K4156">
        <v>1</v>
      </c>
      <c r="L4156">
        <v>0</v>
      </c>
      <c r="M4156">
        <v>27.2</v>
      </c>
      <c r="N4156" t="s">
        <v>61</v>
      </c>
      <c r="O4156" t="s">
        <v>47</v>
      </c>
      <c r="P4156" t="s">
        <v>68</v>
      </c>
      <c r="R4156">
        <f>SUMIF(A4156:A9155,"C04155",I4156:I9155)</f>
        <v>45648.27</v>
      </c>
      <c r="S4156" s="1">
        <v>59713.08</v>
      </c>
      <c r="T4156">
        <f t="shared" si="471"/>
        <v>600.635131578947</v>
      </c>
      <c r="U4156">
        <f t="shared" si="470"/>
        <v>2067.2</v>
      </c>
      <c r="V4156">
        <f>U4156*1</f>
        <v>2067.2</v>
      </c>
      <c r="W4156">
        <f t="shared" si="468"/>
        <v>17069.9866666667</v>
      </c>
      <c r="X4156">
        <f t="shared" si="473"/>
        <v>0.0906362339925441</v>
      </c>
      <c r="AH4156" t="str">
        <f t="shared" si="469"/>
        <v>2nd Quality</v>
      </c>
      <c r="AJ4156">
        <f>((T4156-X4156)*2)</f>
        <v>1201.08899068991</v>
      </c>
      <c r="AK4156">
        <f t="shared" si="467"/>
        <v>302720.106315789</v>
      </c>
    </row>
    <row r="4157" spans="1:37">
      <c r="A4157" t="s">
        <v>4223</v>
      </c>
      <c r="B4157">
        <v>38</v>
      </c>
      <c r="C4157" t="s">
        <v>50</v>
      </c>
      <c r="D4157" t="s">
        <v>60</v>
      </c>
      <c r="E4157">
        <v>1273</v>
      </c>
      <c r="F4157">
        <v>15</v>
      </c>
      <c r="G4157">
        <v>21</v>
      </c>
      <c r="H4157">
        <v>2657.7</v>
      </c>
      <c r="I4157">
        <v>54165.72</v>
      </c>
      <c r="J4157">
        <v>131</v>
      </c>
      <c r="K4157">
        <v>0</v>
      </c>
      <c r="L4157">
        <v>0</v>
      </c>
      <c r="M4157">
        <v>29.2</v>
      </c>
      <c r="N4157" t="s">
        <v>63</v>
      </c>
      <c r="O4157" t="s">
        <v>53</v>
      </c>
      <c r="P4157" t="s">
        <v>66</v>
      </c>
      <c r="R4157">
        <f>SUMIF(A4157:A9156,"C04156",I4157:I9156)</f>
        <v>54165.72</v>
      </c>
      <c r="S4157" s="1">
        <v>10061.81</v>
      </c>
      <c r="T4157">
        <f t="shared" si="471"/>
        <v>413.478778625954</v>
      </c>
      <c r="U4157">
        <f t="shared" si="470"/>
        <v>3825.2</v>
      </c>
      <c r="V4157">
        <f t="shared" si="472"/>
        <v>318.766666666667</v>
      </c>
      <c r="W4157">
        <f t="shared" si="468"/>
        <v>18941.4733333333</v>
      </c>
      <c r="X4157">
        <f t="shared" si="473"/>
        <v>0.478985589043158</v>
      </c>
      <c r="AH4157" t="str">
        <f t="shared" si="469"/>
        <v>2nd Quality</v>
      </c>
      <c r="AJ4157">
        <f>((T4157-X4157)*2)</f>
        <v>825.999586073822</v>
      </c>
      <c r="AK4157">
        <f t="shared" si="467"/>
        <v>526358.48519084</v>
      </c>
    </row>
    <row r="4158" spans="1:37">
      <c r="A4158" t="s">
        <v>4224</v>
      </c>
      <c r="B4158">
        <v>18</v>
      </c>
      <c r="C4158" t="s">
        <v>44</v>
      </c>
      <c r="D4158" t="s">
        <v>51</v>
      </c>
      <c r="E4158">
        <v>820</v>
      </c>
      <c r="F4158">
        <v>314</v>
      </c>
      <c r="G4158">
        <v>2</v>
      </c>
      <c r="H4158">
        <v>1116.15</v>
      </c>
      <c r="I4158">
        <v>2327.58</v>
      </c>
      <c r="J4158">
        <v>14</v>
      </c>
      <c r="K4158">
        <v>0</v>
      </c>
      <c r="L4158">
        <v>13.2</v>
      </c>
      <c r="M4158">
        <v>12.4</v>
      </c>
      <c r="N4158" t="s">
        <v>46</v>
      </c>
      <c r="O4158" t="s">
        <v>47</v>
      </c>
      <c r="P4158" t="s">
        <v>58</v>
      </c>
      <c r="R4158">
        <f>SUMIF(A4158:A9157,"C04157",I4158:I9157)</f>
        <v>2327.58</v>
      </c>
      <c r="S4158" s="1">
        <v>111324.05</v>
      </c>
      <c r="T4158">
        <f t="shared" si="471"/>
        <v>166.255714285714</v>
      </c>
      <c r="U4158">
        <f t="shared" si="470"/>
        <v>173.6</v>
      </c>
      <c r="V4158">
        <f t="shared" si="472"/>
        <v>14.4666666666667</v>
      </c>
      <c r="W4158">
        <f t="shared" si="468"/>
        <v>1148.24333333333</v>
      </c>
      <c r="X4158">
        <f t="shared" si="473"/>
        <v>0.734668279353134</v>
      </c>
      <c r="AH4158" t="str">
        <f t="shared" si="469"/>
        <v>3rd Quality</v>
      </c>
      <c r="AJ4158">
        <f>((T4158-X4158)*2)/13.2</f>
        <v>25.0789463646001</v>
      </c>
      <c r="AK4158">
        <f t="shared" si="467"/>
        <v>136329.685714286</v>
      </c>
    </row>
    <row r="4159" spans="1:37">
      <c r="A4159" t="s">
        <v>4225</v>
      </c>
      <c r="B4159">
        <v>33</v>
      </c>
      <c r="C4159" t="s">
        <v>56</v>
      </c>
      <c r="D4159" t="s">
        <v>51</v>
      </c>
      <c r="E4159">
        <v>891</v>
      </c>
      <c r="F4159">
        <v>24</v>
      </c>
      <c r="G4159">
        <v>18</v>
      </c>
      <c r="H4159">
        <v>3143.46</v>
      </c>
      <c r="I4159">
        <v>59713.08</v>
      </c>
      <c r="J4159">
        <v>153</v>
      </c>
      <c r="K4159">
        <v>1</v>
      </c>
      <c r="L4159">
        <v>0.5</v>
      </c>
      <c r="M4159">
        <v>22.2</v>
      </c>
      <c r="N4159" t="s">
        <v>52</v>
      </c>
      <c r="O4159" t="s">
        <v>53</v>
      </c>
      <c r="P4159" t="s">
        <v>48</v>
      </c>
      <c r="R4159">
        <f>SUMIF(A4159:A9158,"C04158",I4159:I9158)</f>
        <v>59713.08</v>
      </c>
      <c r="S4159" s="1">
        <v>82757.2</v>
      </c>
      <c r="T4159">
        <f t="shared" si="471"/>
        <v>390.281568627451</v>
      </c>
      <c r="U4159">
        <f t="shared" si="470"/>
        <v>3396.6</v>
      </c>
      <c r="V4159">
        <f>U4159*1</f>
        <v>3396.6</v>
      </c>
      <c r="W4159">
        <f t="shared" si="468"/>
        <v>20952.5133333333</v>
      </c>
      <c r="X4159">
        <f t="shared" si="473"/>
        <v>0.283445629974614</v>
      </c>
      <c r="AH4159" t="str">
        <f t="shared" si="469"/>
        <v>2nd Quality</v>
      </c>
      <c r="AJ4159">
        <f>((T4159-X4159)*2)/0.5</f>
        <v>1559.99249198991</v>
      </c>
      <c r="AK4159">
        <f t="shared" si="467"/>
        <v>347740.877647059</v>
      </c>
    </row>
    <row r="4160" spans="1:37">
      <c r="A4160" t="s">
        <v>4226</v>
      </c>
      <c r="B4160">
        <v>35</v>
      </c>
      <c r="C4160" t="s">
        <v>50</v>
      </c>
      <c r="D4160" t="s">
        <v>45</v>
      </c>
      <c r="E4160">
        <v>1057</v>
      </c>
      <c r="F4160">
        <v>40</v>
      </c>
      <c r="G4160">
        <v>13</v>
      </c>
      <c r="H4160">
        <v>833.41</v>
      </c>
      <c r="I4160">
        <v>10061.81</v>
      </c>
      <c r="J4160">
        <v>73</v>
      </c>
      <c r="K4160">
        <v>0</v>
      </c>
      <c r="L4160">
        <v>24.2</v>
      </c>
      <c r="M4160">
        <v>13</v>
      </c>
      <c r="N4160" t="s">
        <v>57</v>
      </c>
      <c r="O4160" t="s">
        <v>75</v>
      </c>
      <c r="P4160" t="s">
        <v>58</v>
      </c>
      <c r="R4160">
        <f>SUMIF(A4160:A9159,"C04159",I4160:I9159)</f>
        <v>10061.81</v>
      </c>
      <c r="S4160" s="1">
        <v>20822.74</v>
      </c>
      <c r="T4160">
        <f t="shared" si="471"/>
        <v>137.83301369863</v>
      </c>
      <c r="U4160">
        <f t="shared" si="470"/>
        <v>949</v>
      </c>
      <c r="V4160">
        <f t="shared" si="472"/>
        <v>79.0833333333333</v>
      </c>
      <c r="W4160">
        <f t="shared" si="468"/>
        <v>3632.07333333333</v>
      </c>
      <c r="X4160">
        <f t="shared" si="473"/>
        <v>1.26828331793475</v>
      </c>
      <c r="AH4160" t="str">
        <f t="shared" si="469"/>
        <v>3rd Quality</v>
      </c>
      <c r="AJ4160">
        <f>((T4160-X4160)*2)/24.2</f>
        <v>11.2863413537765</v>
      </c>
      <c r="AK4160">
        <f t="shared" si="467"/>
        <v>145689.495479452</v>
      </c>
    </row>
    <row r="4161" spans="1:37">
      <c r="A4161" t="s">
        <v>4227</v>
      </c>
      <c r="B4161">
        <v>37</v>
      </c>
      <c r="C4161" t="s">
        <v>56</v>
      </c>
      <c r="D4161" t="s">
        <v>60</v>
      </c>
      <c r="E4161">
        <v>1139</v>
      </c>
      <c r="F4161">
        <v>10</v>
      </c>
      <c r="G4161">
        <v>32</v>
      </c>
      <c r="H4161">
        <v>3303.06</v>
      </c>
      <c r="I4161">
        <v>111324.05</v>
      </c>
      <c r="J4161">
        <v>102</v>
      </c>
      <c r="K4161">
        <v>3</v>
      </c>
      <c r="L4161">
        <v>6.4</v>
      </c>
      <c r="M4161">
        <v>34.7</v>
      </c>
      <c r="N4161" t="s">
        <v>63</v>
      </c>
      <c r="O4161" t="s">
        <v>53</v>
      </c>
      <c r="P4161" t="s">
        <v>58</v>
      </c>
      <c r="R4161">
        <f>SUMIF(A4161:A9160,"C04160",I4161:I9160)</f>
        <v>111324.05</v>
      </c>
      <c r="S4161" s="1">
        <v>981.43</v>
      </c>
      <c r="T4161">
        <f t="shared" si="471"/>
        <v>1091.41225490196</v>
      </c>
      <c r="U4161">
        <f t="shared" si="470"/>
        <v>3539.4</v>
      </c>
      <c r="V4161">
        <f>U4161*3</f>
        <v>10618.2</v>
      </c>
      <c r="W4161">
        <f t="shared" si="468"/>
        <v>38209.37</v>
      </c>
      <c r="X4161">
        <f t="shared" si="473"/>
        <v>0.344831762063057</v>
      </c>
      <c r="AH4161" t="str">
        <f t="shared" si="469"/>
        <v>2nd Quality</v>
      </c>
      <c r="AJ4161">
        <f>((T4161-X4161)*2)/6.4</f>
        <v>340.958569731218</v>
      </c>
      <c r="AK4161">
        <f t="shared" si="467"/>
        <v>1243118.55833333</v>
      </c>
    </row>
    <row r="4162" spans="1:37">
      <c r="A4162" t="s">
        <v>4228</v>
      </c>
      <c r="B4162">
        <v>39</v>
      </c>
      <c r="C4162" t="s">
        <v>50</v>
      </c>
      <c r="D4162" t="s">
        <v>60</v>
      </c>
      <c r="E4162">
        <v>456</v>
      </c>
      <c r="F4162">
        <v>47</v>
      </c>
      <c r="G4162">
        <v>6</v>
      </c>
      <c r="H4162">
        <v>14611.11</v>
      </c>
      <c r="I4162">
        <v>82757.2</v>
      </c>
      <c r="J4162">
        <v>52</v>
      </c>
      <c r="K4162">
        <v>1</v>
      </c>
      <c r="L4162">
        <v>9.3</v>
      </c>
      <c r="M4162">
        <v>28.2</v>
      </c>
      <c r="N4162" t="s">
        <v>63</v>
      </c>
      <c r="O4162" t="s">
        <v>75</v>
      </c>
      <c r="P4162" t="s">
        <v>58</v>
      </c>
      <c r="R4162">
        <f>SUMIF(A4162:A9161,"C04161",I4162:I9161)</f>
        <v>82757.2</v>
      </c>
      <c r="S4162" s="1">
        <v>8067.4</v>
      </c>
      <c r="T4162">
        <f t="shared" si="471"/>
        <v>1591.48461538462</v>
      </c>
      <c r="U4162">
        <f t="shared" si="470"/>
        <v>1466.4</v>
      </c>
      <c r="V4162">
        <f>U4162*1</f>
        <v>1466.4</v>
      </c>
      <c r="W4162">
        <f t="shared" si="468"/>
        <v>32456.4366666667</v>
      </c>
      <c r="X4162">
        <f t="shared" si="473"/>
        <v>0.0312091278486029</v>
      </c>
      <c r="AH4162" t="str">
        <f t="shared" si="469"/>
        <v>3rd Quality</v>
      </c>
      <c r="AJ4162">
        <f>((T4162-X4162)*2)/9.3</f>
        <v>342.248044356295</v>
      </c>
      <c r="AK4162">
        <f t="shared" si="467"/>
        <v>725716.984615385</v>
      </c>
    </row>
    <row r="4163" spans="1:37">
      <c r="A4163" t="s">
        <v>4229</v>
      </c>
      <c r="B4163">
        <v>38</v>
      </c>
      <c r="C4163" t="s">
        <v>44</v>
      </c>
      <c r="D4163" t="s">
        <v>60</v>
      </c>
      <c r="E4163">
        <v>780</v>
      </c>
      <c r="F4163">
        <v>37</v>
      </c>
      <c r="G4163">
        <v>11</v>
      </c>
      <c r="H4163">
        <v>2126.46</v>
      </c>
      <c r="I4163">
        <v>20822.74</v>
      </c>
      <c r="J4163">
        <v>31</v>
      </c>
      <c r="K4163">
        <v>0</v>
      </c>
      <c r="L4163">
        <v>25.4</v>
      </c>
      <c r="M4163">
        <v>11.1</v>
      </c>
      <c r="N4163" t="s">
        <v>52</v>
      </c>
      <c r="O4163" t="s">
        <v>47</v>
      </c>
      <c r="P4163" t="s">
        <v>58</v>
      </c>
      <c r="R4163">
        <f>SUMIF(A4163:A9162,"C04162",I4163:I9162)</f>
        <v>20822.74</v>
      </c>
      <c r="S4163" s="1">
        <v>81709.07</v>
      </c>
      <c r="T4163">
        <f t="shared" si="471"/>
        <v>671.701290322581</v>
      </c>
      <c r="U4163">
        <f t="shared" si="470"/>
        <v>344.1</v>
      </c>
      <c r="V4163">
        <f t="shared" si="472"/>
        <v>28.675</v>
      </c>
      <c r="W4163">
        <f t="shared" si="468"/>
        <v>7650.06666666667</v>
      </c>
      <c r="X4163">
        <f t="shared" si="473"/>
        <v>0.366806805677041</v>
      </c>
      <c r="AH4163" t="str">
        <f t="shared" si="469"/>
        <v>2nd Quality</v>
      </c>
      <c r="AJ4163">
        <f>((T4163-X4163)*2)/25.4</f>
        <v>52.8609829540869</v>
      </c>
      <c r="AK4163">
        <f t="shared" ref="AK4163:AK4226" si="474">I4163/J4163*E4163</f>
        <v>523927.006451613</v>
      </c>
    </row>
    <row r="4164" spans="1:37">
      <c r="A4164" t="s">
        <v>4230</v>
      </c>
      <c r="B4164">
        <v>44</v>
      </c>
      <c r="C4164" t="s">
        <v>50</v>
      </c>
      <c r="D4164" t="s">
        <v>60</v>
      </c>
      <c r="E4164">
        <v>1227</v>
      </c>
      <c r="F4164">
        <v>145</v>
      </c>
      <c r="G4164">
        <v>1</v>
      </c>
      <c r="H4164">
        <v>1059.04</v>
      </c>
      <c r="I4164">
        <v>981.43</v>
      </c>
      <c r="J4164">
        <v>16</v>
      </c>
      <c r="K4164">
        <v>0</v>
      </c>
      <c r="L4164">
        <v>10</v>
      </c>
      <c r="M4164">
        <v>15.5</v>
      </c>
      <c r="N4164" t="s">
        <v>63</v>
      </c>
      <c r="O4164" t="s">
        <v>75</v>
      </c>
      <c r="P4164" t="s">
        <v>66</v>
      </c>
      <c r="R4164">
        <f>SUMIF(A4164:A9163,"C04163",I4164:I9163)</f>
        <v>981.43</v>
      </c>
      <c r="S4164" s="1">
        <v>17520.33</v>
      </c>
      <c r="T4164">
        <f t="shared" si="471"/>
        <v>61.339375</v>
      </c>
      <c r="U4164">
        <f t="shared" si="470"/>
        <v>248</v>
      </c>
      <c r="V4164">
        <f t="shared" si="472"/>
        <v>20.6666666666667</v>
      </c>
      <c r="W4164">
        <f t="shared" si="468"/>
        <v>680.49</v>
      </c>
      <c r="X4164">
        <f t="shared" si="473"/>
        <v>1.15859646472277</v>
      </c>
      <c r="AH4164" t="str">
        <f t="shared" si="469"/>
        <v>3rd Quality</v>
      </c>
      <c r="AJ4164">
        <f>((T4164-X4164)*2)/10</f>
        <v>12.0361557070554</v>
      </c>
      <c r="AK4164">
        <f t="shared" si="474"/>
        <v>75263.413125</v>
      </c>
    </row>
    <row r="4165" spans="1:37">
      <c r="A4165" t="s">
        <v>4231</v>
      </c>
      <c r="B4165">
        <v>46</v>
      </c>
      <c r="C4165" t="s">
        <v>50</v>
      </c>
      <c r="D4165" t="s">
        <v>51</v>
      </c>
      <c r="E4165">
        <v>1175</v>
      </c>
      <c r="F4165">
        <v>64</v>
      </c>
      <c r="G4165">
        <v>8</v>
      </c>
      <c r="H4165">
        <v>1048.11</v>
      </c>
      <c r="I4165">
        <v>8067.4</v>
      </c>
      <c r="J4165">
        <v>50</v>
      </c>
      <c r="K4165">
        <v>1</v>
      </c>
      <c r="L4165">
        <v>19.5</v>
      </c>
      <c r="M4165">
        <v>1.1</v>
      </c>
      <c r="N4165" t="s">
        <v>81</v>
      </c>
      <c r="O4165" t="s">
        <v>47</v>
      </c>
      <c r="P4165" t="s">
        <v>58</v>
      </c>
      <c r="R4165">
        <f>SUMIF(A4165:A9164,"C04164",I4165:I9164)</f>
        <v>8067.4</v>
      </c>
      <c r="S4165" s="1">
        <v>61138.32</v>
      </c>
      <c r="T4165">
        <f t="shared" si="471"/>
        <v>161.348</v>
      </c>
      <c r="U4165">
        <f t="shared" si="470"/>
        <v>55</v>
      </c>
      <c r="V4165">
        <f>U4165*1</f>
        <v>55</v>
      </c>
      <c r="W4165">
        <f t="shared" si="468"/>
        <v>3038.83666666667</v>
      </c>
      <c r="X4165">
        <f t="shared" si="473"/>
        <v>1.12106553701424</v>
      </c>
      <c r="AH4165" t="str">
        <f t="shared" si="469"/>
        <v>3rd Quality</v>
      </c>
      <c r="AJ4165">
        <f>((T4165-X4165)*2)/19.5</f>
        <v>16.4335317397934</v>
      </c>
      <c r="AK4165">
        <f t="shared" si="474"/>
        <v>189583.9</v>
      </c>
    </row>
    <row r="4166" spans="1:37">
      <c r="A4166" t="s">
        <v>4232</v>
      </c>
      <c r="B4166">
        <v>19</v>
      </c>
      <c r="C4166" t="s">
        <v>44</v>
      </c>
      <c r="D4166" t="s">
        <v>45</v>
      </c>
      <c r="E4166">
        <v>1056</v>
      </c>
      <c r="F4166">
        <v>4</v>
      </c>
      <c r="G4166">
        <v>7</v>
      </c>
      <c r="H4166">
        <v>13135.82</v>
      </c>
      <c r="I4166">
        <v>81709.07</v>
      </c>
      <c r="J4166">
        <v>49</v>
      </c>
      <c r="K4166">
        <v>1</v>
      </c>
      <c r="L4166">
        <v>2.1</v>
      </c>
      <c r="M4166">
        <v>29.6</v>
      </c>
      <c r="N4166" t="s">
        <v>78</v>
      </c>
      <c r="O4166" t="s">
        <v>47</v>
      </c>
      <c r="P4166" t="s">
        <v>58</v>
      </c>
      <c r="R4166">
        <f>SUMIF(A4166:A9165,"C04165",I4166:I9165)</f>
        <v>81709.07</v>
      </c>
      <c r="S4166" s="1">
        <v>12364.98</v>
      </c>
      <c r="T4166">
        <f t="shared" si="471"/>
        <v>1667.53204081633</v>
      </c>
      <c r="U4166">
        <f t="shared" si="470"/>
        <v>1450.4</v>
      </c>
      <c r="V4166">
        <f>U4166*1</f>
        <v>1450.4</v>
      </c>
      <c r="W4166">
        <f t="shared" si="468"/>
        <v>31615.2966666667</v>
      </c>
      <c r="X4166">
        <f t="shared" si="473"/>
        <v>0.0803908701550417</v>
      </c>
      <c r="AH4166" t="str">
        <f t="shared" si="469"/>
        <v>1st Quality</v>
      </c>
      <c r="AJ4166">
        <f>((T4166-X4166)*2)/2.1</f>
        <v>1588.04919042493</v>
      </c>
      <c r="AK4166">
        <f t="shared" si="474"/>
        <v>1760913.83510204</v>
      </c>
    </row>
    <row r="4167" spans="1:37">
      <c r="A4167" t="s">
        <v>4233</v>
      </c>
      <c r="B4167">
        <v>36</v>
      </c>
      <c r="C4167" t="s">
        <v>44</v>
      </c>
      <c r="D4167" t="s">
        <v>45</v>
      </c>
      <c r="E4167">
        <v>832</v>
      </c>
      <c r="F4167">
        <v>36</v>
      </c>
      <c r="G4167">
        <v>11</v>
      </c>
      <c r="H4167">
        <v>1764.1</v>
      </c>
      <c r="I4167">
        <v>17520.33</v>
      </c>
      <c r="J4167">
        <v>74</v>
      </c>
      <c r="K4167">
        <v>1</v>
      </c>
      <c r="L4167">
        <v>28.5</v>
      </c>
      <c r="M4167">
        <v>10.3</v>
      </c>
      <c r="N4167" t="s">
        <v>61</v>
      </c>
      <c r="O4167" t="s">
        <v>47</v>
      </c>
      <c r="P4167" t="s">
        <v>48</v>
      </c>
      <c r="R4167">
        <f>SUMIF(A4167:A9166,"C04166",I4167:I9166)</f>
        <v>17520.33</v>
      </c>
      <c r="S4167" s="1">
        <v>20242.26</v>
      </c>
      <c r="T4167">
        <f t="shared" si="471"/>
        <v>236.761216216216</v>
      </c>
      <c r="U4167">
        <f t="shared" si="470"/>
        <v>762.2</v>
      </c>
      <c r="V4167">
        <f>U4167*1</f>
        <v>762.2</v>
      </c>
      <c r="W4167">
        <f t="shared" si="468"/>
        <v>6428.47666666667</v>
      </c>
      <c r="X4167">
        <f t="shared" si="473"/>
        <v>0.471628592483419</v>
      </c>
      <c r="AH4167" t="str">
        <f t="shared" si="469"/>
        <v>2nd Quality</v>
      </c>
      <c r="AJ4167">
        <f>((T4167-X4167)*2)/28.5</f>
        <v>16.5817254472795</v>
      </c>
      <c r="AK4167">
        <f t="shared" si="474"/>
        <v>196985.331891892</v>
      </c>
    </row>
    <row r="4168" spans="1:37">
      <c r="A4168" t="s">
        <v>4234</v>
      </c>
      <c r="B4168">
        <v>40</v>
      </c>
      <c r="C4168" t="s">
        <v>44</v>
      </c>
      <c r="D4168" t="s">
        <v>60</v>
      </c>
      <c r="E4168">
        <v>757</v>
      </c>
      <c r="F4168">
        <v>7</v>
      </c>
      <c r="G4168">
        <v>25</v>
      </c>
      <c r="H4168">
        <v>2532.92</v>
      </c>
      <c r="I4168">
        <v>61138.32</v>
      </c>
      <c r="J4168">
        <v>181</v>
      </c>
      <c r="K4168">
        <v>1</v>
      </c>
      <c r="L4168">
        <v>7.8</v>
      </c>
      <c r="M4168">
        <v>40.7</v>
      </c>
      <c r="N4168" t="s">
        <v>63</v>
      </c>
      <c r="O4168" t="s">
        <v>47</v>
      </c>
      <c r="P4168" t="s">
        <v>58</v>
      </c>
      <c r="R4168">
        <f>SUMIF(A4168:A9167,"C04167",I4168:I9167)</f>
        <v>61138.32</v>
      </c>
      <c r="S4168" s="1">
        <v>7427.63</v>
      </c>
      <c r="T4168">
        <f t="shared" si="471"/>
        <v>337.780773480663</v>
      </c>
      <c r="U4168">
        <f t="shared" si="470"/>
        <v>7366.7</v>
      </c>
      <c r="V4168">
        <f>U4168*1</f>
        <v>7366.7</v>
      </c>
      <c r="W4168">
        <f t="shared" si="468"/>
        <v>21224.08</v>
      </c>
      <c r="X4168">
        <f t="shared" si="473"/>
        <v>0.298864551584732</v>
      </c>
      <c r="AH4168" t="str">
        <f t="shared" si="469"/>
        <v>2nd Quality</v>
      </c>
      <c r="AJ4168">
        <f>((T4168-X4168)*2)/7.8</f>
        <v>86.5338228023278</v>
      </c>
      <c r="AK4168">
        <f t="shared" si="474"/>
        <v>255700.045524862</v>
      </c>
    </row>
    <row r="4169" spans="1:37">
      <c r="A4169" t="s">
        <v>4235</v>
      </c>
      <c r="B4169">
        <v>28</v>
      </c>
      <c r="C4169" t="s">
        <v>50</v>
      </c>
      <c r="D4169" t="s">
        <v>60</v>
      </c>
      <c r="E4169">
        <v>908</v>
      </c>
      <c r="F4169">
        <v>14</v>
      </c>
      <c r="G4169">
        <v>10</v>
      </c>
      <c r="H4169">
        <v>1122.15</v>
      </c>
      <c r="I4169">
        <v>12364.98</v>
      </c>
      <c r="J4169">
        <v>58</v>
      </c>
      <c r="K4169">
        <v>0</v>
      </c>
      <c r="L4169">
        <v>30.8</v>
      </c>
      <c r="M4169">
        <v>31.7</v>
      </c>
      <c r="N4169" t="s">
        <v>78</v>
      </c>
      <c r="O4169" t="s">
        <v>75</v>
      </c>
      <c r="P4169" t="s">
        <v>66</v>
      </c>
      <c r="R4169">
        <f>SUMIF(A4169:A9168,"C04168",I4169:I9168)</f>
        <v>12364.98</v>
      </c>
      <c r="S4169" s="1">
        <v>1845.09</v>
      </c>
      <c r="T4169">
        <f t="shared" si="471"/>
        <v>213.189310344828</v>
      </c>
      <c r="U4169">
        <f t="shared" si="470"/>
        <v>1838.6</v>
      </c>
      <c r="V4169">
        <f t="shared" si="472"/>
        <v>153.216666666667</v>
      </c>
      <c r="W4169">
        <f t="shared" ref="W4169:W4232" si="475">(H4169+I4169+1)/3</f>
        <v>4496.04333333333</v>
      </c>
      <c r="X4169">
        <f t="shared" si="473"/>
        <v>0.809160985607985</v>
      </c>
      <c r="AH4169" t="str">
        <f t="shared" si="469"/>
        <v>3rd Quality</v>
      </c>
      <c r="AJ4169">
        <f>((T4169-X4169)*2)/30.8</f>
        <v>13.7909187895597</v>
      </c>
      <c r="AK4169">
        <f t="shared" si="474"/>
        <v>193575.893793103</v>
      </c>
    </row>
    <row r="4170" spans="1:37">
      <c r="A4170" t="s">
        <v>4236</v>
      </c>
      <c r="B4170">
        <v>29</v>
      </c>
      <c r="C4170" t="s">
        <v>50</v>
      </c>
      <c r="D4170" t="s">
        <v>45</v>
      </c>
      <c r="E4170">
        <v>568</v>
      </c>
      <c r="F4170">
        <v>36</v>
      </c>
      <c r="G4170">
        <v>2</v>
      </c>
      <c r="H4170">
        <v>9801.67</v>
      </c>
      <c r="I4170">
        <v>20242.26</v>
      </c>
      <c r="J4170">
        <v>24</v>
      </c>
      <c r="K4170">
        <v>0</v>
      </c>
      <c r="L4170">
        <v>15.1</v>
      </c>
      <c r="M4170">
        <v>30.2</v>
      </c>
      <c r="N4170" t="s">
        <v>52</v>
      </c>
      <c r="O4170" t="s">
        <v>53</v>
      </c>
      <c r="P4170" t="s">
        <v>58</v>
      </c>
      <c r="R4170">
        <f>SUMIF(A4170:A9169,"C04169",I4170:I9169)</f>
        <v>20242.26</v>
      </c>
      <c r="S4170" s="1">
        <v>4188.38</v>
      </c>
      <c r="T4170">
        <f t="shared" si="471"/>
        <v>843.4275</v>
      </c>
      <c r="U4170">
        <f t="shared" si="470"/>
        <v>724.8</v>
      </c>
      <c r="V4170">
        <f t="shared" si="472"/>
        <v>60.4</v>
      </c>
      <c r="W4170">
        <f t="shared" si="475"/>
        <v>10014.9766666667</v>
      </c>
      <c r="X4170">
        <f t="shared" si="473"/>
        <v>0.0579493086382219</v>
      </c>
      <c r="AH4170" t="str">
        <f t="shared" si="469"/>
        <v>2nd Quality</v>
      </c>
      <c r="AJ4170">
        <f>((T4170-X4170)*2)/15.1</f>
        <v>111.704576250512</v>
      </c>
      <c r="AK4170">
        <f t="shared" si="474"/>
        <v>479066.82</v>
      </c>
    </row>
    <row r="4171" spans="1:37">
      <c r="A4171" t="s">
        <v>4237</v>
      </c>
      <c r="B4171">
        <v>60</v>
      </c>
      <c r="C4171" t="s">
        <v>50</v>
      </c>
      <c r="D4171" t="s">
        <v>51</v>
      </c>
      <c r="E4171">
        <v>1382</v>
      </c>
      <c r="F4171">
        <v>95</v>
      </c>
      <c r="G4171">
        <v>10</v>
      </c>
      <c r="H4171">
        <v>672.64</v>
      </c>
      <c r="I4171">
        <v>7427.63</v>
      </c>
      <c r="J4171">
        <v>65</v>
      </c>
      <c r="K4171">
        <v>1</v>
      </c>
      <c r="L4171">
        <v>21.1</v>
      </c>
      <c r="M4171">
        <v>38.4</v>
      </c>
      <c r="N4171" t="s">
        <v>63</v>
      </c>
      <c r="O4171" t="s">
        <v>47</v>
      </c>
      <c r="P4171" t="s">
        <v>58</v>
      </c>
      <c r="R4171">
        <f>SUMIF(A4171:A9170,"C04170",I4171:I9170)</f>
        <v>7427.63</v>
      </c>
      <c r="S4171" s="1">
        <v>1338.12</v>
      </c>
      <c r="T4171">
        <f t="shared" si="471"/>
        <v>114.271230769231</v>
      </c>
      <c r="U4171">
        <f t="shared" si="470"/>
        <v>2496</v>
      </c>
      <c r="V4171">
        <f>U4171*1</f>
        <v>2496</v>
      </c>
      <c r="W4171">
        <f t="shared" si="475"/>
        <v>2700.42333333333</v>
      </c>
      <c r="X4171">
        <f t="shared" si="473"/>
        <v>2.05459086584205</v>
      </c>
      <c r="AH4171" t="str">
        <f t="shared" si="469"/>
        <v>3rd Quality</v>
      </c>
      <c r="AJ4171">
        <f>((T4171-X4171)*2)/21.1</f>
        <v>10.6366483320748</v>
      </c>
      <c r="AK4171">
        <f t="shared" si="474"/>
        <v>157922.840923077</v>
      </c>
    </row>
    <row r="4172" spans="1:37">
      <c r="A4172" t="s">
        <v>4238</v>
      </c>
      <c r="B4172">
        <v>31</v>
      </c>
      <c r="C4172" t="s">
        <v>50</v>
      </c>
      <c r="D4172" t="s">
        <v>45</v>
      </c>
      <c r="E4172">
        <v>576</v>
      </c>
      <c r="F4172">
        <v>100</v>
      </c>
      <c r="G4172">
        <v>1</v>
      </c>
      <c r="H4172">
        <v>2075.61</v>
      </c>
      <c r="I4172">
        <v>1845.09</v>
      </c>
      <c r="J4172">
        <v>12</v>
      </c>
      <c r="K4172">
        <v>0</v>
      </c>
      <c r="L4172">
        <v>12.9</v>
      </c>
      <c r="M4172">
        <v>7.1</v>
      </c>
      <c r="N4172" t="s">
        <v>63</v>
      </c>
      <c r="O4172" t="s">
        <v>47</v>
      </c>
      <c r="P4172" t="s">
        <v>48</v>
      </c>
      <c r="R4172">
        <f>SUMIF(A4172:A9171,"C04171",I4172:I9171)</f>
        <v>1845.09</v>
      </c>
      <c r="S4172" s="1">
        <v>10325.81</v>
      </c>
      <c r="T4172">
        <f t="shared" si="471"/>
        <v>153.7575</v>
      </c>
      <c r="U4172">
        <f t="shared" si="470"/>
        <v>85.2</v>
      </c>
      <c r="V4172">
        <f t="shared" si="472"/>
        <v>7.1</v>
      </c>
      <c r="W4172">
        <f t="shared" si="475"/>
        <v>1307.23333333333</v>
      </c>
      <c r="X4172">
        <f t="shared" si="473"/>
        <v>0.27750878055126</v>
      </c>
      <c r="AH4172" t="str">
        <f t="shared" si="469"/>
        <v>3rd Quality</v>
      </c>
      <c r="AJ4172">
        <f>((T4172-X4172)*2)/12.9</f>
        <v>23.7953474758835</v>
      </c>
      <c r="AK4172">
        <f t="shared" si="474"/>
        <v>88564.32</v>
      </c>
    </row>
    <row r="4173" spans="1:37">
      <c r="A4173" t="s">
        <v>4239</v>
      </c>
      <c r="B4173">
        <v>45</v>
      </c>
      <c r="C4173" t="s">
        <v>44</v>
      </c>
      <c r="D4173" t="s">
        <v>45</v>
      </c>
      <c r="E4173">
        <v>909</v>
      </c>
      <c r="F4173">
        <v>142</v>
      </c>
      <c r="G4173">
        <v>3</v>
      </c>
      <c r="H4173">
        <v>1282.8</v>
      </c>
      <c r="I4173">
        <v>4188.38</v>
      </c>
      <c r="J4173">
        <v>34</v>
      </c>
      <c r="K4173">
        <v>0</v>
      </c>
      <c r="L4173">
        <v>22.9</v>
      </c>
      <c r="M4173">
        <v>20.3</v>
      </c>
      <c r="N4173" t="s">
        <v>63</v>
      </c>
      <c r="O4173" t="s">
        <v>75</v>
      </c>
      <c r="P4173" t="s">
        <v>58</v>
      </c>
      <c r="R4173">
        <f>SUMIF(A4173:A9172,"C04172",I4173:I9172)</f>
        <v>4188.38</v>
      </c>
      <c r="S4173" s="1">
        <v>1314.47</v>
      </c>
      <c r="T4173">
        <f t="shared" si="471"/>
        <v>123.187647058824</v>
      </c>
      <c r="U4173">
        <f t="shared" si="470"/>
        <v>690.2</v>
      </c>
      <c r="V4173">
        <f t="shared" si="472"/>
        <v>57.5166666666667</v>
      </c>
      <c r="W4173">
        <f t="shared" si="475"/>
        <v>1824.06</v>
      </c>
      <c r="X4173">
        <f t="shared" si="473"/>
        <v>0.708606173994387</v>
      </c>
      <c r="AH4173" t="str">
        <f t="shared" si="469"/>
        <v>3rd Quality</v>
      </c>
      <c r="AJ4173">
        <f>((T4173-X4173)*2)/22.9</f>
        <v>10.696859465924</v>
      </c>
      <c r="AK4173">
        <f t="shared" si="474"/>
        <v>111977.571176471</v>
      </c>
    </row>
    <row r="4174" spans="1:37">
      <c r="A4174" t="s">
        <v>4240</v>
      </c>
      <c r="B4174">
        <v>46</v>
      </c>
      <c r="C4174" t="s">
        <v>44</v>
      </c>
      <c r="D4174" t="s">
        <v>60</v>
      </c>
      <c r="E4174">
        <v>1195</v>
      </c>
      <c r="F4174">
        <v>284</v>
      </c>
      <c r="G4174">
        <v>1</v>
      </c>
      <c r="H4174">
        <v>1466.33</v>
      </c>
      <c r="I4174">
        <v>1338.12</v>
      </c>
      <c r="J4174">
        <v>11</v>
      </c>
      <c r="K4174">
        <v>0</v>
      </c>
      <c r="L4174">
        <v>22</v>
      </c>
      <c r="M4174">
        <v>31.6</v>
      </c>
      <c r="N4174" t="s">
        <v>78</v>
      </c>
      <c r="O4174" t="s">
        <v>75</v>
      </c>
      <c r="P4174" t="s">
        <v>68</v>
      </c>
      <c r="R4174">
        <f>SUMIF(A4174:A9173,"C04173",I4174:I9173)</f>
        <v>1338.12</v>
      </c>
      <c r="S4174" s="1">
        <v>40424.09</v>
      </c>
      <c r="T4174">
        <f t="shared" si="471"/>
        <v>121.647272727273</v>
      </c>
      <c r="U4174">
        <f t="shared" si="470"/>
        <v>347.6</v>
      </c>
      <c r="V4174">
        <f t="shared" si="472"/>
        <v>28.9666666666667</v>
      </c>
      <c r="W4174">
        <f t="shared" si="475"/>
        <v>935.15</v>
      </c>
      <c r="X4174">
        <f t="shared" si="473"/>
        <v>0.814959797589901</v>
      </c>
      <c r="AH4174" t="str">
        <f t="shared" ref="AH4174:AH4237" si="476">IF(AND(W4174&gt;=12550,B4174&lt;=33,E4174&gt;=915),"1st Quality",IF(AND(W4174&gt;=6275,B4174&lt;=43,E4174&gt;=457),"2nd Quality","3rd Quality"))</f>
        <v>3rd Quality</v>
      </c>
      <c r="AJ4174">
        <f>((T4174-X4174)*2)/22</f>
        <v>10.9847557208803</v>
      </c>
      <c r="AK4174">
        <f t="shared" si="474"/>
        <v>145368.490909091</v>
      </c>
    </row>
    <row r="4175" spans="1:37">
      <c r="A4175" t="s">
        <v>4241</v>
      </c>
      <c r="B4175">
        <v>48</v>
      </c>
      <c r="C4175" t="s">
        <v>44</v>
      </c>
      <c r="D4175" t="s">
        <v>60</v>
      </c>
      <c r="E4175">
        <v>615</v>
      </c>
      <c r="F4175">
        <v>12</v>
      </c>
      <c r="G4175">
        <v>14</v>
      </c>
      <c r="H4175">
        <v>787.26</v>
      </c>
      <c r="I4175">
        <v>10325.81</v>
      </c>
      <c r="J4175">
        <v>33</v>
      </c>
      <c r="K4175">
        <v>2</v>
      </c>
      <c r="L4175">
        <v>21.3</v>
      </c>
      <c r="M4175">
        <v>11.5</v>
      </c>
      <c r="N4175" t="s">
        <v>52</v>
      </c>
      <c r="O4175" t="s">
        <v>53</v>
      </c>
      <c r="P4175" t="s">
        <v>68</v>
      </c>
      <c r="R4175">
        <f>SUMIF(A4175:A9174,"C04174",I4175:I9174)</f>
        <v>10325.81</v>
      </c>
      <c r="S4175" s="1">
        <v>34647.29</v>
      </c>
      <c r="T4175">
        <f t="shared" si="471"/>
        <v>312.903333333333</v>
      </c>
      <c r="U4175">
        <f t="shared" si="470"/>
        <v>379.5</v>
      </c>
      <c r="V4175">
        <f>U4175*2</f>
        <v>759</v>
      </c>
      <c r="W4175">
        <f t="shared" si="475"/>
        <v>3704.69</v>
      </c>
      <c r="X4175">
        <f t="shared" si="473"/>
        <v>0.781190458044356</v>
      </c>
      <c r="AH4175" t="str">
        <f t="shared" si="476"/>
        <v>3rd Quality</v>
      </c>
      <c r="AJ4175">
        <f>((T4175-X4175)*2)/21.3</f>
        <v>29.3072434624684</v>
      </c>
      <c r="AK4175">
        <f t="shared" si="474"/>
        <v>192435.55</v>
      </c>
    </row>
    <row r="4176" spans="1:37">
      <c r="A4176" t="s">
        <v>4242</v>
      </c>
      <c r="B4176">
        <v>49</v>
      </c>
      <c r="C4176" t="s">
        <v>50</v>
      </c>
      <c r="D4176" t="s">
        <v>45</v>
      </c>
      <c r="E4176">
        <v>1448</v>
      </c>
      <c r="F4176">
        <v>126</v>
      </c>
      <c r="G4176">
        <v>1</v>
      </c>
      <c r="H4176">
        <v>1453.94</v>
      </c>
      <c r="I4176">
        <v>1314.47</v>
      </c>
      <c r="J4176">
        <v>12</v>
      </c>
      <c r="K4176">
        <v>0</v>
      </c>
      <c r="L4176">
        <v>23.9</v>
      </c>
      <c r="M4176">
        <v>5.7</v>
      </c>
      <c r="N4176" t="s">
        <v>81</v>
      </c>
      <c r="O4176" t="s">
        <v>47</v>
      </c>
      <c r="P4176" t="s">
        <v>66</v>
      </c>
      <c r="R4176">
        <f>SUMIF(A4176:A9175,"C04175",I4176:I9175)</f>
        <v>1314.47</v>
      </c>
      <c r="S4176" s="1">
        <v>1088.12</v>
      </c>
      <c r="T4176">
        <f t="shared" si="471"/>
        <v>109.539166666667</v>
      </c>
      <c r="U4176">
        <f t="shared" si="470"/>
        <v>68.4</v>
      </c>
      <c r="V4176">
        <f t="shared" si="472"/>
        <v>5.7</v>
      </c>
      <c r="W4176">
        <f t="shared" si="475"/>
        <v>923.136666666667</v>
      </c>
      <c r="X4176">
        <f t="shared" si="473"/>
        <v>0.995914549431201</v>
      </c>
      <c r="AH4176" t="str">
        <f t="shared" si="476"/>
        <v>3rd Quality</v>
      </c>
      <c r="AJ4176">
        <f>((T4176-X4176)*2)/23.9</f>
        <v>9.08311733198626</v>
      </c>
      <c r="AK4176">
        <f t="shared" si="474"/>
        <v>158612.713333333</v>
      </c>
    </row>
    <row r="4177" spans="1:37">
      <c r="A4177" t="s">
        <v>4243</v>
      </c>
      <c r="B4177">
        <v>36</v>
      </c>
      <c r="C4177" t="s">
        <v>50</v>
      </c>
      <c r="D4177" t="s">
        <v>60</v>
      </c>
      <c r="E4177">
        <v>949</v>
      </c>
      <c r="F4177">
        <v>22</v>
      </c>
      <c r="G4177">
        <v>4</v>
      </c>
      <c r="H4177">
        <v>10326.1</v>
      </c>
      <c r="I4177">
        <v>40424.09</v>
      </c>
      <c r="J4177">
        <v>40</v>
      </c>
      <c r="K4177">
        <v>1</v>
      </c>
      <c r="L4177">
        <v>12.3</v>
      </c>
      <c r="M4177">
        <v>9.3</v>
      </c>
      <c r="N4177" t="s">
        <v>63</v>
      </c>
      <c r="O4177" t="s">
        <v>53</v>
      </c>
      <c r="P4177" t="s">
        <v>48</v>
      </c>
      <c r="R4177">
        <f>SUMIF(A4177:A9176,"C04176",I4177:I9176)</f>
        <v>40424.09</v>
      </c>
      <c r="S4177" s="1">
        <v>54995.83</v>
      </c>
      <c r="T4177">
        <f t="shared" si="471"/>
        <v>1010.60225</v>
      </c>
      <c r="U4177">
        <f t="shared" si="470"/>
        <v>372</v>
      </c>
      <c r="V4177">
        <f>U4177*1</f>
        <v>372</v>
      </c>
      <c r="W4177">
        <f t="shared" si="475"/>
        <v>16917.0633333333</v>
      </c>
      <c r="X4177">
        <f t="shared" si="473"/>
        <v>0.091903041806684</v>
      </c>
      <c r="AH4177" t="str">
        <f t="shared" si="476"/>
        <v>2nd Quality</v>
      </c>
      <c r="AJ4177">
        <f>((T4177-X4177)*2)/12.3</f>
        <v>164.310625521657</v>
      </c>
      <c r="AK4177">
        <f t="shared" si="474"/>
        <v>959061.53525</v>
      </c>
    </row>
    <row r="4178" spans="1:37">
      <c r="A4178" t="s">
        <v>4244</v>
      </c>
      <c r="B4178">
        <v>34</v>
      </c>
      <c r="C4178" t="s">
        <v>50</v>
      </c>
      <c r="D4178" t="s">
        <v>45</v>
      </c>
      <c r="E4178">
        <v>542</v>
      </c>
      <c r="F4178">
        <v>17</v>
      </c>
      <c r="G4178">
        <v>3</v>
      </c>
      <c r="H4178">
        <v>12437.26</v>
      </c>
      <c r="I4178">
        <v>34647.29</v>
      </c>
      <c r="J4178">
        <v>15</v>
      </c>
      <c r="K4178">
        <v>0</v>
      </c>
      <c r="L4178">
        <v>12.4</v>
      </c>
      <c r="M4178">
        <v>9.2</v>
      </c>
      <c r="N4178" t="s">
        <v>57</v>
      </c>
      <c r="O4178" t="s">
        <v>53</v>
      </c>
      <c r="P4178" t="s">
        <v>58</v>
      </c>
      <c r="R4178">
        <f>SUMIF(A4178:A9177,"C04177",I4178:I9177)</f>
        <v>34647.29</v>
      </c>
      <c r="S4178" s="1">
        <v>1889.67</v>
      </c>
      <c r="T4178">
        <f t="shared" si="471"/>
        <v>2309.81933333333</v>
      </c>
      <c r="U4178">
        <f t="shared" si="470"/>
        <v>138</v>
      </c>
      <c r="V4178">
        <f t="shared" si="472"/>
        <v>11.5</v>
      </c>
      <c r="W4178">
        <f t="shared" si="475"/>
        <v>15695.1833333333</v>
      </c>
      <c r="X4178">
        <f t="shared" si="473"/>
        <v>0.0435787303634402</v>
      </c>
      <c r="AH4178" t="str">
        <f t="shared" si="476"/>
        <v>2nd Quality</v>
      </c>
      <c r="AJ4178">
        <f>((T4178-X4178)*2)/12.4</f>
        <v>372.544476548866</v>
      </c>
      <c r="AK4178">
        <f t="shared" si="474"/>
        <v>1251922.07866667</v>
      </c>
    </row>
    <row r="4179" spans="1:37">
      <c r="A4179" t="s">
        <v>4245</v>
      </c>
      <c r="B4179">
        <v>33</v>
      </c>
      <c r="C4179" t="s">
        <v>44</v>
      </c>
      <c r="D4179" t="s">
        <v>60</v>
      </c>
      <c r="E4179">
        <v>379</v>
      </c>
      <c r="F4179">
        <v>120</v>
      </c>
      <c r="G4179">
        <v>1</v>
      </c>
      <c r="H4179">
        <v>1029.01</v>
      </c>
      <c r="I4179">
        <v>1088.12</v>
      </c>
      <c r="J4179">
        <v>10</v>
      </c>
      <c r="K4179">
        <v>0</v>
      </c>
      <c r="L4179">
        <v>10.4</v>
      </c>
      <c r="M4179">
        <v>12.4</v>
      </c>
      <c r="N4179" t="s">
        <v>81</v>
      </c>
      <c r="O4179" t="s">
        <v>75</v>
      </c>
      <c r="P4179" t="s">
        <v>58</v>
      </c>
      <c r="R4179">
        <f>SUMIF(A4179:A9178,"C04178",I4179:I9178)</f>
        <v>1088.12</v>
      </c>
      <c r="S4179" s="1">
        <v>1346.4</v>
      </c>
      <c r="T4179">
        <f t="shared" si="471"/>
        <v>108.812</v>
      </c>
      <c r="U4179">
        <f t="shared" si="470"/>
        <v>124</v>
      </c>
      <c r="V4179">
        <f t="shared" si="472"/>
        <v>10.3333333333333</v>
      </c>
      <c r="W4179">
        <f t="shared" si="475"/>
        <v>706.043333333333</v>
      </c>
      <c r="X4179">
        <f t="shared" si="473"/>
        <v>0.368315176723258</v>
      </c>
      <c r="AH4179" t="str">
        <f t="shared" si="476"/>
        <v>3rd Quality</v>
      </c>
      <c r="AJ4179">
        <f>((T4179-X4179)*2)/10.4</f>
        <v>20.8545547737071</v>
      </c>
      <c r="AK4179">
        <f t="shared" si="474"/>
        <v>41239.748</v>
      </c>
    </row>
    <row r="4180" spans="1:37">
      <c r="A4180" t="s">
        <v>4246</v>
      </c>
      <c r="B4180">
        <v>36</v>
      </c>
      <c r="C4180" t="s">
        <v>44</v>
      </c>
      <c r="D4180" t="s">
        <v>51</v>
      </c>
      <c r="E4180">
        <v>709</v>
      </c>
      <c r="F4180">
        <v>126</v>
      </c>
      <c r="G4180">
        <v>9</v>
      </c>
      <c r="H4180">
        <v>5758.34</v>
      </c>
      <c r="I4180">
        <v>54995.83</v>
      </c>
      <c r="J4180">
        <v>46</v>
      </c>
      <c r="K4180">
        <v>1</v>
      </c>
      <c r="L4180">
        <v>8.5</v>
      </c>
      <c r="M4180">
        <v>15.8</v>
      </c>
      <c r="N4180" t="s">
        <v>61</v>
      </c>
      <c r="O4180" t="s">
        <v>47</v>
      </c>
      <c r="P4180" t="s">
        <v>58</v>
      </c>
      <c r="R4180">
        <f>SUMIF(A4180:A9179,"C04179",I4180:I9179)</f>
        <v>54995.83</v>
      </c>
      <c r="S4180" s="1">
        <v>61289.45</v>
      </c>
      <c r="T4180">
        <f t="shared" si="471"/>
        <v>1195.56152173913</v>
      </c>
      <c r="U4180">
        <f t="shared" si="470"/>
        <v>726.8</v>
      </c>
      <c r="V4180">
        <f>U4180*1</f>
        <v>726.8</v>
      </c>
      <c r="W4180">
        <f t="shared" si="475"/>
        <v>20251.7233333333</v>
      </c>
      <c r="X4180">
        <f t="shared" si="473"/>
        <v>0.123125761938336</v>
      </c>
      <c r="AH4180" t="str">
        <f t="shared" si="476"/>
        <v>2nd Quality</v>
      </c>
      <c r="AJ4180">
        <f>((T4180-X4180)*2)/8.5</f>
        <v>281.279622582869</v>
      </c>
      <c r="AK4180">
        <f t="shared" si="474"/>
        <v>847653.118913044</v>
      </c>
    </row>
    <row r="4181" spans="1:37">
      <c r="A4181" t="s">
        <v>4247</v>
      </c>
      <c r="B4181">
        <v>34</v>
      </c>
      <c r="C4181" t="s">
        <v>44</v>
      </c>
      <c r="D4181" t="s">
        <v>60</v>
      </c>
      <c r="E4181">
        <v>674</v>
      </c>
      <c r="F4181">
        <v>43</v>
      </c>
      <c r="G4181">
        <v>1</v>
      </c>
      <c r="H4181">
        <v>1989.72</v>
      </c>
      <c r="I4181">
        <v>1889.67</v>
      </c>
      <c r="J4181">
        <v>13</v>
      </c>
      <c r="K4181">
        <v>0</v>
      </c>
      <c r="L4181">
        <v>21.1</v>
      </c>
      <c r="M4181">
        <v>19.5</v>
      </c>
      <c r="N4181" t="s">
        <v>78</v>
      </c>
      <c r="O4181" t="s">
        <v>47</v>
      </c>
      <c r="P4181" t="s">
        <v>58</v>
      </c>
      <c r="R4181">
        <f>SUMIF(A4181:A9180,"C04180",I4181:I9180)</f>
        <v>1889.67</v>
      </c>
      <c r="S4181" s="1">
        <v>2182.56</v>
      </c>
      <c r="T4181">
        <f t="shared" si="471"/>
        <v>145.359230769231</v>
      </c>
      <c r="U4181">
        <f t="shared" si="470"/>
        <v>253.5</v>
      </c>
      <c r="V4181">
        <f t="shared" si="472"/>
        <v>21.125</v>
      </c>
      <c r="W4181">
        <f t="shared" si="475"/>
        <v>1293.46333333333</v>
      </c>
      <c r="X4181">
        <f t="shared" si="473"/>
        <v>0.338741129405142</v>
      </c>
      <c r="AH4181" t="str">
        <f t="shared" si="476"/>
        <v>3rd Quality</v>
      </c>
      <c r="AJ4181">
        <f>((T4181-X4181)*2)/21.1</f>
        <v>13.7460179753389</v>
      </c>
      <c r="AK4181">
        <f t="shared" si="474"/>
        <v>97972.1215384615</v>
      </c>
    </row>
    <row r="4182" spans="1:37">
      <c r="A4182" t="s">
        <v>4248</v>
      </c>
      <c r="B4182">
        <v>32</v>
      </c>
      <c r="C4182" t="s">
        <v>44</v>
      </c>
      <c r="D4182" t="s">
        <v>51</v>
      </c>
      <c r="E4182">
        <v>424</v>
      </c>
      <c r="F4182">
        <v>197</v>
      </c>
      <c r="G4182">
        <v>1</v>
      </c>
      <c r="H4182">
        <v>1256.03</v>
      </c>
      <c r="I4182">
        <v>1346.4</v>
      </c>
      <c r="J4182">
        <v>13</v>
      </c>
      <c r="K4182">
        <v>0</v>
      </c>
      <c r="L4182">
        <v>40.9</v>
      </c>
      <c r="M4182">
        <v>22.7</v>
      </c>
      <c r="N4182" t="s">
        <v>46</v>
      </c>
      <c r="O4182" t="s">
        <v>75</v>
      </c>
      <c r="P4182" t="s">
        <v>48</v>
      </c>
      <c r="R4182">
        <f>SUMIF(A4182:A9181,"C04181",I4182:I9181)</f>
        <v>1346.4</v>
      </c>
      <c r="S4182" s="1">
        <v>8150.35</v>
      </c>
      <c r="T4182">
        <f t="shared" si="471"/>
        <v>103.569230769231</v>
      </c>
      <c r="U4182">
        <f t="shared" si="470"/>
        <v>295.1</v>
      </c>
      <c r="V4182">
        <f t="shared" si="472"/>
        <v>24.5916666666667</v>
      </c>
      <c r="W4182">
        <f t="shared" si="475"/>
        <v>867.81</v>
      </c>
      <c r="X4182">
        <f t="shared" si="473"/>
        <v>0.33757155481955</v>
      </c>
      <c r="AH4182" t="str">
        <f t="shared" si="476"/>
        <v>3rd Quality</v>
      </c>
      <c r="AJ4182">
        <f>((T4182-X4182)*2)/40.9</f>
        <v>5.04800289557024</v>
      </c>
      <c r="AK4182">
        <f t="shared" si="474"/>
        <v>43913.3538461538</v>
      </c>
    </row>
    <row r="4183" spans="1:37">
      <c r="A4183" t="s">
        <v>4249</v>
      </c>
      <c r="B4183">
        <v>18</v>
      </c>
      <c r="C4183" t="s">
        <v>44</v>
      </c>
      <c r="D4183" t="s">
        <v>60</v>
      </c>
      <c r="E4183">
        <v>1029</v>
      </c>
      <c r="F4183">
        <v>8</v>
      </c>
      <c r="G4183">
        <v>32</v>
      </c>
      <c r="H4183">
        <v>2083.48</v>
      </c>
      <c r="I4183">
        <v>61289.45</v>
      </c>
      <c r="J4183">
        <v>231</v>
      </c>
      <c r="K4183">
        <v>2</v>
      </c>
      <c r="L4183">
        <v>7.8</v>
      </c>
      <c r="M4183">
        <v>23.3</v>
      </c>
      <c r="N4183" t="s">
        <v>61</v>
      </c>
      <c r="O4183" t="s">
        <v>53</v>
      </c>
      <c r="P4183" t="s">
        <v>58</v>
      </c>
      <c r="R4183">
        <f>SUMIF(A4183:A9182,"C04182",I4183:I9182)</f>
        <v>61289.45</v>
      </c>
      <c r="S4183" s="1">
        <v>1222.72</v>
      </c>
      <c r="T4183">
        <f t="shared" si="471"/>
        <v>265.322294372294</v>
      </c>
      <c r="U4183">
        <f t="shared" si="470"/>
        <v>5382.3</v>
      </c>
      <c r="V4183">
        <f>U4183*2</f>
        <v>10764.6</v>
      </c>
      <c r="W4183">
        <f t="shared" si="475"/>
        <v>21124.6433333333</v>
      </c>
      <c r="X4183">
        <f t="shared" si="473"/>
        <v>0.493885230479774</v>
      </c>
      <c r="AH4183" t="str">
        <f t="shared" si="476"/>
        <v>1st Quality</v>
      </c>
      <c r="AJ4183">
        <f>((T4183-X4183)*2)/7.8</f>
        <v>67.9047202927729</v>
      </c>
      <c r="AK4183">
        <f t="shared" si="474"/>
        <v>273016.640909091</v>
      </c>
    </row>
    <row r="4184" spans="1:37">
      <c r="A4184" t="s">
        <v>4250</v>
      </c>
      <c r="B4184">
        <v>41</v>
      </c>
      <c r="C4184" t="s">
        <v>44</v>
      </c>
      <c r="D4184" t="s">
        <v>51</v>
      </c>
      <c r="E4184">
        <v>934</v>
      </c>
      <c r="F4184">
        <v>41</v>
      </c>
      <c r="G4184">
        <v>3</v>
      </c>
      <c r="H4184">
        <v>817.75</v>
      </c>
      <c r="I4184">
        <v>2182.56</v>
      </c>
      <c r="J4184">
        <v>18</v>
      </c>
      <c r="K4184">
        <v>0</v>
      </c>
      <c r="L4184">
        <v>29</v>
      </c>
      <c r="M4184">
        <v>33.1</v>
      </c>
      <c r="N4184" t="s">
        <v>61</v>
      </c>
      <c r="O4184" t="s">
        <v>75</v>
      </c>
      <c r="P4184" t="s">
        <v>58</v>
      </c>
      <c r="R4184">
        <f>SUMIF(A4184:A9183,"C04183",I4184:I9183)</f>
        <v>2182.56</v>
      </c>
      <c r="S4184" s="1">
        <v>2063.14</v>
      </c>
      <c r="T4184">
        <f t="shared" si="471"/>
        <v>121.253333333333</v>
      </c>
      <c r="U4184">
        <f t="shared" si="470"/>
        <v>595.8</v>
      </c>
      <c r="V4184">
        <f t="shared" si="472"/>
        <v>49.65</v>
      </c>
      <c r="W4184">
        <f t="shared" si="475"/>
        <v>1000.43666666667</v>
      </c>
      <c r="X4184">
        <f t="shared" si="473"/>
        <v>1.14215836135738</v>
      </c>
      <c r="AH4184" t="str">
        <f t="shared" si="476"/>
        <v>3rd Quality</v>
      </c>
      <c r="AJ4184">
        <f>((T4184-X4184)*2)/29</f>
        <v>8.28352930841211</v>
      </c>
      <c r="AK4184">
        <f t="shared" si="474"/>
        <v>113250.613333333</v>
      </c>
    </row>
    <row r="4185" spans="1:37">
      <c r="A4185" t="s">
        <v>4251</v>
      </c>
      <c r="B4185">
        <v>26</v>
      </c>
      <c r="C4185" t="s">
        <v>50</v>
      </c>
      <c r="D4185" t="s">
        <v>45</v>
      </c>
      <c r="E4185">
        <v>447</v>
      </c>
      <c r="F4185">
        <v>25</v>
      </c>
      <c r="G4185">
        <v>12</v>
      </c>
      <c r="H4185">
        <v>738.57</v>
      </c>
      <c r="I4185">
        <v>8150.35</v>
      </c>
      <c r="J4185">
        <v>87</v>
      </c>
      <c r="K4185">
        <v>0</v>
      </c>
      <c r="L4185">
        <v>26.6</v>
      </c>
      <c r="M4185">
        <v>16.7</v>
      </c>
      <c r="N4185" t="s">
        <v>46</v>
      </c>
      <c r="O4185" t="s">
        <v>47</v>
      </c>
      <c r="P4185" t="s">
        <v>66</v>
      </c>
      <c r="R4185">
        <f>SUMIF(A4185:A9184,"C04184",I4185:I9184)</f>
        <v>8150.35</v>
      </c>
      <c r="S4185" s="1">
        <v>104769.47</v>
      </c>
      <c r="T4185">
        <f t="shared" si="471"/>
        <v>93.682183908046</v>
      </c>
      <c r="U4185">
        <f t="shared" si="470"/>
        <v>1452.9</v>
      </c>
      <c r="V4185">
        <f t="shared" si="472"/>
        <v>121.075</v>
      </c>
      <c r="W4185">
        <f t="shared" si="475"/>
        <v>2963.30666666667</v>
      </c>
      <c r="X4185">
        <f t="shared" si="473"/>
        <v>0.605223607782607</v>
      </c>
      <c r="AH4185" t="str">
        <f t="shared" si="476"/>
        <v>3rd Quality</v>
      </c>
      <c r="AJ4185">
        <f>((T4185-X4185)*2)/26.6</f>
        <v>6.99826769174913</v>
      </c>
      <c r="AK4185">
        <f t="shared" si="474"/>
        <v>41875.9362068966</v>
      </c>
    </row>
    <row r="4186" spans="1:37">
      <c r="A4186" t="s">
        <v>4252</v>
      </c>
      <c r="B4186">
        <v>36</v>
      </c>
      <c r="C4186" t="s">
        <v>44</v>
      </c>
      <c r="D4186" t="s">
        <v>60</v>
      </c>
      <c r="E4186">
        <v>1275</v>
      </c>
      <c r="F4186">
        <v>365</v>
      </c>
      <c r="G4186">
        <v>1</v>
      </c>
      <c r="H4186">
        <v>1302.17</v>
      </c>
      <c r="I4186">
        <v>1222.72</v>
      </c>
      <c r="J4186">
        <v>10</v>
      </c>
      <c r="K4186">
        <v>0</v>
      </c>
      <c r="L4186">
        <v>25.9</v>
      </c>
      <c r="M4186">
        <v>27.3</v>
      </c>
      <c r="N4186" t="s">
        <v>81</v>
      </c>
      <c r="O4186" t="s">
        <v>53</v>
      </c>
      <c r="P4186" t="s">
        <v>48</v>
      </c>
      <c r="R4186">
        <f>SUMIF(A4186:A9185,"C04185",I4186:I9185)</f>
        <v>1222.72</v>
      </c>
      <c r="S4186" s="1">
        <v>32867.98</v>
      </c>
      <c r="T4186">
        <f t="shared" si="471"/>
        <v>122.272</v>
      </c>
      <c r="U4186">
        <f t="shared" si="470"/>
        <v>273</v>
      </c>
      <c r="V4186">
        <f t="shared" si="472"/>
        <v>22.75</v>
      </c>
      <c r="W4186">
        <f t="shared" si="475"/>
        <v>841.963333333333</v>
      </c>
      <c r="X4186">
        <f t="shared" si="473"/>
        <v>0.979134828785796</v>
      </c>
      <c r="AH4186" t="str">
        <f t="shared" si="476"/>
        <v>3rd Quality</v>
      </c>
      <c r="AJ4186">
        <f>((T4186-X4186)*2)/25.9</f>
        <v>9.36624441476558</v>
      </c>
      <c r="AK4186">
        <f t="shared" si="474"/>
        <v>155896.8</v>
      </c>
    </row>
    <row r="4187" spans="1:37">
      <c r="A4187" t="s">
        <v>4253</v>
      </c>
      <c r="B4187">
        <v>28</v>
      </c>
      <c r="C4187" t="s">
        <v>101</v>
      </c>
      <c r="D4187" t="s">
        <v>51</v>
      </c>
      <c r="E4187">
        <v>866</v>
      </c>
      <c r="F4187">
        <v>214</v>
      </c>
      <c r="G4187">
        <v>3</v>
      </c>
      <c r="H4187">
        <v>770.91</v>
      </c>
      <c r="I4187">
        <v>2063.14</v>
      </c>
      <c r="J4187">
        <v>32</v>
      </c>
      <c r="K4187">
        <v>1</v>
      </c>
      <c r="L4187">
        <v>31.8</v>
      </c>
      <c r="M4187">
        <v>33.2</v>
      </c>
      <c r="N4187" t="s">
        <v>81</v>
      </c>
      <c r="O4187" t="s">
        <v>53</v>
      </c>
      <c r="P4187" t="s">
        <v>58</v>
      </c>
      <c r="R4187">
        <f>SUMIF(A4187:A9186,"C04186",I4187:I9186)</f>
        <v>2063.14</v>
      </c>
      <c r="S4187" s="1">
        <v>126108.77</v>
      </c>
      <c r="T4187">
        <f t="shared" si="471"/>
        <v>64.473125</v>
      </c>
      <c r="U4187">
        <f t="shared" si="470"/>
        <v>1062.4</v>
      </c>
      <c r="V4187">
        <f>U4187*1</f>
        <v>1062.4</v>
      </c>
      <c r="W4187">
        <f t="shared" si="475"/>
        <v>945.016666666667</v>
      </c>
      <c r="X4187">
        <f t="shared" si="473"/>
        <v>1.12334773190126</v>
      </c>
      <c r="AH4187" t="str">
        <f t="shared" si="476"/>
        <v>3rd Quality</v>
      </c>
      <c r="AJ4187">
        <f>((T4187-X4187)*2)/31.8</f>
        <v>3.98426272126407</v>
      </c>
      <c r="AK4187">
        <f t="shared" si="474"/>
        <v>55833.72625</v>
      </c>
    </row>
    <row r="4188" spans="1:37">
      <c r="A4188" t="s">
        <v>4254</v>
      </c>
      <c r="B4188">
        <v>21</v>
      </c>
      <c r="C4188" t="s">
        <v>50</v>
      </c>
      <c r="D4188" t="s">
        <v>60</v>
      </c>
      <c r="E4188">
        <v>1012</v>
      </c>
      <c r="F4188">
        <v>4</v>
      </c>
      <c r="G4188">
        <v>30</v>
      </c>
      <c r="H4188">
        <v>3853.17</v>
      </c>
      <c r="I4188">
        <v>104769.47</v>
      </c>
      <c r="J4188">
        <v>156</v>
      </c>
      <c r="K4188">
        <v>4</v>
      </c>
      <c r="L4188">
        <v>10.6</v>
      </c>
      <c r="M4188">
        <v>48.2</v>
      </c>
      <c r="N4188" t="s">
        <v>81</v>
      </c>
      <c r="O4188" t="s">
        <v>47</v>
      </c>
      <c r="P4188" t="s">
        <v>66</v>
      </c>
      <c r="R4188">
        <f>SUMIF(A4188:A9187,"C04187",I4188:I9187)</f>
        <v>104769.47</v>
      </c>
      <c r="S4188" s="1">
        <v>19326.91</v>
      </c>
      <c r="T4188">
        <f t="shared" si="471"/>
        <v>671.599166666667</v>
      </c>
      <c r="U4188">
        <f t="shared" si="470"/>
        <v>7519.2</v>
      </c>
      <c r="V4188">
        <f>U4188*4</f>
        <v>30076.8</v>
      </c>
      <c r="W4188">
        <f t="shared" si="475"/>
        <v>36207.88</v>
      </c>
      <c r="X4188">
        <f t="shared" si="473"/>
        <v>0.262640890487573</v>
      </c>
      <c r="AH4188" t="str">
        <f t="shared" si="476"/>
        <v>1st Quality</v>
      </c>
      <c r="AJ4188">
        <f>((T4188-X4188)*2)/10.6</f>
        <v>126.667269014373</v>
      </c>
      <c r="AK4188">
        <f t="shared" si="474"/>
        <v>679658.356666667</v>
      </c>
    </row>
    <row r="4189" spans="1:37">
      <c r="A4189" t="s">
        <v>4255</v>
      </c>
      <c r="B4189">
        <v>24</v>
      </c>
      <c r="C4189" t="s">
        <v>44</v>
      </c>
      <c r="D4189" t="s">
        <v>60</v>
      </c>
      <c r="E4189">
        <v>1023</v>
      </c>
      <c r="F4189">
        <v>13</v>
      </c>
      <c r="G4189">
        <v>24</v>
      </c>
      <c r="H4189">
        <v>1437.57</v>
      </c>
      <c r="I4189">
        <v>32867.98</v>
      </c>
      <c r="J4189">
        <v>56</v>
      </c>
      <c r="K4189">
        <v>6</v>
      </c>
      <c r="L4189">
        <v>5.1</v>
      </c>
      <c r="M4189">
        <v>38.3</v>
      </c>
      <c r="N4189" t="s">
        <v>61</v>
      </c>
      <c r="O4189" t="s">
        <v>47</v>
      </c>
      <c r="P4189" t="s">
        <v>48</v>
      </c>
      <c r="R4189">
        <f>SUMIF(A4189:A9188,"C04188",I4189:I9188)</f>
        <v>32867.98</v>
      </c>
      <c r="S4189" s="1">
        <v>169739.37</v>
      </c>
      <c r="T4189">
        <f t="shared" si="471"/>
        <v>586.928214285714</v>
      </c>
      <c r="U4189">
        <f t="shared" si="470"/>
        <v>2144.8</v>
      </c>
      <c r="V4189">
        <f>U4189*6</f>
        <v>12868.8</v>
      </c>
      <c r="W4189">
        <f t="shared" si="475"/>
        <v>11435.5166666667</v>
      </c>
      <c r="X4189">
        <f t="shared" si="473"/>
        <v>0.711617521233749</v>
      </c>
      <c r="AH4189" t="str">
        <f t="shared" si="476"/>
        <v>2nd Quality</v>
      </c>
      <c r="AJ4189">
        <f>((T4189-X4189)*2)/5.1</f>
        <v>229.888861476267</v>
      </c>
      <c r="AK4189">
        <f t="shared" si="474"/>
        <v>600427.563214286</v>
      </c>
    </row>
    <row r="4190" spans="1:37">
      <c r="A4190" t="s">
        <v>4256</v>
      </c>
      <c r="B4190">
        <v>45</v>
      </c>
      <c r="C4190" t="s">
        <v>50</v>
      </c>
      <c r="D4190" t="s">
        <v>60</v>
      </c>
      <c r="E4190">
        <v>1284</v>
      </c>
      <c r="F4190">
        <v>12</v>
      </c>
      <c r="G4190">
        <v>22</v>
      </c>
      <c r="H4190">
        <v>5285.16</v>
      </c>
      <c r="I4190">
        <v>126108.77</v>
      </c>
      <c r="J4190">
        <v>182</v>
      </c>
      <c r="K4190">
        <v>2</v>
      </c>
      <c r="L4190">
        <v>6.7</v>
      </c>
      <c r="M4190">
        <v>49.3</v>
      </c>
      <c r="N4190" t="s">
        <v>52</v>
      </c>
      <c r="O4190" t="s">
        <v>75</v>
      </c>
      <c r="P4190" t="s">
        <v>58</v>
      </c>
      <c r="R4190">
        <f>SUMIF(A4190:A9189,"C04189",I4190:I9189)</f>
        <v>126108.77</v>
      </c>
      <c r="S4190" s="1">
        <v>5007.68</v>
      </c>
      <c r="T4190">
        <f t="shared" si="471"/>
        <v>692.90532967033</v>
      </c>
      <c r="U4190">
        <f t="shared" si="470"/>
        <v>8972.6</v>
      </c>
      <c r="V4190">
        <f>U4190*2</f>
        <v>17945.2</v>
      </c>
      <c r="W4190">
        <f t="shared" si="475"/>
        <v>43798.31</v>
      </c>
      <c r="X4190">
        <f t="shared" si="473"/>
        <v>0.242944395250097</v>
      </c>
      <c r="AH4190" t="str">
        <f t="shared" si="476"/>
        <v>3rd Quality</v>
      </c>
      <c r="AJ4190">
        <f>((T4190-X4190)*2)/6.7</f>
        <v>206.76489112689</v>
      </c>
      <c r="AK4190">
        <f t="shared" si="474"/>
        <v>889690.443296703</v>
      </c>
    </row>
    <row r="4191" spans="1:37">
      <c r="A4191" t="s">
        <v>4257</v>
      </c>
      <c r="B4191">
        <v>18</v>
      </c>
      <c r="C4191" t="s">
        <v>50</v>
      </c>
      <c r="D4191" t="s">
        <v>60</v>
      </c>
      <c r="E4191">
        <v>617</v>
      </c>
      <c r="F4191">
        <v>24</v>
      </c>
      <c r="G4191">
        <v>2</v>
      </c>
      <c r="H4191">
        <v>8903.84</v>
      </c>
      <c r="I4191">
        <v>19326.91</v>
      </c>
      <c r="J4191">
        <v>23</v>
      </c>
      <c r="K4191">
        <v>0</v>
      </c>
      <c r="L4191">
        <v>5</v>
      </c>
      <c r="M4191">
        <v>6.7</v>
      </c>
      <c r="N4191" t="s">
        <v>81</v>
      </c>
      <c r="O4191" t="s">
        <v>47</v>
      </c>
      <c r="P4191" t="s">
        <v>58</v>
      </c>
      <c r="R4191">
        <f>SUMIF(A4191:A9190,"C04190",I4191:I9190)</f>
        <v>19326.91</v>
      </c>
      <c r="S4191" s="1">
        <v>34689.85</v>
      </c>
      <c r="T4191">
        <f t="shared" si="471"/>
        <v>840.300434782609</v>
      </c>
      <c r="U4191">
        <f t="shared" si="470"/>
        <v>154.1</v>
      </c>
      <c r="V4191">
        <f t="shared" si="472"/>
        <v>12.8416666666667</v>
      </c>
      <c r="W4191">
        <f t="shared" si="475"/>
        <v>9410.58333333333</v>
      </c>
      <c r="X4191">
        <f t="shared" si="473"/>
        <v>0.0692959442218189</v>
      </c>
      <c r="AH4191" t="str">
        <f t="shared" si="476"/>
        <v>2nd Quality</v>
      </c>
      <c r="AJ4191">
        <f>((T4191-X4191)*2)/5</f>
        <v>336.092455535355</v>
      </c>
      <c r="AK4191">
        <f t="shared" si="474"/>
        <v>518465.36826087</v>
      </c>
    </row>
    <row r="4192" spans="1:37">
      <c r="A4192" t="s">
        <v>4258</v>
      </c>
      <c r="B4192">
        <v>32</v>
      </c>
      <c r="C4192" t="s">
        <v>44</v>
      </c>
      <c r="D4192" t="s">
        <v>51</v>
      </c>
      <c r="E4192">
        <v>415</v>
      </c>
      <c r="F4192">
        <v>14</v>
      </c>
      <c r="G4192">
        <v>29</v>
      </c>
      <c r="H4192">
        <v>5233.17</v>
      </c>
      <c r="I4192">
        <v>169739.37</v>
      </c>
      <c r="J4192">
        <v>65</v>
      </c>
      <c r="K4192">
        <v>0</v>
      </c>
      <c r="L4192">
        <v>13.9</v>
      </c>
      <c r="M4192">
        <v>27.7</v>
      </c>
      <c r="N4192" t="s">
        <v>78</v>
      </c>
      <c r="O4192" t="s">
        <v>47</v>
      </c>
      <c r="P4192" t="s">
        <v>58</v>
      </c>
      <c r="R4192">
        <f>SUMIF(A4192:A9191,"C04191",I4192:I9191)</f>
        <v>169739.37</v>
      </c>
      <c r="S4192" s="1">
        <v>9302.26</v>
      </c>
      <c r="T4192">
        <f t="shared" si="471"/>
        <v>2611.37492307692</v>
      </c>
      <c r="U4192">
        <f t="shared" si="470"/>
        <v>1800.5</v>
      </c>
      <c r="V4192">
        <f t="shared" si="472"/>
        <v>150.041666666667</v>
      </c>
      <c r="W4192">
        <f t="shared" si="475"/>
        <v>58324.5133333333</v>
      </c>
      <c r="X4192">
        <f t="shared" si="473"/>
        <v>0.0793018380828446</v>
      </c>
      <c r="AH4192" t="str">
        <f t="shared" si="476"/>
        <v>3rd Quality</v>
      </c>
      <c r="AJ4192">
        <f>((T4192-X4192)*2)/13.9</f>
        <v>375.725988667459</v>
      </c>
      <c r="AK4192">
        <f t="shared" si="474"/>
        <v>1083720.59307692</v>
      </c>
    </row>
    <row r="4193" spans="1:37">
      <c r="A4193" t="s">
        <v>4259</v>
      </c>
      <c r="B4193">
        <v>40</v>
      </c>
      <c r="C4193" t="s">
        <v>50</v>
      </c>
      <c r="D4193" t="s">
        <v>60</v>
      </c>
      <c r="E4193">
        <v>607</v>
      </c>
      <c r="F4193">
        <v>157</v>
      </c>
      <c r="G4193">
        <v>5</v>
      </c>
      <c r="H4193">
        <v>1108.48</v>
      </c>
      <c r="I4193">
        <v>5007.68</v>
      </c>
      <c r="J4193">
        <v>30</v>
      </c>
      <c r="K4193">
        <v>1</v>
      </c>
      <c r="L4193">
        <v>32.1</v>
      </c>
      <c r="M4193">
        <v>19.2</v>
      </c>
      <c r="N4193" t="s">
        <v>46</v>
      </c>
      <c r="O4193" t="s">
        <v>47</v>
      </c>
      <c r="P4193" t="s">
        <v>48</v>
      </c>
      <c r="R4193">
        <f>SUMIF(A4193:A9192,"C04192",I4193:I9192)</f>
        <v>5007.68</v>
      </c>
      <c r="S4193" s="1">
        <v>12335.47</v>
      </c>
      <c r="T4193">
        <f t="shared" si="471"/>
        <v>166.922666666667</v>
      </c>
      <c r="U4193">
        <f t="shared" si="470"/>
        <v>576</v>
      </c>
      <c r="V4193">
        <f>U4193*1</f>
        <v>576</v>
      </c>
      <c r="W4193">
        <f t="shared" si="475"/>
        <v>2039.05333333333</v>
      </c>
      <c r="X4193">
        <f t="shared" si="473"/>
        <v>0.547596709006928</v>
      </c>
      <c r="AH4193" t="str">
        <f t="shared" si="476"/>
        <v>3rd Quality</v>
      </c>
      <c r="AJ4193">
        <f>((T4193-X4193)*2)/32.1</f>
        <v>10.3660479724399</v>
      </c>
      <c r="AK4193">
        <f t="shared" si="474"/>
        <v>101322.058666667</v>
      </c>
    </row>
    <row r="4194" spans="1:37">
      <c r="A4194" t="s">
        <v>4260</v>
      </c>
      <c r="B4194">
        <v>29</v>
      </c>
      <c r="C4194" t="s">
        <v>50</v>
      </c>
      <c r="D4194" t="s">
        <v>45</v>
      </c>
      <c r="E4194">
        <v>1112</v>
      </c>
      <c r="F4194">
        <v>12</v>
      </c>
      <c r="G4194">
        <v>3</v>
      </c>
      <c r="H4194">
        <v>13133.5</v>
      </c>
      <c r="I4194">
        <v>34689.85</v>
      </c>
      <c r="J4194">
        <v>32</v>
      </c>
      <c r="K4194">
        <v>0</v>
      </c>
      <c r="L4194">
        <v>1.2</v>
      </c>
      <c r="M4194">
        <v>37.1</v>
      </c>
      <c r="N4194" t="s">
        <v>61</v>
      </c>
      <c r="O4194" t="s">
        <v>75</v>
      </c>
      <c r="P4194" t="s">
        <v>58</v>
      </c>
      <c r="R4194">
        <f>SUMIF(A4194:A9193,"C04193",I4194:I9193)</f>
        <v>34689.85</v>
      </c>
      <c r="S4194" s="1">
        <v>18736.92</v>
      </c>
      <c r="T4194">
        <f t="shared" si="471"/>
        <v>1084.0578125</v>
      </c>
      <c r="U4194">
        <f t="shared" ref="U4194:U4257" si="477">J4194*M4194</f>
        <v>1187.2</v>
      </c>
      <c r="V4194">
        <f t="shared" si="472"/>
        <v>98.9333333333333</v>
      </c>
      <c r="W4194">
        <f t="shared" si="475"/>
        <v>15941.45</v>
      </c>
      <c r="X4194">
        <f t="shared" si="473"/>
        <v>0.0846689762820269</v>
      </c>
      <c r="AH4194" t="str">
        <f t="shared" si="476"/>
        <v>1st Quality</v>
      </c>
      <c r="AJ4194">
        <f>((T4194-X4194)*2)/1.2</f>
        <v>1806.62190587286</v>
      </c>
      <c r="AK4194">
        <f t="shared" si="474"/>
        <v>1205472.2875</v>
      </c>
    </row>
    <row r="4195" spans="1:37">
      <c r="A4195" t="s">
        <v>4261</v>
      </c>
      <c r="B4195">
        <v>27</v>
      </c>
      <c r="C4195" t="s">
        <v>44</v>
      </c>
      <c r="D4195" t="s">
        <v>45</v>
      </c>
      <c r="E4195">
        <v>1099</v>
      </c>
      <c r="F4195">
        <v>17</v>
      </c>
      <c r="G4195">
        <v>5</v>
      </c>
      <c r="H4195">
        <v>1831.61</v>
      </c>
      <c r="I4195">
        <v>9302.26</v>
      </c>
      <c r="J4195">
        <v>25</v>
      </c>
      <c r="K4195">
        <v>1</v>
      </c>
      <c r="L4195">
        <v>34.9</v>
      </c>
      <c r="M4195">
        <v>24</v>
      </c>
      <c r="N4195" t="s">
        <v>46</v>
      </c>
      <c r="O4195" t="s">
        <v>75</v>
      </c>
      <c r="P4195" t="s">
        <v>58</v>
      </c>
      <c r="R4195">
        <f>SUMIF(A4195:A9194,"C04194",I4195:I9194)</f>
        <v>9302.26</v>
      </c>
      <c r="S4195" s="1">
        <v>47053.2</v>
      </c>
      <c r="T4195">
        <f t="shared" si="471"/>
        <v>372.0904</v>
      </c>
      <c r="U4195">
        <f t="shared" si="477"/>
        <v>600</v>
      </c>
      <c r="V4195">
        <f>U4195*1</f>
        <v>600</v>
      </c>
      <c r="W4195">
        <f t="shared" si="475"/>
        <v>3711.62333333333</v>
      </c>
      <c r="X4195">
        <f t="shared" si="473"/>
        <v>0.600018562903675</v>
      </c>
      <c r="AH4195" t="str">
        <f t="shared" si="476"/>
        <v>3rd Quality</v>
      </c>
      <c r="AJ4195">
        <f>((T4195-X4195)*2)/34.9</f>
        <v>21.2888470737591</v>
      </c>
      <c r="AK4195">
        <f t="shared" si="474"/>
        <v>408927.3496</v>
      </c>
    </row>
    <row r="4196" spans="1:37">
      <c r="A4196" t="s">
        <v>4262</v>
      </c>
      <c r="B4196">
        <v>29</v>
      </c>
      <c r="C4196" t="s">
        <v>44</v>
      </c>
      <c r="D4196" t="s">
        <v>45</v>
      </c>
      <c r="E4196">
        <v>708</v>
      </c>
      <c r="F4196">
        <v>12</v>
      </c>
      <c r="G4196">
        <v>12</v>
      </c>
      <c r="H4196">
        <v>1003.1</v>
      </c>
      <c r="I4196">
        <v>12335.47</v>
      </c>
      <c r="J4196">
        <v>104</v>
      </c>
      <c r="K4196">
        <v>1</v>
      </c>
      <c r="L4196">
        <v>20.8</v>
      </c>
      <c r="M4196">
        <v>31.9</v>
      </c>
      <c r="N4196" t="s">
        <v>63</v>
      </c>
      <c r="O4196" t="s">
        <v>47</v>
      </c>
      <c r="P4196" t="s">
        <v>58</v>
      </c>
      <c r="R4196">
        <f>SUMIF(A4196:A9195,"C04195",I4196:I9195)</f>
        <v>12335.47</v>
      </c>
      <c r="S4196" s="1">
        <v>1814.18</v>
      </c>
      <c r="T4196">
        <f t="shared" si="471"/>
        <v>118.610288461538</v>
      </c>
      <c r="U4196">
        <f t="shared" si="477"/>
        <v>3317.6</v>
      </c>
      <c r="V4196">
        <f>U4196*1</f>
        <v>3317.6</v>
      </c>
      <c r="W4196">
        <f t="shared" si="475"/>
        <v>4446.52333333333</v>
      </c>
      <c r="X4196">
        <f t="shared" si="473"/>
        <v>0.705811982853155</v>
      </c>
      <c r="AH4196" t="str">
        <f t="shared" si="476"/>
        <v>3rd Quality</v>
      </c>
      <c r="AJ4196">
        <f>((T4196-X4196)*2)/28.8</f>
        <v>8.18781086657534</v>
      </c>
      <c r="AK4196">
        <f t="shared" si="474"/>
        <v>83976.0842307692</v>
      </c>
    </row>
    <row r="4197" spans="1:37">
      <c r="A4197" t="s">
        <v>4263</v>
      </c>
      <c r="B4197">
        <v>26</v>
      </c>
      <c r="C4197" t="s">
        <v>44</v>
      </c>
      <c r="D4197" t="s">
        <v>51</v>
      </c>
      <c r="E4197">
        <v>1432</v>
      </c>
      <c r="F4197">
        <v>21</v>
      </c>
      <c r="G4197">
        <v>2</v>
      </c>
      <c r="H4197">
        <v>10001.75</v>
      </c>
      <c r="I4197">
        <v>18736.92</v>
      </c>
      <c r="J4197">
        <v>13</v>
      </c>
      <c r="K4197">
        <v>0</v>
      </c>
      <c r="L4197">
        <v>4.9</v>
      </c>
      <c r="M4197">
        <v>21.3</v>
      </c>
      <c r="N4197" t="s">
        <v>78</v>
      </c>
      <c r="O4197" t="s">
        <v>47</v>
      </c>
      <c r="P4197" t="s">
        <v>58</v>
      </c>
      <c r="R4197">
        <f>SUMIF(A4197:A9196,"C04196",I4197:I9196)</f>
        <v>18736.92</v>
      </c>
      <c r="S4197" s="1">
        <v>96893.07</v>
      </c>
      <c r="T4197">
        <f t="shared" si="471"/>
        <v>1441.30153846154</v>
      </c>
      <c r="U4197">
        <f t="shared" si="477"/>
        <v>276.9</v>
      </c>
      <c r="V4197">
        <f t="shared" si="472"/>
        <v>23.075</v>
      </c>
      <c r="W4197">
        <f t="shared" si="475"/>
        <v>9579.89</v>
      </c>
      <c r="X4197">
        <f t="shared" si="473"/>
        <v>0.143174944384733</v>
      </c>
      <c r="AH4197" t="str">
        <f t="shared" si="476"/>
        <v>2nd Quality</v>
      </c>
      <c r="AJ4197">
        <f>((T4197-X4197)*2)/4.9</f>
        <v>588.22790347639</v>
      </c>
      <c r="AK4197">
        <f t="shared" si="474"/>
        <v>2063943.80307692</v>
      </c>
    </row>
    <row r="4198" spans="1:37">
      <c r="A4198" t="s">
        <v>4264</v>
      </c>
      <c r="B4198">
        <v>19</v>
      </c>
      <c r="C4198" t="s">
        <v>50</v>
      </c>
      <c r="D4198" t="s">
        <v>45</v>
      </c>
      <c r="E4198">
        <v>1123</v>
      </c>
      <c r="F4198">
        <v>8</v>
      </c>
      <c r="G4198">
        <v>20</v>
      </c>
      <c r="H4198">
        <v>2196.1</v>
      </c>
      <c r="I4198">
        <v>47053.2</v>
      </c>
      <c r="J4198">
        <v>50</v>
      </c>
      <c r="K4198">
        <v>2</v>
      </c>
      <c r="L4198">
        <v>14.4</v>
      </c>
      <c r="M4198">
        <v>44.9</v>
      </c>
      <c r="N4198" t="s">
        <v>61</v>
      </c>
      <c r="O4198" t="s">
        <v>75</v>
      </c>
      <c r="P4198" t="s">
        <v>68</v>
      </c>
      <c r="R4198">
        <f>SUMIF(A4198:A9197,"C04197",I4198:I9197)</f>
        <v>47053.2</v>
      </c>
      <c r="S4198" s="1">
        <v>108736.23</v>
      </c>
      <c r="T4198">
        <f t="shared" si="471"/>
        <v>941.064</v>
      </c>
      <c r="U4198">
        <f t="shared" si="477"/>
        <v>2245</v>
      </c>
      <c r="V4198">
        <f>U4198*2</f>
        <v>4490</v>
      </c>
      <c r="W4198">
        <f t="shared" si="475"/>
        <v>16416.7666666667</v>
      </c>
      <c r="X4198">
        <f t="shared" si="473"/>
        <v>0.511361049132553</v>
      </c>
      <c r="AH4198" t="str">
        <f t="shared" si="476"/>
        <v>1st Quality</v>
      </c>
      <c r="AJ4198">
        <f>((T4198-X4198)*2)/14.4</f>
        <v>130.632310965398</v>
      </c>
      <c r="AK4198">
        <f t="shared" si="474"/>
        <v>1056814.872</v>
      </c>
    </row>
    <row r="4199" spans="1:37">
      <c r="A4199" t="s">
        <v>4265</v>
      </c>
      <c r="B4199">
        <v>32</v>
      </c>
      <c r="C4199" t="s">
        <v>44</v>
      </c>
      <c r="D4199" t="s">
        <v>60</v>
      </c>
      <c r="E4199">
        <v>705</v>
      </c>
      <c r="F4199">
        <v>365</v>
      </c>
      <c r="G4199">
        <v>1</v>
      </c>
      <c r="H4199">
        <v>1635.24</v>
      </c>
      <c r="I4199">
        <v>1814.18</v>
      </c>
      <c r="J4199">
        <v>14</v>
      </c>
      <c r="K4199">
        <v>0</v>
      </c>
      <c r="L4199">
        <v>23.2</v>
      </c>
      <c r="M4199">
        <v>46.9</v>
      </c>
      <c r="N4199" t="s">
        <v>46</v>
      </c>
      <c r="O4199" t="s">
        <v>47</v>
      </c>
      <c r="P4199" t="s">
        <v>58</v>
      </c>
      <c r="R4199">
        <f>SUMIF(A4199:A9198,"C04198",I4199:I9198)</f>
        <v>1814.18</v>
      </c>
      <c r="S4199" s="1">
        <v>62613.3</v>
      </c>
      <c r="T4199">
        <f t="shared" ref="T4199:T4262" si="478">I4199/J4199</f>
        <v>129.584285714286</v>
      </c>
      <c r="U4199">
        <f t="shared" si="477"/>
        <v>656.6</v>
      </c>
      <c r="V4199">
        <f t="shared" si="472"/>
        <v>54.7166666666667</v>
      </c>
      <c r="W4199">
        <f t="shared" si="475"/>
        <v>1150.14</v>
      </c>
      <c r="X4199">
        <f t="shared" si="473"/>
        <v>0.431129375504513</v>
      </c>
      <c r="AH4199" t="str">
        <f t="shared" si="476"/>
        <v>3rd Quality</v>
      </c>
      <c r="AJ4199">
        <f>((T4199-X4199)*2)/23.2</f>
        <v>11.133892787826</v>
      </c>
      <c r="AK4199">
        <f t="shared" si="474"/>
        <v>91356.9214285714</v>
      </c>
    </row>
    <row r="4200" spans="1:37">
      <c r="A4200" t="s">
        <v>4266</v>
      </c>
      <c r="B4200">
        <v>18</v>
      </c>
      <c r="C4200" t="s">
        <v>44</v>
      </c>
      <c r="D4200" t="s">
        <v>60</v>
      </c>
      <c r="E4200">
        <v>1444</v>
      </c>
      <c r="F4200">
        <v>9</v>
      </c>
      <c r="G4200">
        <v>24</v>
      </c>
      <c r="H4200">
        <v>4207.16</v>
      </c>
      <c r="I4200">
        <v>96893.07</v>
      </c>
      <c r="J4200">
        <v>59</v>
      </c>
      <c r="K4200">
        <v>1</v>
      </c>
      <c r="L4200">
        <v>11.4</v>
      </c>
      <c r="M4200">
        <v>24.6</v>
      </c>
      <c r="N4200" t="s">
        <v>57</v>
      </c>
      <c r="O4200" t="s">
        <v>47</v>
      </c>
      <c r="P4200" t="s">
        <v>58</v>
      </c>
      <c r="R4200">
        <f>SUMIF(A4200:A9199,"C04199",I4200:I9199)</f>
        <v>96893.07</v>
      </c>
      <c r="S4200" s="1">
        <v>1603.85</v>
      </c>
      <c r="T4200">
        <f t="shared" si="478"/>
        <v>1642.25542372881</v>
      </c>
      <c r="U4200">
        <f t="shared" si="477"/>
        <v>1451.4</v>
      </c>
      <c r="V4200">
        <f>U4200*1</f>
        <v>1451.4</v>
      </c>
      <c r="W4200">
        <f t="shared" si="475"/>
        <v>33700.41</v>
      </c>
      <c r="X4200">
        <f t="shared" si="473"/>
        <v>0.343224407914127</v>
      </c>
      <c r="AH4200" t="str">
        <f t="shared" si="476"/>
        <v>1st Quality</v>
      </c>
      <c r="AJ4200">
        <f>((T4200-X4200)*2)/11.4</f>
        <v>288.054771810684</v>
      </c>
      <c r="AK4200">
        <f t="shared" si="474"/>
        <v>2371416.83186441</v>
      </c>
    </row>
    <row r="4201" spans="1:37">
      <c r="A4201" t="s">
        <v>4267</v>
      </c>
      <c r="B4201">
        <v>32</v>
      </c>
      <c r="C4201" t="s">
        <v>50</v>
      </c>
      <c r="D4201" t="s">
        <v>45</v>
      </c>
      <c r="E4201">
        <v>596</v>
      </c>
      <c r="F4201">
        <v>7</v>
      </c>
      <c r="G4201">
        <v>20</v>
      </c>
      <c r="H4201">
        <v>4911.3</v>
      </c>
      <c r="I4201">
        <v>108736.23</v>
      </c>
      <c r="J4201">
        <v>130</v>
      </c>
      <c r="K4201">
        <v>2</v>
      </c>
      <c r="L4201">
        <v>22.1</v>
      </c>
      <c r="M4201">
        <v>37.6</v>
      </c>
      <c r="N4201" t="s">
        <v>52</v>
      </c>
      <c r="O4201" t="s">
        <v>47</v>
      </c>
      <c r="P4201" t="s">
        <v>66</v>
      </c>
      <c r="R4201">
        <f>SUMIF(A4201:A9200,"C04200",I4201:I9200)</f>
        <v>108736.23</v>
      </c>
      <c r="S4201" s="1">
        <v>97639.87</v>
      </c>
      <c r="T4201">
        <f t="shared" si="478"/>
        <v>836.432538461538</v>
      </c>
      <c r="U4201">
        <f t="shared" si="477"/>
        <v>4888</v>
      </c>
      <c r="V4201">
        <f>U4201*2</f>
        <v>9776</v>
      </c>
      <c r="W4201">
        <f t="shared" si="475"/>
        <v>37882.8433333333</v>
      </c>
      <c r="X4201">
        <f t="shared" si="473"/>
        <v>0.121352798648016</v>
      </c>
      <c r="AH4201" t="str">
        <f t="shared" si="476"/>
        <v>2nd Quality</v>
      </c>
      <c r="AJ4201">
        <f>((T4201-X4201)*2)/22.1</f>
        <v>75.6842701957366</v>
      </c>
      <c r="AK4201">
        <f t="shared" si="474"/>
        <v>498513.792923077</v>
      </c>
    </row>
    <row r="4202" spans="1:37">
      <c r="A4202" t="s">
        <v>4268</v>
      </c>
      <c r="B4202">
        <v>43</v>
      </c>
      <c r="C4202" t="s">
        <v>50</v>
      </c>
      <c r="D4202" t="s">
        <v>45</v>
      </c>
      <c r="E4202">
        <v>402</v>
      </c>
      <c r="F4202">
        <v>1</v>
      </c>
      <c r="G4202">
        <v>25</v>
      </c>
      <c r="H4202">
        <v>2767.36</v>
      </c>
      <c r="I4202">
        <v>62613.3</v>
      </c>
      <c r="J4202">
        <v>56</v>
      </c>
      <c r="K4202">
        <v>2</v>
      </c>
      <c r="L4202">
        <v>0</v>
      </c>
      <c r="M4202">
        <v>27.6</v>
      </c>
      <c r="N4202" t="s">
        <v>52</v>
      </c>
      <c r="O4202" t="s">
        <v>47</v>
      </c>
      <c r="P4202" t="s">
        <v>58</v>
      </c>
      <c r="R4202">
        <f>SUMIF(A4202:A9201,"C04201",I4202:I9201)</f>
        <v>62613.3</v>
      </c>
      <c r="S4202" s="1">
        <v>14022.69</v>
      </c>
      <c r="T4202">
        <f t="shared" si="478"/>
        <v>1118.09464285714</v>
      </c>
      <c r="U4202">
        <f t="shared" si="477"/>
        <v>1545.6</v>
      </c>
      <c r="V4202">
        <f>U4202*2</f>
        <v>3091.2</v>
      </c>
      <c r="W4202">
        <f t="shared" si="475"/>
        <v>21793.8866666667</v>
      </c>
      <c r="X4202">
        <f t="shared" si="473"/>
        <v>0.145264801110083</v>
      </c>
      <c r="AH4202" t="str">
        <f t="shared" si="476"/>
        <v>3rd Quality</v>
      </c>
      <c r="AJ4202">
        <f>((T4202-X4202)*2)</f>
        <v>2235.89875611206</v>
      </c>
      <c r="AK4202">
        <f t="shared" si="474"/>
        <v>449474.046428571</v>
      </c>
    </row>
    <row r="4203" spans="1:37">
      <c r="A4203" t="s">
        <v>4269</v>
      </c>
      <c r="B4203">
        <v>33</v>
      </c>
      <c r="C4203" t="s">
        <v>50</v>
      </c>
      <c r="D4203" t="s">
        <v>45</v>
      </c>
      <c r="E4203">
        <v>1443</v>
      </c>
      <c r="F4203">
        <v>203</v>
      </c>
      <c r="G4203">
        <v>3</v>
      </c>
      <c r="H4203">
        <v>537.76</v>
      </c>
      <c r="I4203">
        <v>1603.85</v>
      </c>
      <c r="J4203">
        <v>27</v>
      </c>
      <c r="K4203">
        <v>0</v>
      </c>
      <c r="L4203">
        <v>35.8</v>
      </c>
      <c r="M4203">
        <v>47.8</v>
      </c>
      <c r="N4203" t="s">
        <v>78</v>
      </c>
      <c r="O4203" t="s">
        <v>75</v>
      </c>
      <c r="P4203" t="s">
        <v>54</v>
      </c>
      <c r="R4203">
        <f>SUMIF(A4203:A9202,"C04202",I4203:I9202)</f>
        <v>1603.85</v>
      </c>
      <c r="S4203" s="1">
        <v>1224.36</v>
      </c>
      <c r="T4203">
        <f t="shared" si="478"/>
        <v>59.4018518518519</v>
      </c>
      <c r="U4203">
        <f t="shared" si="477"/>
        <v>1290.6</v>
      </c>
      <c r="V4203">
        <f t="shared" si="472"/>
        <v>107.55</v>
      </c>
      <c r="W4203">
        <f t="shared" si="475"/>
        <v>714.203333333333</v>
      </c>
      <c r="X4203">
        <f t="shared" si="473"/>
        <v>2.68335316869979</v>
      </c>
      <c r="AH4203" t="str">
        <f t="shared" si="476"/>
        <v>3rd Quality</v>
      </c>
      <c r="AJ4203">
        <f>((T4203-X4203)*2)/35.8</f>
        <v>3.16863121134928</v>
      </c>
      <c r="AK4203">
        <f t="shared" si="474"/>
        <v>85716.8722222222</v>
      </c>
    </row>
    <row r="4204" spans="1:37">
      <c r="A4204" t="s">
        <v>4270</v>
      </c>
      <c r="B4204">
        <v>38</v>
      </c>
      <c r="C4204" t="s">
        <v>44</v>
      </c>
      <c r="D4204" t="s">
        <v>60</v>
      </c>
      <c r="E4204">
        <v>847</v>
      </c>
      <c r="F4204">
        <v>4</v>
      </c>
      <c r="G4204">
        <v>32</v>
      </c>
      <c r="H4204">
        <v>3290.39</v>
      </c>
      <c r="I4204">
        <v>97639.87</v>
      </c>
      <c r="J4204">
        <v>104</v>
      </c>
      <c r="K4204">
        <v>3</v>
      </c>
      <c r="L4204">
        <v>2</v>
      </c>
      <c r="M4204">
        <v>37.9</v>
      </c>
      <c r="N4204" t="s">
        <v>61</v>
      </c>
      <c r="O4204" t="s">
        <v>47</v>
      </c>
      <c r="P4204" t="s">
        <v>68</v>
      </c>
      <c r="R4204">
        <f>SUMIF(A4204:A9203,"C04203",I4204:I9203)</f>
        <v>97639.87</v>
      </c>
      <c r="S4204" s="1">
        <v>4393.32</v>
      </c>
      <c r="T4204">
        <f t="shared" si="478"/>
        <v>938.844903846154</v>
      </c>
      <c r="U4204">
        <f t="shared" si="477"/>
        <v>3941.6</v>
      </c>
      <c r="V4204">
        <f>U4204*3</f>
        <v>11824.8</v>
      </c>
      <c r="W4204">
        <f t="shared" si="475"/>
        <v>33643.7533333333</v>
      </c>
      <c r="X4204">
        <f t="shared" si="473"/>
        <v>0.257416294117111</v>
      </c>
      <c r="AH4204" t="str">
        <f t="shared" si="476"/>
        <v>2nd Quality</v>
      </c>
      <c r="AJ4204">
        <f>((T4204-X4204)*2)/2</f>
        <v>938.587487552037</v>
      </c>
      <c r="AK4204">
        <f t="shared" si="474"/>
        <v>795201.633557692</v>
      </c>
    </row>
    <row r="4205" spans="1:37">
      <c r="A4205" t="s">
        <v>4271</v>
      </c>
      <c r="B4205">
        <v>34</v>
      </c>
      <c r="C4205" t="s">
        <v>44</v>
      </c>
      <c r="D4205" t="s">
        <v>60</v>
      </c>
      <c r="E4205">
        <v>1280</v>
      </c>
      <c r="F4205">
        <v>68</v>
      </c>
      <c r="G4205">
        <v>2</v>
      </c>
      <c r="H4205">
        <v>6872.09</v>
      </c>
      <c r="I4205">
        <v>14022.69</v>
      </c>
      <c r="J4205">
        <v>15</v>
      </c>
      <c r="K4205">
        <v>0</v>
      </c>
      <c r="L4205">
        <v>5.9</v>
      </c>
      <c r="M4205">
        <v>22.3</v>
      </c>
      <c r="N4205" t="s">
        <v>81</v>
      </c>
      <c r="O4205" t="s">
        <v>47</v>
      </c>
      <c r="P4205" t="s">
        <v>58</v>
      </c>
      <c r="R4205">
        <f>SUMIF(A4205:A9204,"C04204",I4205:I9204)</f>
        <v>14022.69</v>
      </c>
      <c r="S4205" s="1">
        <v>99306.37</v>
      </c>
      <c r="T4205">
        <f t="shared" si="478"/>
        <v>934.846</v>
      </c>
      <c r="U4205">
        <f t="shared" si="477"/>
        <v>334.5</v>
      </c>
      <c r="V4205">
        <f t="shared" si="472"/>
        <v>27.875</v>
      </c>
      <c r="W4205">
        <f t="shared" si="475"/>
        <v>6965.26</v>
      </c>
      <c r="X4205">
        <f t="shared" si="473"/>
        <v>0.186260657238191</v>
      </c>
      <c r="AH4205" t="str">
        <f t="shared" si="476"/>
        <v>2nd Quality</v>
      </c>
      <c r="AJ4205">
        <f>((T4205-X4205)*2)/5.9</f>
        <v>316.833809946699</v>
      </c>
      <c r="AK4205">
        <f t="shared" si="474"/>
        <v>1196602.88</v>
      </c>
    </row>
    <row r="4206" spans="1:37">
      <c r="A4206" t="s">
        <v>4272</v>
      </c>
      <c r="B4206">
        <v>30</v>
      </c>
      <c r="C4206" t="s">
        <v>44</v>
      </c>
      <c r="D4206" t="s">
        <v>51</v>
      </c>
      <c r="E4206">
        <v>1306</v>
      </c>
      <c r="F4206">
        <v>61</v>
      </c>
      <c r="G4206">
        <v>2</v>
      </c>
      <c r="H4206">
        <v>682.42</v>
      </c>
      <c r="I4206">
        <v>1224.36</v>
      </c>
      <c r="J4206">
        <v>14</v>
      </c>
      <c r="K4206">
        <v>0</v>
      </c>
      <c r="L4206">
        <v>29.2</v>
      </c>
      <c r="M4206">
        <v>24.6</v>
      </c>
      <c r="N4206" t="s">
        <v>78</v>
      </c>
      <c r="O4206" t="s">
        <v>47</v>
      </c>
      <c r="P4206" t="s">
        <v>58</v>
      </c>
      <c r="R4206">
        <f>SUMIF(A4206:A9205,"C04205",I4206:I9205)</f>
        <v>1224.36</v>
      </c>
      <c r="S4206" s="1">
        <v>120583.26</v>
      </c>
      <c r="T4206">
        <f t="shared" si="478"/>
        <v>87.4542857142857</v>
      </c>
      <c r="U4206">
        <f t="shared" si="477"/>
        <v>344.4</v>
      </c>
      <c r="V4206">
        <f t="shared" si="472"/>
        <v>28.7</v>
      </c>
      <c r="W4206">
        <f t="shared" si="475"/>
        <v>635.926666666667</v>
      </c>
      <c r="X4206">
        <f t="shared" si="473"/>
        <v>1.91377743911374</v>
      </c>
      <c r="AH4206" t="str">
        <f t="shared" si="476"/>
        <v>3rd Quality</v>
      </c>
      <c r="AJ4206">
        <f>((T4206-X4206)*2)/29.2</f>
        <v>5.85893892295698</v>
      </c>
      <c r="AK4206">
        <f t="shared" si="474"/>
        <v>114215.297142857</v>
      </c>
    </row>
    <row r="4207" spans="1:37">
      <c r="A4207" t="s">
        <v>4273</v>
      </c>
      <c r="B4207">
        <v>31</v>
      </c>
      <c r="C4207" t="s">
        <v>44</v>
      </c>
      <c r="D4207" t="s">
        <v>60</v>
      </c>
      <c r="E4207">
        <v>1391</v>
      </c>
      <c r="F4207">
        <v>34</v>
      </c>
      <c r="G4207">
        <v>4</v>
      </c>
      <c r="H4207">
        <v>1097.18</v>
      </c>
      <c r="I4207">
        <v>4393.32</v>
      </c>
      <c r="J4207">
        <v>23</v>
      </c>
      <c r="K4207">
        <v>1</v>
      </c>
      <c r="L4207">
        <v>28.7</v>
      </c>
      <c r="M4207">
        <v>8.1</v>
      </c>
      <c r="N4207" t="s">
        <v>61</v>
      </c>
      <c r="O4207" t="s">
        <v>47</v>
      </c>
      <c r="P4207" t="s">
        <v>54</v>
      </c>
      <c r="R4207">
        <f>SUMIF(A4207:A9206,"C04206",I4207:I9206)</f>
        <v>4393.32</v>
      </c>
      <c r="S4207" s="1">
        <v>8688.62</v>
      </c>
      <c r="T4207">
        <f t="shared" si="478"/>
        <v>191.013913043478</v>
      </c>
      <c r="U4207">
        <f t="shared" si="477"/>
        <v>186.3</v>
      </c>
      <c r="V4207">
        <f>U4207*1</f>
        <v>186.3</v>
      </c>
      <c r="W4207">
        <f t="shared" si="475"/>
        <v>1830.5</v>
      </c>
      <c r="X4207">
        <f t="shared" si="473"/>
        <v>1.2677956215024</v>
      </c>
      <c r="AH4207" t="str">
        <f t="shared" si="476"/>
        <v>3rd Quality</v>
      </c>
      <c r="AJ4207">
        <f>((T4207-X4207)*2)/28.7</f>
        <v>13.2227259527509</v>
      </c>
      <c r="AK4207">
        <f t="shared" si="474"/>
        <v>265700.353043478</v>
      </c>
    </row>
    <row r="4208" spans="1:37">
      <c r="A4208" t="s">
        <v>4274</v>
      </c>
      <c r="B4208">
        <v>45</v>
      </c>
      <c r="C4208" t="s">
        <v>50</v>
      </c>
      <c r="D4208" t="s">
        <v>45</v>
      </c>
      <c r="E4208">
        <v>1198</v>
      </c>
      <c r="F4208">
        <v>10</v>
      </c>
      <c r="G4208">
        <v>28</v>
      </c>
      <c r="H4208">
        <v>3848.53</v>
      </c>
      <c r="I4208">
        <v>99306.37</v>
      </c>
      <c r="J4208">
        <v>178</v>
      </c>
      <c r="K4208">
        <v>1</v>
      </c>
      <c r="L4208">
        <v>2.7</v>
      </c>
      <c r="M4208">
        <v>15.9</v>
      </c>
      <c r="N4208" t="s">
        <v>46</v>
      </c>
      <c r="O4208" t="s">
        <v>47</v>
      </c>
      <c r="P4208" t="s">
        <v>48</v>
      </c>
      <c r="R4208">
        <f>SUMIF(A4208:A9207,"C04207",I4208:I9207)</f>
        <v>99306.37</v>
      </c>
      <c r="S4208" s="1">
        <v>117207.68</v>
      </c>
      <c r="T4208">
        <f t="shared" si="478"/>
        <v>557.90095505618</v>
      </c>
      <c r="U4208">
        <f t="shared" si="477"/>
        <v>2830.2</v>
      </c>
      <c r="V4208">
        <f>U4208*1</f>
        <v>2830.2</v>
      </c>
      <c r="W4208">
        <f t="shared" si="475"/>
        <v>34385.3</v>
      </c>
      <c r="X4208">
        <f t="shared" si="473"/>
        <v>0.3112876864673</v>
      </c>
      <c r="AH4208" t="str">
        <f t="shared" si="476"/>
        <v>3rd Quality</v>
      </c>
      <c r="AJ4208">
        <f>((T4208-X4208)*2)/2.7</f>
        <v>413.029383236824</v>
      </c>
      <c r="AK4208">
        <f t="shared" si="474"/>
        <v>668365.344157303</v>
      </c>
    </row>
    <row r="4209" spans="1:37">
      <c r="A4209" t="s">
        <v>4275</v>
      </c>
      <c r="B4209">
        <v>41</v>
      </c>
      <c r="C4209" t="s">
        <v>44</v>
      </c>
      <c r="D4209" t="s">
        <v>60</v>
      </c>
      <c r="E4209">
        <v>420</v>
      </c>
      <c r="F4209">
        <v>5</v>
      </c>
      <c r="G4209">
        <v>28</v>
      </c>
      <c r="H4209">
        <v>4393.59</v>
      </c>
      <c r="I4209">
        <v>120583.26</v>
      </c>
      <c r="J4209">
        <v>236</v>
      </c>
      <c r="K4209">
        <v>1</v>
      </c>
      <c r="L4209">
        <v>0</v>
      </c>
      <c r="M4209">
        <v>51.5</v>
      </c>
      <c r="N4209" t="s">
        <v>81</v>
      </c>
      <c r="O4209" t="s">
        <v>47</v>
      </c>
      <c r="P4209" t="s">
        <v>58</v>
      </c>
      <c r="R4209">
        <f>SUMIF(A4209:A9208,"C04208",I4209:I9208)</f>
        <v>120583.26</v>
      </c>
      <c r="S4209" s="1">
        <v>2588.84</v>
      </c>
      <c r="T4209">
        <f t="shared" si="478"/>
        <v>510.946016949153</v>
      </c>
      <c r="U4209">
        <f t="shared" si="477"/>
        <v>12154</v>
      </c>
      <c r="V4209">
        <f>U4209*1</f>
        <v>12154</v>
      </c>
      <c r="W4209">
        <f t="shared" si="475"/>
        <v>41659.2833333333</v>
      </c>
      <c r="X4209">
        <f t="shared" si="473"/>
        <v>0.0955938082524769</v>
      </c>
      <c r="AH4209" t="str">
        <f t="shared" si="476"/>
        <v>3rd Quality</v>
      </c>
      <c r="AJ4209">
        <f>((T4209-X4209)*2)</f>
        <v>1021.7008462818</v>
      </c>
      <c r="AK4209">
        <f t="shared" si="474"/>
        <v>214597.327118644</v>
      </c>
    </row>
    <row r="4210" spans="1:37">
      <c r="A4210" t="s">
        <v>4276</v>
      </c>
      <c r="B4210">
        <v>39</v>
      </c>
      <c r="C4210" t="s">
        <v>44</v>
      </c>
      <c r="D4210" t="s">
        <v>45</v>
      </c>
      <c r="E4210">
        <v>964</v>
      </c>
      <c r="F4210">
        <v>27</v>
      </c>
      <c r="G4210">
        <v>7</v>
      </c>
      <c r="H4210">
        <v>1187.63</v>
      </c>
      <c r="I4210">
        <v>8688.62</v>
      </c>
      <c r="J4210">
        <v>50</v>
      </c>
      <c r="K4210">
        <v>0</v>
      </c>
      <c r="L4210">
        <v>8.6</v>
      </c>
      <c r="M4210">
        <v>27.8</v>
      </c>
      <c r="N4210" t="s">
        <v>81</v>
      </c>
      <c r="O4210" t="s">
        <v>47</v>
      </c>
      <c r="P4210" t="s">
        <v>66</v>
      </c>
      <c r="R4210">
        <f>SUMIF(A4210:A9209,"C04209",I4210:I9209)</f>
        <v>8688.62</v>
      </c>
      <c r="S4210" s="1">
        <v>13489.48</v>
      </c>
      <c r="T4210">
        <f t="shared" si="478"/>
        <v>173.7724</v>
      </c>
      <c r="U4210">
        <f t="shared" si="477"/>
        <v>1390</v>
      </c>
      <c r="V4210">
        <f t="shared" si="472"/>
        <v>115.833333333333</v>
      </c>
      <c r="W4210">
        <f t="shared" si="475"/>
        <v>3292.41666666667</v>
      </c>
      <c r="X4210">
        <f t="shared" si="473"/>
        <v>0.811700613827539</v>
      </c>
      <c r="AH4210" t="str">
        <f t="shared" si="476"/>
        <v>3rd Quality</v>
      </c>
      <c r="AJ4210">
        <f>((T4210-X4210)*2)/8.6</f>
        <v>40.2234184619006</v>
      </c>
      <c r="AK4210">
        <f t="shared" si="474"/>
        <v>167516.5936</v>
      </c>
    </row>
    <row r="4211" spans="1:37">
      <c r="A4211" t="s">
        <v>4277</v>
      </c>
      <c r="B4211">
        <v>48</v>
      </c>
      <c r="C4211" t="s">
        <v>50</v>
      </c>
      <c r="D4211" t="s">
        <v>45</v>
      </c>
      <c r="E4211">
        <v>1388</v>
      </c>
      <c r="F4211">
        <v>9</v>
      </c>
      <c r="G4211">
        <v>26</v>
      </c>
      <c r="H4211">
        <v>4695.29</v>
      </c>
      <c r="I4211">
        <v>117207.68</v>
      </c>
      <c r="J4211">
        <v>162</v>
      </c>
      <c r="K4211">
        <v>2</v>
      </c>
      <c r="L4211">
        <v>7.6</v>
      </c>
      <c r="M4211">
        <v>35.6</v>
      </c>
      <c r="N4211" t="s">
        <v>63</v>
      </c>
      <c r="O4211" t="s">
        <v>47</v>
      </c>
      <c r="P4211" t="s">
        <v>66</v>
      </c>
      <c r="R4211">
        <f>SUMIF(A4211:A9210,"C04210",I4211:I9210)</f>
        <v>117207.68</v>
      </c>
      <c r="S4211" s="1">
        <v>12600.7</v>
      </c>
      <c r="T4211">
        <f t="shared" si="478"/>
        <v>723.504197530864</v>
      </c>
      <c r="U4211">
        <f t="shared" si="477"/>
        <v>5767.2</v>
      </c>
      <c r="V4211">
        <f>U4211*2</f>
        <v>11534.4</v>
      </c>
      <c r="W4211">
        <f t="shared" si="475"/>
        <v>40634.6566666667</v>
      </c>
      <c r="X4211">
        <f t="shared" si="473"/>
        <v>0.295615393298391</v>
      </c>
      <c r="AH4211" t="str">
        <f t="shared" si="476"/>
        <v>3rd Quality</v>
      </c>
      <c r="AJ4211">
        <f>((T4211-X4211)*2)/7.6</f>
        <v>190.318047930938</v>
      </c>
      <c r="AK4211">
        <f t="shared" si="474"/>
        <v>1004223.82617284</v>
      </c>
    </row>
    <row r="4212" spans="1:37">
      <c r="A4212" t="s">
        <v>4278</v>
      </c>
      <c r="B4212">
        <v>44</v>
      </c>
      <c r="C4212" t="s">
        <v>50</v>
      </c>
      <c r="D4212" t="s">
        <v>45</v>
      </c>
      <c r="E4212">
        <v>1204</v>
      </c>
      <c r="F4212">
        <v>155</v>
      </c>
      <c r="G4212">
        <v>3</v>
      </c>
      <c r="H4212">
        <v>854.65</v>
      </c>
      <c r="I4212">
        <v>2588.84</v>
      </c>
      <c r="J4212">
        <v>31</v>
      </c>
      <c r="K4212">
        <v>0</v>
      </c>
      <c r="L4212">
        <v>30</v>
      </c>
      <c r="M4212">
        <v>7.1</v>
      </c>
      <c r="N4212" t="s">
        <v>78</v>
      </c>
      <c r="O4212" t="s">
        <v>47</v>
      </c>
      <c r="P4212" t="s">
        <v>68</v>
      </c>
      <c r="R4212">
        <f>SUMIF(A4212:A9211,"C04211",I4212:I9211)</f>
        <v>2588.84</v>
      </c>
      <c r="S4212" s="1">
        <v>38849.93</v>
      </c>
      <c r="T4212">
        <f t="shared" si="478"/>
        <v>83.5109677419355</v>
      </c>
      <c r="U4212">
        <f t="shared" si="477"/>
        <v>220.1</v>
      </c>
      <c r="V4212">
        <f t="shared" si="472"/>
        <v>18.3416666666667</v>
      </c>
      <c r="W4212">
        <f t="shared" si="475"/>
        <v>1148.16333333333</v>
      </c>
      <c r="X4212">
        <f t="shared" si="473"/>
        <v>1.40876382144738</v>
      </c>
      <c r="AH4212" t="str">
        <f t="shared" si="476"/>
        <v>3rd Quality</v>
      </c>
      <c r="AJ4212">
        <f>((T4212-X4212)*2)/30</f>
        <v>5.47348026136588</v>
      </c>
      <c r="AK4212">
        <f t="shared" si="474"/>
        <v>100547.20516129</v>
      </c>
    </row>
    <row r="4213" spans="1:37">
      <c r="A4213" t="s">
        <v>4279</v>
      </c>
      <c r="B4213">
        <v>27</v>
      </c>
      <c r="C4213" t="s">
        <v>50</v>
      </c>
      <c r="D4213" t="s">
        <v>51</v>
      </c>
      <c r="E4213">
        <v>1284</v>
      </c>
      <c r="F4213">
        <v>112</v>
      </c>
      <c r="G4213">
        <v>10</v>
      </c>
      <c r="H4213">
        <v>1211.82</v>
      </c>
      <c r="I4213">
        <v>13489.48</v>
      </c>
      <c r="J4213">
        <v>63</v>
      </c>
      <c r="K4213">
        <v>0</v>
      </c>
      <c r="L4213">
        <v>26.2</v>
      </c>
      <c r="M4213">
        <v>3.3</v>
      </c>
      <c r="N4213" t="s">
        <v>81</v>
      </c>
      <c r="O4213" t="s">
        <v>53</v>
      </c>
      <c r="P4213" t="s">
        <v>58</v>
      </c>
      <c r="R4213">
        <f>SUMIF(A4213:A9212,"C04212",I4213:I9212)</f>
        <v>13489.48</v>
      </c>
      <c r="S4213" s="1">
        <v>14511.37</v>
      </c>
      <c r="T4213">
        <f t="shared" si="478"/>
        <v>214.11873015873</v>
      </c>
      <c r="U4213">
        <f t="shared" si="477"/>
        <v>207.9</v>
      </c>
      <c r="V4213">
        <f t="shared" si="472"/>
        <v>17.325</v>
      </c>
      <c r="W4213">
        <f t="shared" si="475"/>
        <v>4900.76666666667</v>
      </c>
      <c r="X4213">
        <f t="shared" si="473"/>
        <v>1.05956330148042</v>
      </c>
      <c r="AH4213" t="str">
        <f t="shared" si="476"/>
        <v>3rd Quality</v>
      </c>
      <c r="AJ4213">
        <f>((T4213-X4213)*2)/26.2</f>
        <v>16.2640585387213</v>
      </c>
      <c r="AK4213">
        <f t="shared" si="474"/>
        <v>274928.44952381</v>
      </c>
    </row>
    <row r="4214" spans="1:37">
      <c r="A4214" t="s">
        <v>4280</v>
      </c>
      <c r="B4214">
        <v>26</v>
      </c>
      <c r="C4214" t="s">
        <v>50</v>
      </c>
      <c r="D4214" t="s">
        <v>51</v>
      </c>
      <c r="E4214">
        <v>1228</v>
      </c>
      <c r="F4214">
        <v>21</v>
      </c>
      <c r="G4214">
        <v>13</v>
      </c>
      <c r="H4214">
        <v>889.19</v>
      </c>
      <c r="I4214">
        <v>12600.7</v>
      </c>
      <c r="J4214">
        <v>34</v>
      </c>
      <c r="K4214">
        <v>0</v>
      </c>
      <c r="L4214">
        <v>30.2</v>
      </c>
      <c r="M4214">
        <v>22.2</v>
      </c>
      <c r="N4214" t="s">
        <v>61</v>
      </c>
      <c r="O4214" t="s">
        <v>47</v>
      </c>
      <c r="P4214" t="s">
        <v>58</v>
      </c>
      <c r="R4214">
        <f>SUMIF(A4214:A9213,"C04213",I4214:I9213)</f>
        <v>12600.7</v>
      </c>
      <c r="S4214" s="1">
        <v>79767.21</v>
      </c>
      <c r="T4214">
        <f t="shared" si="478"/>
        <v>370.608823529412</v>
      </c>
      <c r="U4214">
        <f t="shared" si="477"/>
        <v>754.8</v>
      </c>
      <c r="V4214">
        <f t="shared" si="472"/>
        <v>62.9</v>
      </c>
      <c r="W4214">
        <f t="shared" si="475"/>
        <v>4496.96333333333</v>
      </c>
      <c r="X4214">
        <f t="shared" si="473"/>
        <v>1.3810321753506</v>
      </c>
      <c r="AH4214" t="str">
        <f t="shared" si="476"/>
        <v>3rd Quality</v>
      </c>
      <c r="AJ4214">
        <f>((T4214-X4214)*2)/30.2</f>
        <v>24.4521716128517</v>
      </c>
      <c r="AK4214">
        <f t="shared" si="474"/>
        <v>455107.635294118</v>
      </c>
    </row>
    <row r="4215" spans="1:37">
      <c r="A4215" t="s">
        <v>4281</v>
      </c>
      <c r="B4215">
        <v>40</v>
      </c>
      <c r="C4215" t="s">
        <v>44</v>
      </c>
      <c r="D4215" t="s">
        <v>45</v>
      </c>
      <c r="E4215">
        <v>696</v>
      </c>
      <c r="F4215">
        <v>10</v>
      </c>
      <c r="G4215">
        <v>24</v>
      </c>
      <c r="H4215">
        <v>1446.25</v>
      </c>
      <c r="I4215">
        <v>38849.93</v>
      </c>
      <c r="J4215">
        <v>79</v>
      </c>
      <c r="K4215">
        <v>0</v>
      </c>
      <c r="L4215">
        <v>14.9</v>
      </c>
      <c r="M4215">
        <v>11.8</v>
      </c>
      <c r="N4215" t="s">
        <v>46</v>
      </c>
      <c r="O4215" t="s">
        <v>47</v>
      </c>
      <c r="P4215" t="s">
        <v>58</v>
      </c>
      <c r="R4215">
        <f>SUMIF(A4215:A9214,"C04214",I4215:I9214)</f>
        <v>38849.93</v>
      </c>
      <c r="S4215" s="1">
        <v>2572.57</v>
      </c>
      <c r="T4215">
        <f t="shared" si="478"/>
        <v>491.771265822785</v>
      </c>
      <c r="U4215">
        <f t="shared" si="477"/>
        <v>932.2</v>
      </c>
      <c r="V4215">
        <f t="shared" si="472"/>
        <v>77.6833333333333</v>
      </c>
      <c r="W4215">
        <f t="shared" si="475"/>
        <v>13432.3933333333</v>
      </c>
      <c r="X4215">
        <f t="shared" si="473"/>
        <v>0.481244598098531</v>
      </c>
      <c r="AH4215" t="str">
        <f t="shared" si="476"/>
        <v>2nd Quality</v>
      </c>
      <c r="AJ4215">
        <f>((T4215-X4215)*2)/14.9</f>
        <v>65.9449692919042</v>
      </c>
      <c r="AK4215">
        <f t="shared" si="474"/>
        <v>342272.801012658</v>
      </c>
    </row>
    <row r="4216" spans="1:37">
      <c r="A4216" t="s">
        <v>4282</v>
      </c>
      <c r="B4216">
        <v>37</v>
      </c>
      <c r="C4216" t="s">
        <v>44</v>
      </c>
      <c r="D4216" t="s">
        <v>60</v>
      </c>
      <c r="E4216">
        <v>1216</v>
      </c>
      <c r="F4216">
        <v>8</v>
      </c>
      <c r="G4216">
        <v>3</v>
      </c>
      <c r="H4216">
        <v>5243.55</v>
      </c>
      <c r="I4216">
        <v>14511.37</v>
      </c>
      <c r="J4216">
        <v>32</v>
      </c>
      <c r="K4216">
        <v>0</v>
      </c>
      <c r="L4216">
        <v>13</v>
      </c>
      <c r="M4216">
        <v>47.6</v>
      </c>
      <c r="N4216" t="s">
        <v>46</v>
      </c>
      <c r="O4216" t="s">
        <v>47</v>
      </c>
      <c r="P4216" t="s">
        <v>58</v>
      </c>
      <c r="R4216">
        <f>SUMIF(A4216:A9215,"C04215",I4216:I9215)</f>
        <v>14511.37</v>
      </c>
      <c r="S4216" s="1">
        <v>45331.42</v>
      </c>
      <c r="T4216">
        <f t="shared" si="478"/>
        <v>453.4803125</v>
      </c>
      <c r="U4216">
        <f t="shared" si="477"/>
        <v>1523.2</v>
      </c>
      <c r="V4216">
        <f t="shared" si="472"/>
        <v>126.933333333333</v>
      </c>
      <c r="W4216">
        <f t="shared" si="475"/>
        <v>6585.30666666667</v>
      </c>
      <c r="X4216">
        <f t="shared" ref="X4216:X4279" si="479">E4216/H4216</f>
        <v>0.23190395819626</v>
      </c>
      <c r="AH4216" t="str">
        <f t="shared" si="476"/>
        <v>2nd Quality</v>
      </c>
      <c r="AJ4216">
        <f>((T4216-X4216)*2)/13</f>
        <v>69.7305243910467</v>
      </c>
      <c r="AK4216">
        <f t="shared" si="474"/>
        <v>551432.06</v>
      </c>
    </row>
    <row r="4217" spans="1:37">
      <c r="A4217" t="s">
        <v>4283</v>
      </c>
      <c r="B4217">
        <v>45</v>
      </c>
      <c r="C4217" t="s">
        <v>50</v>
      </c>
      <c r="D4217" t="s">
        <v>60</v>
      </c>
      <c r="E4217">
        <v>1051</v>
      </c>
      <c r="F4217">
        <v>15</v>
      </c>
      <c r="G4217">
        <v>23</v>
      </c>
      <c r="H4217">
        <v>3473.03</v>
      </c>
      <c r="I4217">
        <v>79767.21</v>
      </c>
      <c r="J4217">
        <v>172</v>
      </c>
      <c r="K4217">
        <v>2</v>
      </c>
      <c r="L4217">
        <v>2.1</v>
      </c>
      <c r="M4217">
        <v>28</v>
      </c>
      <c r="N4217" t="s">
        <v>81</v>
      </c>
      <c r="O4217" t="s">
        <v>47</v>
      </c>
      <c r="P4217" t="s">
        <v>66</v>
      </c>
      <c r="R4217">
        <f>SUMIF(A4217:A9216,"C04216",I4217:I9216)</f>
        <v>79767.21</v>
      </c>
      <c r="S4217" s="1">
        <v>1359.43</v>
      </c>
      <c r="T4217">
        <f t="shared" si="478"/>
        <v>463.762848837209</v>
      </c>
      <c r="U4217">
        <f t="shared" si="477"/>
        <v>4816</v>
      </c>
      <c r="V4217">
        <f>U4217*2</f>
        <v>9632</v>
      </c>
      <c r="W4217">
        <f t="shared" si="475"/>
        <v>27747.08</v>
      </c>
      <c r="X4217">
        <f t="shared" si="479"/>
        <v>0.302617599041759</v>
      </c>
      <c r="AH4217" t="str">
        <f t="shared" si="476"/>
        <v>3rd Quality</v>
      </c>
      <c r="AJ4217">
        <f>((T4217-X4217)*2)/2.1</f>
        <v>441.390696417302</v>
      </c>
      <c r="AK4217">
        <f t="shared" si="474"/>
        <v>487414.754127907</v>
      </c>
    </row>
    <row r="4218" spans="1:37">
      <c r="A4218" t="s">
        <v>4284</v>
      </c>
      <c r="B4218">
        <v>34</v>
      </c>
      <c r="C4218" t="s">
        <v>44</v>
      </c>
      <c r="D4218" t="s">
        <v>45</v>
      </c>
      <c r="E4218">
        <v>1003</v>
      </c>
      <c r="F4218">
        <v>105</v>
      </c>
      <c r="G4218">
        <v>4</v>
      </c>
      <c r="H4218">
        <v>602.07</v>
      </c>
      <c r="I4218">
        <v>2572.57</v>
      </c>
      <c r="J4218">
        <v>43</v>
      </c>
      <c r="K4218">
        <v>0</v>
      </c>
      <c r="L4218">
        <v>36.8</v>
      </c>
      <c r="M4218">
        <v>3.4</v>
      </c>
      <c r="N4218" t="s">
        <v>81</v>
      </c>
      <c r="O4218" t="s">
        <v>47</v>
      </c>
      <c r="P4218" t="s">
        <v>68</v>
      </c>
      <c r="R4218">
        <f>SUMIF(A4218:A9217,"C04217",I4218:I9217)</f>
        <v>2572.57</v>
      </c>
      <c r="S4218" s="1">
        <v>3168.04</v>
      </c>
      <c r="T4218">
        <f t="shared" si="478"/>
        <v>59.8272093023256</v>
      </c>
      <c r="U4218">
        <f t="shared" si="477"/>
        <v>146.2</v>
      </c>
      <c r="V4218">
        <f>U4218/12</f>
        <v>12.1833333333333</v>
      </c>
      <c r="W4218">
        <f t="shared" si="475"/>
        <v>1058.54666666667</v>
      </c>
      <c r="X4218">
        <f t="shared" si="479"/>
        <v>1.66591924527048</v>
      </c>
      <c r="AH4218" t="str">
        <f t="shared" si="476"/>
        <v>3rd Quality</v>
      </c>
      <c r="AJ4218">
        <f>((T4218-X4218)*2)/36.8</f>
        <v>3.16093967701387</v>
      </c>
      <c r="AK4218">
        <f t="shared" si="474"/>
        <v>60006.6909302326</v>
      </c>
    </row>
    <row r="4219" spans="1:37">
      <c r="A4219" t="s">
        <v>4285</v>
      </c>
      <c r="B4219">
        <v>38</v>
      </c>
      <c r="C4219" t="s">
        <v>44</v>
      </c>
      <c r="D4219" t="s">
        <v>60</v>
      </c>
      <c r="E4219">
        <v>557</v>
      </c>
      <c r="F4219">
        <v>1</v>
      </c>
      <c r="G4219">
        <v>24</v>
      </c>
      <c r="H4219">
        <v>1712.49</v>
      </c>
      <c r="I4219">
        <v>45331.42</v>
      </c>
      <c r="J4219">
        <v>82</v>
      </c>
      <c r="K4219">
        <v>1</v>
      </c>
      <c r="L4219">
        <v>11.7</v>
      </c>
      <c r="M4219">
        <v>23.3</v>
      </c>
      <c r="N4219" t="s">
        <v>78</v>
      </c>
      <c r="O4219" t="s">
        <v>47</v>
      </c>
      <c r="P4219" t="s">
        <v>58</v>
      </c>
      <c r="R4219">
        <f>SUMIF(A4219:A9218,"C04218",I4219:I9218)</f>
        <v>45331.42</v>
      </c>
      <c r="S4219" s="1">
        <v>136676.95</v>
      </c>
      <c r="T4219">
        <f t="shared" si="478"/>
        <v>552.822195121951</v>
      </c>
      <c r="U4219">
        <f t="shared" si="477"/>
        <v>1910.6</v>
      </c>
      <c r="V4219">
        <f>U4219*1</f>
        <v>1910.6</v>
      </c>
      <c r="W4219">
        <f t="shared" si="475"/>
        <v>15681.6366666667</v>
      </c>
      <c r="X4219">
        <f t="shared" si="479"/>
        <v>0.325257373765686</v>
      </c>
      <c r="AH4219" t="str">
        <f t="shared" si="476"/>
        <v>2nd Quality</v>
      </c>
      <c r="AJ4219">
        <f>((T4219-X4219)*2)/11.7</f>
        <v>94.4439209825958</v>
      </c>
      <c r="AK4219">
        <f t="shared" si="474"/>
        <v>307921.962682927</v>
      </c>
    </row>
    <row r="4220" spans="1:37">
      <c r="A4220" t="s">
        <v>4286</v>
      </c>
      <c r="B4220">
        <v>47</v>
      </c>
      <c r="C4220" t="s">
        <v>44</v>
      </c>
      <c r="D4220" t="s">
        <v>60</v>
      </c>
      <c r="E4220">
        <v>488</v>
      </c>
      <c r="F4220">
        <v>244</v>
      </c>
      <c r="G4220">
        <v>1</v>
      </c>
      <c r="H4220">
        <v>1449.57</v>
      </c>
      <c r="I4220">
        <v>1359.43</v>
      </c>
      <c r="J4220">
        <v>11</v>
      </c>
      <c r="K4220">
        <v>0</v>
      </c>
      <c r="L4220">
        <v>8</v>
      </c>
      <c r="M4220">
        <v>27.5</v>
      </c>
      <c r="N4220" t="s">
        <v>81</v>
      </c>
      <c r="O4220" t="s">
        <v>75</v>
      </c>
      <c r="P4220" t="s">
        <v>58</v>
      </c>
      <c r="R4220">
        <f>SUMIF(A4220:A9219,"C04219",I4220:I9219)</f>
        <v>1359.43</v>
      </c>
      <c r="S4220" s="1">
        <v>43833.23</v>
      </c>
      <c r="T4220">
        <f t="shared" si="478"/>
        <v>123.584545454545</v>
      </c>
      <c r="U4220">
        <f t="shared" si="477"/>
        <v>302.5</v>
      </c>
      <c r="V4220">
        <f>U4220/12</f>
        <v>25.2083333333333</v>
      </c>
      <c r="W4220">
        <f t="shared" si="475"/>
        <v>936.666666666667</v>
      </c>
      <c r="X4220">
        <f t="shared" si="479"/>
        <v>0.336651558738109</v>
      </c>
      <c r="AH4220" t="str">
        <f t="shared" si="476"/>
        <v>3rd Quality</v>
      </c>
      <c r="AJ4220">
        <f>((T4220-X4220)*2)/8</f>
        <v>30.8119734739517</v>
      </c>
      <c r="AK4220">
        <f t="shared" si="474"/>
        <v>60309.2581818182</v>
      </c>
    </row>
    <row r="4221" spans="1:37">
      <c r="A4221" t="s">
        <v>4287</v>
      </c>
      <c r="B4221">
        <v>20</v>
      </c>
      <c r="C4221" t="s">
        <v>44</v>
      </c>
      <c r="D4221" t="s">
        <v>60</v>
      </c>
      <c r="E4221">
        <v>825</v>
      </c>
      <c r="F4221">
        <v>44</v>
      </c>
      <c r="G4221">
        <v>3</v>
      </c>
      <c r="H4221">
        <v>945.35</v>
      </c>
      <c r="I4221">
        <v>3168.04</v>
      </c>
      <c r="J4221">
        <v>34</v>
      </c>
      <c r="K4221">
        <v>2</v>
      </c>
      <c r="L4221">
        <v>36.6</v>
      </c>
      <c r="M4221">
        <v>24.1</v>
      </c>
      <c r="N4221" t="s">
        <v>46</v>
      </c>
      <c r="O4221" t="s">
        <v>47</v>
      </c>
      <c r="P4221" t="s">
        <v>66</v>
      </c>
      <c r="R4221">
        <f>SUMIF(A4221:A9220,"C04220",I4221:I9220)</f>
        <v>3168.04</v>
      </c>
      <c r="S4221" s="1">
        <v>7949.76</v>
      </c>
      <c r="T4221">
        <f t="shared" si="478"/>
        <v>93.1776470588235</v>
      </c>
      <c r="U4221">
        <f t="shared" si="477"/>
        <v>819.4</v>
      </c>
      <c r="V4221">
        <f>U4221*2</f>
        <v>1638.8</v>
      </c>
      <c r="W4221">
        <f t="shared" si="475"/>
        <v>1371.46333333333</v>
      </c>
      <c r="X4221">
        <f t="shared" si="479"/>
        <v>0.872692653514571</v>
      </c>
      <c r="AH4221" t="str">
        <f t="shared" si="476"/>
        <v>3rd Quality</v>
      </c>
      <c r="AJ4221">
        <f>((T4221-X4221)*2)/36.6</f>
        <v>5.04398657952508</v>
      </c>
      <c r="AK4221">
        <f t="shared" si="474"/>
        <v>76871.5588235294</v>
      </c>
    </row>
    <row r="4222" spans="1:37">
      <c r="A4222" t="s">
        <v>4288</v>
      </c>
      <c r="B4222">
        <v>29</v>
      </c>
      <c r="C4222" t="s">
        <v>44</v>
      </c>
      <c r="D4222" t="s">
        <v>45</v>
      </c>
      <c r="E4222">
        <v>639</v>
      </c>
      <c r="F4222">
        <v>7</v>
      </c>
      <c r="G4222">
        <v>37</v>
      </c>
      <c r="H4222">
        <v>3746.71</v>
      </c>
      <c r="I4222">
        <v>136676.95</v>
      </c>
      <c r="J4222">
        <v>309</v>
      </c>
      <c r="K4222">
        <v>1</v>
      </c>
      <c r="L4222">
        <v>2.9</v>
      </c>
      <c r="M4222">
        <v>38</v>
      </c>
      <c r="N4222" t="s">
        <v>52</v>
      </c>
      <c r="O4222" t="s">
        <v>47</v>
      </c>
      <c r="P4222" t="s">
        <v>68</v>
      </c>
      <c r="R4222">
        <f>SUMIF(A4222:A9221,"C04221",I4222:I9221)</f>
        <v>136676.95</v>
      </c>
      <c r="S4222" s="1">
        <v>59549.97</v>
      </c>
      <c r="T4222">
        <f t="shared" si="478"/>
        <v>442.320226537217</v>
      </c>
      <c r="U4222">
        <f t="shared" si="477"/>
        <v>11742</v>
      </c>
      <c r="V4222">
        <f>U4222*1</f>
        <v>11742</v>
      </c>
      <c r="W4222">
        <f t="shared" si="475"/>
        <v>46808.22</v>
      </c>
      <c r="X4222">
        <f t="shared" si="479"/>
        <v>0.170549628874399</v>
      </c>
      <c r="AH4222" t="str">
        <f t="shared" si="476"/>
        <v>2nd Quality</v>
      </c>
      <c r="AJ4222">
        <f>((T4222-X4222)*2)/2.9</f>
        <v>304.930811660926</v>
      </c>
      <c r="AK4222">
        <f t="shared" si="474"/>
        <v>282642.624757282</v>
      </c>
    </row>
    <row r="4223" spans="1:37">
      <c r="A4223" t="s">
        <v>4289</v>
      </c>
      <c r="B4223">
        <v>45</v>
      </c>
      <c r="C4223" t="s">
        <v>50</v>
      </c>
      <c r="D4223" t="s">
        <v>45</v>
      </c>
      <c r="E4223">
        <v>1027</v>
      </c>
      <c r="F4223">
        <v>27</v>
      </c>
      <c r="G4223">
        <v>13</v>
      </c>
      <c r="H4223">
        <v>3165.09</v>
      </c>
      <c r="I4223">
        <v>43833.23</v>
      </c>
      <c r="J4223">
        <v>75</v>
      </c>
      <c r="K4223">
        <v>1</v>
      </c>
      <c r="L4223">
        <v>1.8</v>
      </c>
      <c r="M4223">
        <v>36</v>
      </c>
      <c r="N4223" t="s">
        <v>46</v>
      </c>
      <c r="O4223" t="s">
        <v>47</v>
      </c>
      <c r="P4223" t="s">
        <v>48</v>
      </c>
      <c r="R4223">
        <f>SUMIF(A4223:A9222,"C04222",I4223:I9222)</f>
        <v>43833.23</v>
      </c>
      <c r="S4223" s="1">
        <v>84856.75</v>
      </c>
      <c r="T4223">
        <f t="shared" si="478"/>
        <v>584.443066666667</v>
      </c>
      <c r="U4223">
        <f t="shared" si="477"/>
        <v>2700</v>
      </c>
      <c r="V4223">
        <f>U4223*1</f>
        <v>2700</v>
      </c>
      <c r="W4223">
        <f t="shared" si="475"/>
        <v>15666.44</v>
      </c>
      <c r="X4223">
        <f t="shared" si="479"/>
        <v>0.324477345036002</v>
      </c>
      <c r="AH4223" t="str">
        <f t="shared" si="476"/>
        <v>3rd Quality</v>
      </c>
      <c r="AJ4223">
        <f>((T4223-X4223)*2)/1.8</f>
        <v>649.020654801812</v>
      </c>
      <c r="AK4223">
        <f t="shared" si="474"/>
        <v>600223.029466667</v>
      </c>
    </row>
    <row r="4224" spans="1:37">
      <c r="A4224" t="s">
        <v>4290</v>
      </c>
      <c r="B4224">
        <v>33</v>
      </c>
      <c r="C4224" t="s">
        <v>50</v>
      </c>
      <c r="D4224" t="s">
        <v>60</v>
      </c>
      <c r="E4224">
        <v>713</v>
      </c>
      <c r="F4224">
        <v>7</v>
      </c>
      <c r="G4224">
        <v>6</v>
      </c>
      <c r="H4224">
        <v>1319.14</v>
      </c>
      <c r="I4224">
        <v>7949.76</v>
      </c>
      <c r="J4224">
        <v>59</v>
      </c>
      <c r="K4224">
        <v>0</v>
      </c>
      <c r="L4224">
        <v>32.9</v>
      </c>
      <c r="M4224">
        <v>40.9</v>
      </c>
      <c r="N4224" t="s">
        <v>52</v>
      </c>
      <c r="O4224" t="s">
        <v>75</v>
      </c>
      <c r="P4224" t="s">
        <v>58</v>
      </c>
      <c r="R4224">
        <f>SUMIF(A4224:A9223,"C04223",I4224:I9223)</f>
        <v>7949.76</v>
      </c>
      <c r="S4224" s="1">
        <v>2921.06</v>
      </c>
      <c r="T4224">
        <f t="shared" si="478"/>
        <v>134.741694915254</v>
      </c>
      <c r="U4224">
        <f t="shared" si="477"/>
        <v>2413.1</v>
      </c>
      <c r="V4224">
        <f>U4224/12</f>
        <v>201.091666666667</v>
      </c>
      <c r="W4224">
        <f t="shared" si="475"/>
        <v>3089.96666666667</v>
      </c>
      <c r="X4224">
        <f t="shared" si="479"/>
        <v>0.540503661476416</v>
      </c>
      <c r="AH4224" t="str">
        <f t="shared" si="476"/>
        <v>3rd Quality</v>
      </c>
      <c r="AJ4224">
        <f>((T4224-X4224)*2)/32.9</f>
        <v>8.15812712788921</v>
      </c>
      <c r="AK4224">
        <f t="shared" si="474"/>
        <v>96070.8284745763</v>
      </c>
    </row>
    <row r="4225" spans="1:37">
      <c r="A4225" t="s">
        <v>4291</v>
      </c>
      <c r="B4225">
        <v>36</v>
      </c>
      <c r="C4225" t="s">
        <v>101</v>
      </c>
      <c r="D4225" t="s">
        <v>45</v>
      </c>
      <c r="E4225">
        <v>490</v>
      </c>
      <c r="F4225">
        <v>16</v>
      </c>
      <c r="G4225">
        <v>24</v>
      </c>
      <c r="H4225">
        <v>2607.93</v>
      </c>
      <c r="I4225">
        <v>59549.97</v>
      </c>
      <c r="J4225">
        <v>149</v>
      </c>
      <c r="K4225">
        <v>2</v>
      </c>
      <c r="L4225">
        <v>10.7</v>
      </c>
      <c r="M4225">
        <v>60</v>
      </c>
      <c r="N4225" t="s">
        <v>63</v>
      </c>
      <c r="O4225" t="s">
        <v>75</v>
      </c>
      <c r="P4225" t="s">
        <v>48</v>
      </c>
      <c r="R4225">
        <f>SUMIF(A4225:A9224,"C04224",I4225:I9224)</f>
        <v>59549.97</v>
      </c>
      <c r="S4225" s="1">
        <v>19109.71</v>
      </c>
      <c r="T4225">
        <f t="shared" si="478"/>
        <v>399.664228187919</v>
      </c>
      <c r="U4225">
        <f t="shared" si="477"/>
        <v>8940</v>
      </c>
      <c r="V4225">
        <f>U4225*2</f>
        <v>17880</v>
      </c>
      <c r="W4225">
        <f t="shared" si="475"/>
        <v>20719.6333333333</v>
      </c>
      <c r="X4225">
        <f t="shared" si="479"/>
        <v>0.187888478601803</v>
      </c>
      <c r="AH4225" t="str">
        <f t="shared" si="476"/>
        <v>2nd Quality</v>
      </c>
      <c r="AJ4225">
        <f>((T4225-X4225)*2)/10.7</f>
        <v>74.6684747120219</v>
      </c>
      <c r="AK4225">
        <f t="shared" si="474"/>
        <v>195835.471812081</v>
      </c>
    </row>
    <row r="4226" spans="1:37">
      <c r="A4226" t="s">
        <v>4292</v>
      </c>
      <c r="B4226">
        <v>28</v>
      </c>
      <c r="C4226" t="s">
        <v>50</v>
      </c>
      <c r="D4226" t="s">
        <v>45</v>
      </c>
      <c r="E4226">
        <v>407</v>
      </c>
      <c r="F4226">
        <v>4</v>
      </c>
      <c r="G4226">
        <v>23</v>
      </c>
      <c r="H4226">
        <v>4071.6</v>
      </c>
      <c r="I4226">
        <v>84856.75</v>
      </c>
      <c r="J4226">
        <v>167</v>
      </c>
      <c r="K4226">
        <v>1</v>
      </c>
      <c r="L4226">
        <v>1.8</v>
      </c>
      <c r="M4226">
        <v>18.9</v>
      </c>
      <c r="N4226" t="s">
        <v>57</v>
      </c>
      <c r="O4226" t="s">
        <v>53</v>
      </c>
      <c r="P4226" t="s">
        <v>58</v>
      </c>
      <c r="R4226">
        <f>SUMIF(A4226:A9225,"C04225",I4226:I9225)</f>
        <v>84856.75</v>
      </c>
      <c r="S4226" s="1">
        <v>110594.61</v>
      </c>
      <c r="T4226">
        <f t="shared" si="478"/>
        <v>508.124251497006</v>
      </c>
      <c r="U4226">
        <f t="shared" si="477"/>
        <v>3156.3</v>
      </c>
      <c r="V4226">
        <f>U4226*1</f>
        <v>3156.3</v>
      </c>
      <c r="W4226">
        <f t="shared" si="475"/>
        <v>29643.1166666667</v>
      </c>
      <c r="X4226">
        <f t="shared" si="479"/>
        <v>0.0999607034089793</v>
      </c>
      <c r="AH4226" t="str">
        <f t="shared" si="476"/>
        <v>3rd Quality</v>
      </c>
      <c r="AJ4226">
        <f>((T4226-X4226)*2)/1.8</f>
        <v>564.471434215108</v>
      </c>
      <c r="AK4226">
        <f t="shared" si="474"/>
        <v>206806.570359281</v>
      </c>
    </row>
    <row r="4227" spans="1:37">
      <c r="A4227" t="s">
        <v>4293</v>
      </c>
      <c r="B4227">
        <v>39</v>
      </c>
      <c r="C4227" t="s">
        <v>50</v>
      </c>
      <c r="D4227" t="s">
        <v>51</v>
      </c>
      <c r="E4227">
        <v>1424</v>
      </c>
      <c r="F4227">
        <v>72</v>
      </c>
      <c r="G4227">
        <v>2</v>
      </c>
      <c r="H4227">
        <v>1589.53</v>
      </c>
      <c r="I4227">
        <v>2921.06</v>
      </c>
      <c r="J4227">
        <v>13</v>
      </c>
      <c r="K4227">
        <v>0</v>
      </c>
      <c r="L4227">
        <v>13.3</v>
      </c>
      <c r="M4227">
        <v>7.7</v>
      </c>
      <c r="N4227" t="s">
        <v>46</v>
      </c>
      <c r="O4227" t="s">
        <v>53</v>
      </c>
      <c r="P4227" t="s">
        <v>58</v>
      </c>
      <c r="R4227">
        <f>SUMIF(A4227:A9226,"C04226",I4227:I9226)</f>
        <v>2921.06</v>
      </c>
      <c r="S4227" s="1">
        <v>37885.04</v>
      </c>
      <c r="T4227">
        <f t="shared" si="478"/>
        <v>224.696923076923</v>
      </c>
      <c r="U4227">
        <f t="shared" si="477"/>
        <v>100.1</v>
      </c>
      <c r="V4227">
        <f>U4227/12</f>
        <v>8.34166666666667</v>
      </c>
      <c r="W4227">
        <f t="shared" si="475"/>
        <v>1503.86333333333</v>
      </c>
      <c r="X4227">
        <f t="shared" si="479"/>
        <v>0.895862298918548</v>
      </c>
      <c r="AH4227" t="str">
        <f t="shared" si="476"/>
        <v>3rd Quality</v>
      </c>
      <c r="AJ4227">
        <f>((T4227-X4227)*2)/13.3</f>
        <v>33.6542948538353</v>
      </c>
      <c r="AK4227">
        <f t="shared" ref="AK4227:AK4290" si="480">I4227/J4227*E4227</f>
        <v>319968.418461538</v>
      </c>
    </row>
    <row r="4228" spans="1:37">
      <c r="A4228" t="s">
        <v>4294</v>
      </c>
      <c r="B4228">
        <v>34</v>
      </c>
      <c r="C4228" t="s">
        <v>101</v>
      </c>
      <c r="D4228" t="s">
        <v>60</v>
      </c>
      <c r="E4228">
        <v>487</v>
      </c>
      <c r="F4228">
        <v>16</v>
      </c>
      <c r="G4228">
        <v>2</v>
      </c>
      <c r="H4228">
        <v>9228.4</v>
      </c>
      <c r="I4228">
        <v>19109.71</v>
      </c>
      <c r="J4228">
        <v>22</v>
      </c>
      <c r="K4228">
        <v>0</v>
      </c>
      <c r="L4228">
        <v>13.5</v>
      </c>
      <c r="M4228">
        <v>18</v>
      </c>
      <c r="N4228" t="s">
        <v>81</v>
      </c>
      <c r="O4228" t="s">
        <v>47</v>
      </c>
      <c r="P4228" t="s">
        <v>58</v>
      </c>
      <c r="R4228">
        <f>SUMIF(A4228:A9227,"C04227",I4228:I9227)</f>
        <v>19109.71</v>
      </c>
      <c r="S4228" s="1">
        <v>12965.03</v>
      </c>
      <c r="T4228">
        <f t="shared" si="478"/>
        <v>868.623181818182</v>
      </c>
      <c r="U4228">
        <f t="shared" si="477"/>
        <v>396</v>
      </c>
      <c r="V4228">
        <f>U4228/12</f>
        <v>33</v>
      </c>
      <c r="W4228">
        <f t="shared" si="475"/>
        <v>9446.37</v>
      </c>
      <c r="X4228">
        <f t="shared" si="479"/>
        <v>0.0527718781153829</v>
      </c>
      <c r="AH4228" t="str">
        <f t="shared" si="476"/>
        <v>2nd Quality</v>
      </c>
      <c r="AJ4228">
        <f>((T4228-X4228)*2)/13.5</f>
        <v>128.677097768899</v>
      </c>
      <c r="AK4228">
        <f t="shared" si="480"/>
        <v>423019.489545455</v>
      </c>
    </row>
    <row r="4229" spans="1:37">
      <c r="A4229" t="s">
        <v>4295</v>
      </c>
      <c r="B4229">
        <v>29</v>
      </c>
      <c r="C4229" t="s">
        <v>44</v>
      </c>
      <c r="D4229" t="s">
        <v>60</v>
      </c>
      <c r="E4229">
        <v>1383</v>
      </c>
      <c r="F4229">
        <v>3</v>
      </c>
      <c r="G4229">
        <v>23</v>
      </c>
      <c r="H4229">
        <v>4747.09</v>
      </c>
      <c r="I4229">
        <v>110594.61</v>
      </c>
      <c r="J4229">
        <v>84</v>
      </c>
      <c r="K4229">
        <v>6</v>
      </c>
      <c r="L4229">
        <v>0.7</v>
      </c>
      <c r="M4229">
        <v>64.6</v>
      </c>
      <c r="N4229" t="s">
        <v>78</v>
      </c>
      <c r="O4229" t="s">
        <v>75</v>
      </c>
      <c r="P4229" t="s">
        <v>66</v>
      </c>
      <c r="R4229">
        <f>SUMIF(A4229:A9228,"C04228",I4229:I9228)</f>
        <v>110594.61</v>
      </c>
      <c r="S4229" s="1">
        <v>1503.98</v>
      </c>
      <c r="T4229">
        <f t="shared" si="478"/>
        <v>1316.6025</v>
      </c>
      <c r="U4229">
        <f t="shared" si="477"/>
        <v>5426.4</v>
      </c>
      <c r="V4229">
        <f>U4229*6</f>
        <v>32558.4</v>
      </c>
      <c r="W4229">
        <f t="shared" si="475"/>
        <v>38447.5666666667</v>
      </c>
      <c r="X4229">
        <f t="shared" si="479"/>
        <v>0.291336376601244</v>
      </c>
      <c r="AH4229" t="str">
        <f t="shared" si="476"/>
        <v>1st Quality</v>
      </c>
      <c r="AJ4229">
        <f>((T4229-X4229)*2)/0.7</f>
        <v>3760.889038924</v>
      </c>
      <c r="AK4229">
        <f t="shared" si="480"/>
        <v>1820861.2575</v>
      </c>
    </row>
    <row r="4230" spans="1:37">
      <c r="A4230" t="s">
        <v>4296</v>
      </c>
      <c r="B4230">
        <v>40</v>
      </c>
      <c r="C4230" t="s">
        <v>44</v>
      </c>
      <c r="D4230" t="s">
        <v>60</v>
      </c>
      <c r="E4230">
        <v>981</v>
      </c>
      <c r="F4230">
        <v>108</v>
      </c>
      <c r="G4230">
        <v>3</v>
      </c>
      <c r="H4230">
        <v>12835.49</v>
      </c>
      <c r="I4230">
        <v>37885.04</v>
      </c>
      <c r="J4230">
        <v>26</v>
      </c>
      <c r="K4230">
        <v>0</v>
      </c>
      <c r="L4230">
        <v>5.1</v>
      </c>
      <c r="M4230">
        <v>28.6</v>
      </c>
      <c r="N4230" t="s">
        <v>46</v>
      </c>
      <c r="O4230" t="s">
        <v>53</v>
      </c>
      <c r="P4230" t="s">
        <v>58</v>
      </c>
      <c r="R4230">
        <f>SUMIF(A4230:A9229,"C04229",I4230:I9229)</f>
        <v>37885.04</v>
      </c>
      <c r="S4230" s="1">
        <v>56652.72</v>
      </c>
      <c r="T4230">
        <f t="shared" si="478"/>
        <v>1457.11692307692</v>
      </c>
      <c r="U4230">
        <f t="shared" si="477"/>
        <v>743.6</v>
      </c>
      <c r="V4230">
        <f>U4230/12</f>
        <v>61.9666666666667</v>
      </c>
      <c r="W4230">
        <f t="shared" si="475"/>
        <v>16907.1766666667</v>
      </c>
      <c r="X4230">
        <f t="shared" si="479"/>
        <v>0.0764287144472085</v>
      </c>
      <c r="AH4230" t="str">
        <f t="shared" si="476"/>
        <v>2nd Quality</v>
      </c>
      <c r="AJ4230">
        <f>((T4230-X4230)*2)/5.1</f>
        <v>571.388429161754</v>
      </c>
      <c r="AK4230">
        <f t="shared" si="480"/>
        <v>1429431.70153846</v>
      </c>
    </row>
    <row r="4231" spans="1:37">
      <c r="A4231" t="s">
        <v>4297</v>
      </c>
      <c r="B4231">
        <v>27</v>
      </c>
      <c r="C4231" t="s">
        <v>50</v>
      </c>
      <c r="D4231" t="s">
        <v>45</v>
      </c>
      <c r="E4231">
        <v>1316</v>
      </c>
      <c r="F4231">
        <v>6</v>
      </c>
      <c r="G4231">
        <v>10</v>
      </c>
      <c r="H4231">
        <v>1258.42</v>
      </c>
      <c r="I4231">
        <v>12965.03</v>
      </c>
      <c r="J4231">
        <v>40</v>
      </c>
      <c r="K4231">
        <v>1</v>
      </c>
      <c r="L4231">
        <v>21.1</v>
      </c>
      <c r="M4231">
        <v>37.1</v>
      </c>
      <c r="N4231" t="s">
        <v>52</v>
      </c>
      <c r="O4231" t="s">
        <v>47</v>
      </c>
      <c r="P4231" t="s">
        <v>68</v>
      </c>
      <c r="R4231">
        <f>SUMIF(A4231:A9230,"C04230",I4231:I9230)</f>
        <v>12965.03</v>
      </c>
      <c r="S4231" s="1">
        <v>1115.26</v>
      </c>
      <c r="T4231">
        <f t="shared" si="478"/>
        <v>324.12575</v>
      </c>
      <c r="U4231">
        <f t="shared" si="477"/>
        <v>1484</v>
      </c>
      <c r="V4231">
        <f>U4231*1</f>
        <v>1484</v>
      </c>
      <c r="W4231">
        <f t="shared" si="475"/>
        <v>4741.48333333333</v>
      </c>
      <c r="X4231">
        <f t="shared" si="479"/>
        <v>1.04575578900526</v>
      </c>
      <c r="AH4231" t="str">
        <f t="shared" si="476"/>
        <v>3rd Quality</v>
      </c>
      <c r="AJ4231">
        <f>((T4231-X4231)*2)/21.1</f>
        <v>30.6236961337436</v>
      </c>
      <c r="AK4231">
        <f t="shared" si="480"/>
        <v>426549.487</v>
      </c>
    </row>
    <row r="4232" spans="1:37">
      <c r="A4232" t="s">
        <v>4298</v>
      </c>
      <c r="B4232">
        <v>39</v>
      </c>
      <c r="C4232" t="s">
        <v>44</v>
      </c>
      <c r="D4232" t="s">
        <v>60</v>
      </c>
      <c r="E4232">
        <v>1363</v>
      </c>
      <c r="F4232">
        <v>60</v>
      </c>
      <c r="G4232">
        <v>1</v>
      </c>
      <c r="H4232">
        <v>1501.32</v>
      </c>
      <c r="I4232">
        <v>1503.98</v>
      </c>
      <c r="J4232">
        <v>13</v>
      </c>
      <c r="K4232">
        <v>0</v>
      </c>
      <c r="L4232">
        <v>36.1</v>
      </c>
      <c r="M4232">
        <v>15.4</v>
      </c>
      <c r="N4232" t="s">
        <v>52</v>
      </c>
      <c r="O4232" t="s">
        <v>53</v>
      </c>
      <c r="P4232" t="s">
        <v>58</v>
      </c>
      <c r="R4232">
        <f>SUMIF(A4232:A9231,"C04231",I4232:I9231)</f>
        <v>1503.98</v>
      </c>
      <c r="S4232" s="1">
        <v>5073.8</v>
      </c>
      <c r="T4232">
        <f t="shared" si="478"/>
        <v>115.690769230769</v>
      </c>
      <c r="U4232">
        <f t="shared" si="477"/>
        <v>200.2</v>
      </c>
      <c r="V4232">
        <f>U4232/12</f>
        <v>16.6833333333333</v>
      </c>
      <c r="W4232">
        <f t="shared" si="475"/>
        <v>1002.1</v>
      </c>
      <c r="X4232">
        <f t="shared" si="479"/>
        <v>0.90786774305278</v>
      </c>
      <c r="AH4232" t="str">
        <f t="shared" si="476"/>
        <v>3rd Quality</v>
      </c>
      <c r="AJ4232">
        <f>((T4232-X4232)*2)/36.1</f>
        <v>6.359163517325</v>
      </c>
      <c r="AK4232">
        <f t="shared" si="480"/>
        <v>157686.518461538</v>
      </c>
    </row>
    <row r="4233" spans="1:37">
      <c r="A4233" t="s">
        <v>4299</v>
      </c>
      <c r="B4233">
        <v>38</v>
      </c>
      <c r="C4233" t="s">
        <v>50</v>
      </c>
      <c r="D4233" t="s">
        <v>45</v>
      </c>
      <c r="E4233">
        <v>510</v>
      </c>
      <c r="F4233">
        <v>1</v>
      </c>
      <c r="G4233">
        <v>22</v>
      </c>
      <c r="H4233">
        <v>2817.68</v>
      </c>
      <c r="I4233">
        <v>56652.72</v>
      </c>
      <c r="J4233">
        <v>114</v>
      </c>
      <c r="K4233">
        <v>0</v>
      </c>
      <c r="L4233">
        <v>0</v>
      </c>
      <c r="M4233">
        <v>44.5</v>
      </c>
      <c r="N4233" t="s">
        <v>46</v>
      </c>
      <c r="O4233" t="s">
        <v>47</v>
      </c>
      <c r="P4233" t="s">
        <v>58</v>
      </c>
      <c r="R4233">
        <f>SUMIF(A4233:A9232,"C04232",I4233:I9232)</f>
        <v>56652.72</v>
      </c>
      <c r="S4233" s="1">
        <v>55345.42</v>
      </c>
      <c r="T4233">
        <f t="shared" si="478"/>
        <v>496.953684210526</v>
      </c>
      <c r="U4233">
        <f t="shared" si="477"/>
        <v>5073</v>
      </c>
      <c r="V4233">
        <f>U4233/12</f>
        <v>422.75</v>
      </c>
      <c r="W4233">
        <f t="shared" ref="W4233:W4296" si="481">(H4233+I4233+1)/3</f>
        <v>19823.8</v>
      </c>
      <c r="X4233">
        <f t="shared" si="479"/>
        <v>0.180999971607848</v>
      </c>
      <c r="AH4233" t="str">
        <f t="shared" si="476"/>
        <v>2nd Quality</v>
      </c>
      <c r="AJ4233">
        <f>((T4233-X4233)*2)</f>
        <v>993.545368477836</v>
      </c>
      <c r="AK4233">
        <f t="shared" si="480"/>
        <v>253446.378947368</v>
      </c>
    </row>
    <row r="4234" spans="1:37">
      <c r="A4234" t="s">
        <v>4300</v>
      </c>
      <c r="B4234">
        <v>37</v>
      </c>
      <c r="C4234" t="s">
        <v>50</v>
      </c>
      <c r="D4234" t="s">
        <v>60</v>
      </c>
      <c r="E4234">
        <v>960</v>
      </c>
      <c r="F4234">
        <v>43</v>
      </c>
      <c r="G4234">
        <v>3</v>
      </c>
      <c r="H4234">
        <v>394.32</v>
      </c>
      <c r="I4234">
        <v>1115.26</v>
      </c>
      <c r="J4234">
        <v>22</v>
      </c>
      <c r="K4234">
        <v>1</v>
      </c>
      <c r="L4234">
        <v>19.1</v>
      </c>
      <c r="M4234">
        <v>23.9</v>
      </c>
      <c r="N4234" t="s">
        <v>46</v>
      </c>
      <c r="O4234" t="s">
        <v>47</v>
      </c>
      <c r="P4234" t="s">
        <v>58</v>
      </c>
      <c r="R4234">
        <f>SUMIF(A4234:A9233,"C04233",I4234:I9233)</f>
        <v>1115.26</v>
      </c>
      <c r="S4234" s="1">
        <v>111677.97</v>
      </c>
      <c r="T4234">
        <f t="shared" si="478"/>
        <v>50.6936363636364</v>
      </c>
      <c r="U4234">
        <f t="shared" si="477"/>
        <v>525.8</v>
      </c>
      <c r="V4234">
        <f>U4234*1</f>
        <v>525.8</v>
      </c>
      <c r="W4234">
        <f t="shared" si="481"/>
        <v>503.526666666667</v>
      </c>
      <c r="X4234">
        <f t="shared" si="479"/>
        <v>2.43457090687766</v>
      </c>
      <c r="AH4234" t="str">
        <f t="shared" si="476"/>
        <v>3rd Quality</v>
      </c>
      <c r="AJ4234">
        <f>((T4234-X4234)*2)/19.1</f>
        <v>5.05330528343023</v>
      </c>
      <c r="AK4234">
        <f t="shared" si="480"/>
        <v>48665.8909090909</v>
      </c>
    </row>
    <row r="4235" spans="1:37">
      <c r="A4235" t="s">
        <v>4301</v>
      </c>
      <c r="B4235">
        <v>43</v>
      </c>
      <c r="C4235" t="s">
        <v>50</v>
      </c>
      <c r="D4235" t="s">
        <v>45</v>
      </c>
      <c r="E4235">
        <v>1100</v>
      </c>
      <c r="F4235">
        <v>94</v>
      </c>
      <c r="G4235">
        <v>4</v>
      </c>
      <c r="H4235">
        <v>1289.56</v>
      </c>
      <c r="I4235">
        <v>5073.8</v>
      </c>
      <c r="J4235">
        <v>33</v>
      </c>
      <c r="K4235">
        <v>0</v>
      </c>
      <c r="L4235">
        <v>25.1</v>
      </c>
      <c r="M4235">
        <v>49.6</v>
      </c>
      <c r="N4235" t="s">
        <v>52</v>
      </c>
      <c r="O4235" t="s">
        <v>53</v>
      </c>
      <c r="P4235" t="s">
        <v>58</v>
      </c>
      <c r="R4235">
        <f>SUMIF(A4235:A9234,"C04234",I4235:I9234)</f>
        <v>5073.8</v>
      </c>
      <c r="S4235" s="1">
        <v>7584.8</v>
      </c>
      <c r="T4235">
        <f t="shared" si="478"/>
        <v>153.751515151515</v>
      </c>
      <c r="U4235">
        <f t="shared" si="477"/>
        <v>1636.8</v>
      </c>
      <c r="V4235">
        <f>U4235/12</f>
        <v>136.4</v>
      </c>
      <c r="W4235">
        <f t="shared" si="481"/>
        <v>2121.45333333333</v>
      </c>
      <c r="X4235">
        <f t="shared" si="479"/>
        <v>0.853004125438134</v>
      </c>
      <c r="AH4235" t="str">
        <f t="shared" si="476"/>
        <v>3rd Quality</v>
      </c>
      <c r="AJ4235">
        <f>((T4235-X4235)*2)/25.1</f>
        <v>12.1831482889304</v>
      </c>
      <c r="AK4235">
        <f t="shared" si="480"/>
        <v>169126.666666667</v>
      </c>
    </row>
    <row r="4236" spans="1:37">
      <c r="A4236" t="s">
        <v>4302</v>
      </c>
      <c r="B4236">
        <v>59</v>
      </c>
      <c r="C4236" t="s">
        <v>50</v>
      </c>
      <c r="D4236" t="s">
        <v>60</v>
      </c>
      <c r="E4236">
        <v>1058</v>
      </c>
      <c r="F4236">
        <v>11</v>
      </c>
      <c r="G4236">
        <v>23</v>
      </c>
      <c r="H4236">
        <v>2466.81</v>
      </c>
      <c r="I4236">
        <v>55345.42</v>
      </c>
      <c r="J4236">
        <v>188</v>
      </c>
      <c r="K4236">
        <v>1</v>
      </c>
      <c r="L4236">
        <v>4.6</v>
      </c>
      <c r="M4236">
        <v>34</v>
      </c>
      <c r="N4236" t="s">
        <v>63</v>
      </c>
      <c r="O4236" t="s">
        <v>75</v>
      </c>
      <c r="P4236" t="s">
        <v>68</v>
      </c>
      <c r="R4236">
        <f>SUMIF(A4236:A9235,"C04235",I4236:I9235)</f>
        <v>55345.42</v>
      </c>
      <c r="S4236" s="1">
        <v>2908.4</v>
      </c>
      <c r="T4236">
        <f t="shared" si="478"/>
        <v>294.390531914894</v>
      </c>
      <c r="U4236">
        <f t="shared" si="477"/>
        <v>6392</v>
      </c>
      <c r="V4236">
        <f>U4236*1</f>
        <v>6392</v>
      </c>
      <c r="W4236">
        <f t="shared" si="481"/>
        <v>19271.0766666667</v>
      </c>
      <c r="X4236">
        <f t="shared" si="479"/>
        <v>0.428893996700192</v>
      </c>
      <c r="AH4236" t="str">
        <f t="shared" si="476"/>
        <v>3rd Quality</v>
      </c>
      <c r="AJ4236">
        <f>((T4236-X4236)*2)/4.6</f>
        <v>127.809407790519</v>
      </c>
      <c r="AK4236">
        <f t="shared" si="480"/>
        <v>311465.182765957</v>
      </c>
    </row>
    <row r="4237" spans="1:37">
      <c r="A4237" t="s">
        <v>4303</v>
      </c>
      <c r="B4237">
        <v>21</v>
      </c>
      <c r="C4237" t="s">
        <v>50</v>
      </c>
      <c r="D4237" t="s">
        <v>60</v>
      </c>
      <c r="E4237">
        <v>1341</v>
      </c>
      <c r="F4237">
        <v>12</v>
      </c>
      <c r="G4237">
        <v>23</v>
      </c>
      <c r="H4237">
        <v>4427.81</v>
      </c>
      <c r="I4237">
        <v>111677.97</v>
      </c>
      <c r="J4237">
        <v>120</v>
      </c>
      <c r="K4237">
        <v>4</v>
      </c>
      <c r="L4237">
        <v>9.3</v>
      </c>
      <c r="M4237">
        <v>26.5</v>
      </c>
      <c r="N4237" t="s">
        <v>52</v>
      </c>
      <c r="O4237" t="s">
        <v>47</v>
      </c>
      <c r="P4237" t="s">
        <v>58</v>
      </c>
      <c r="R4237">
        <f>SUMIF(A4237:A9236,"C04236",I4237:I9236)</f>
        <v>111677.97</v>
      </c>
      <c r="S4237" s="1">
        <v>109639.07</v>
      </c>
      <c r="T4237">
        <f t="shared" si="478"/>
        <v>930.64975</v>
      </c>
      <c r="U4237">
        <f t="shared" si="477"/>
        <v>3180</v>
      </c>
      <c r="V4237">
        <f>U4237*4</f>
        <v>12720</v>
      </c>
      <c r="W4237">
        <f t="shared" si="481"/>
        <v>38702.26</v>
      </c>
      <c r="X4237">
        <f t="shared" si="479"/>
        <v>0.302858523739727</v>
      </c>
      <c r="AH4237" t="str">
        <f t="shared" si="476"/>
        <v>1st Quality</v>
      </c>
      <c r="AJ4237">
        <f>((T4237-X4237)*2)/9.3</f>
        <v>200.074600317475</v>
      </c>
      <c r="AK4237">
        <f t="shared" si="480"/>
        <v>1248001.31475</v>
      </c>
    </row>
    <row r="4238" spans="1:37">
      <c r="A4238" t="s">
        <v>4304</v>
      </c>
      <c r="B4238">
        <v>25</v>
      </c>
      <c r="C4238" t="s">
        <v>44</v>
      </c>
      <c r="D4238" t="s">
        <v>60</v>
      </c>
      <c r="E4238">
        <v>553</v>
      </c>
      <c r="F4238">
        <v>45</v>
      </c>
      <c r="G4238">
        <v>5</v>
      </c>
      <c r="H4238">
        <v>1371.5</v>
      </c>
      <c r="I4238">
        <v>7584.8</v>
      </c>
      <c r="J4238">
        <v>31</v>
      </c>
      <c r="K4238">
        <v>1</v>
      </c>
      <c r="L4238">
        <v>18.8</v>
      </c>
      <c r="M4238">
        <v>9.9</v>
      </c>
      <c r="N4238" t="s">
        <v>46</v>
      </c>
      <c r="O4238" t="s">
        <v>47</v>
      </c>
      <c r="P4238" t="s">
        <v>48</v>
      </c>
      <c r="R4238">
        <f>SUMIF(A4238:A9237,"C04237",I4238:I9237)</f>
        <v>7584.8</v>
      </c>
      <c r="S4238" s="1">
        <v>57596.74</v>
      </c>
      <c r="T4238">
        <f t="shared" si="478"/>
        <v>244.670967741935</v>
      </c>
      <c r="U4238">
        <f t="shared" si="477"/>
        <v>306.9</v>
      </c>
      <c r="V4238">
        <f>U4238*1</f>
        <v>306.9</v>
      </c>
      <c r="W4238">
        <f t="shared" si="481"/>
        <v>2985.76666666667</v>
      </c>
      <c r="X4238">
        <f t="shared" si="479"/>
        <v>0.403208166241342</v>
      </c>
      <c r="AH4238" t="str">
        <f t="shared" ref="AH4238:AH4301" si="482">IF(AND(W4238&gt;=12550,B4238&lt;=33,E4238&gt;=915),"1st Quality",IF(AND(W4238&gt;=6275,B4238&lt;=43,E4238&gt;=457),"2nd Quality","3rd Quality"))</f>
        <v>3rd Quality</v>
      </c>
      <c r="AJ4238">
        <f>((T4238-X4238)*2)/18.8</f>
        <v>25.9859318697546</v>
      </c>
      <c r="AK4238">
        <f t="shared" si="480"/>
        <v>135303.04516129</v>
      </c>
    </row>
    <row r="4239" spans="1:37">
      <c r="A4239" t="s">
        <v>4305</v>
      </c>
      <c r="B4239">
        <v>30</v>
      </c>
      <c r="C4239" t="s">
        <v>50</v>
      </c>
      <c r="D4239" t="s">
        <v>51</v>
      </c>
      <c r="E4239">
        <v>520</v>
      </c>
      <c r="F4239">
        <v>365</v>
      </c>
      <c r="G4239">
        <v>1</v>
      </c>
      <c r="H4239">
        <v>2884.82</v>
      </c>
      <c r="I4239">
        <v>2908.4</v>
      </c>
      <c r="J4239">
        <v>20</v>
      </c>
      <c r="K4239">
        <v>1</v>
      </c>
      <c r="L4239">
        <v>23</v>
      </c>
      <c r="M4239">
        <v>21.4</v>
      </c>
      <c r="N4239" t="s">
        <v>78</v>
      </c>
      <c r="O4239" t="s">
        <v>47</v>
      </c>
      <c r="P4239" t="s">
        <v>66</v>
      </c>
      <c r="R4239">
        <f>SUMIF(A4239:A9238,"C04238",I4239:I9238)</f>
        <v>2908.4</v>
      </c>
      <c r="S4239" s="1">
        <v>2507.68</v>
      </c>
      <c r="T4239">
        <f t="shared" si="478"/>
        <v>145.42</v>
      </c>
      <c r="U4239">
        <f t="shared" si="477"/>
        <v>428</v>
      </c>
      <c r="V4239">
        <f>U4239*1</f>
        <v>428</v>
      </c>
      <c r="W4239">
        <f t="shared" si="481"/>
        <v>1931.40666666667</v>
      </c>
      <c r="X4239">
        <f t="shared" si="479"/>
        <v>0.180253880658065</v>
      </c>
      <c r="AH4239" t="str">
        <f t="shared" si="482"/>
        <v>3rd Quality</v>
      </c>
      <c r="AJ4239">
        <f>((T4239-X4239)*2)/23</f>
        <v>12.6295431408123</v>
      </c>
      <c r="AK4239">
        <f t="shared" si="480"/>
        <v>75618.4</v>
      </c>
    </row>
    <row r="4240" spans="1:37">
      <c r="A4240" t="s">
        <v>4306</v>
      </c>
      <c r="B4240">
        <v>28</v>
      </c>
      <c r="C4240" t="s">
        <v>50</v>
      </c>
      <c r="D4240" t="s">
        <v>51</v>
      </c>
      <c r="E4240">
        <v>1280</v>
      </c>
      <c r="F4240">
        <v>80</v>
      </c>
      <c r="G4240">
        <v>10</v>
      </c>
      <c r="H4240">
        <v>11617.31</v>
      </c>
      <c r="I4240">
        <v>109639.07</v>
      </c>
      <c r="J4240">
        <v>48</v>
      </c>
      <c r="K4240">
        <v>0</v>
      </c>
      <c r="L4240">
        <v>6.7</v>
      </c>
      <c r="M4240">
        <v>51.1</v>
      </c>
      <c r="N4240" t="s">
        <v>61</v>
      </c>
      <c r="O4240" t="s">
        <v>47</v>
      </c>
      <c r="P4240" t="s">
        <v>58</v>
      </c>
      <c r="R4240">
        <f>SUMIF(A4240:A9239,"C04239",I4240:I9239)</f>
        <v>109639.07</v>
      </c>
      <c r="S4240" s="1">
        <v>520.56</v>
      </c>
      <c r="T4240">
        <f t="shared" si="478"/>
        <v>2284.14729166667</v>
      </c>
      <c r="U4240">
        <f t="shared" si="477"/>
        <v>2452.8</v>
      </c>
      <c r="V4240">
        <f>U4240/12</f>
        <v>204.4</v>
      </c>
      <c r="W4240">
        <f t="shared" si="481"/>
        <v>40419.1266666667</v>
      </c>
      <c r="X4240">
        <f t="shared" si="479"/>
        <v>0.110180411816505</v>
      </c>
      <c r="AH4240" t="str">
        <f t="shared" si="482"/>
        <v>1st Quality</v>
      </c>
      <c r="AJ4240">
        <f>((T4240-X4240)*2)/6.7</f>
        <v>681.802122762643</v>
      </c>
      <c r="AK4240">
        <f t="shared" si="480"/>
        <v>2923708.53333333</v>
      </c>
    </row>
    <row r="4241" spans="1:37">
      <c r="A4241" t="s">
        <v>4307</v>
      </c>
      <c r="B4241">
        <v>19</v>
      </c>
      <c r="C4241" t="s">
        <v>44</v>
      </c>
      <c r="D4241" t="s">
        <v>45</v>
      </c>
      <c r="E4241">
        <v>1076</v>
      </c>
      <c r="F4241">
        <v>43</v>
      </c>
      <c r="G4241">
        <v>4</v>
      </c>
      <c r="H4241">
        <v>13435.47</v>
      </c>
      <c r="I4241">
        <v>57596.74</v>
      </c>
      <c r="J4241">
        <v>20</v>
      </c>
      <c r="K4241">
        <v>0</v>
      </c>
      <c r="L4241">
        <v>0</v>
      </c>
      <c r="M4241">
        <v>49.4</v>
      </c>
      <c r="N4241" t="s">
        <v>63</v>
      </c>
      <c r="O4241" t="s">
        <v>75</v>
      </c>
      <c r="P4241" t="s">
        <v>54</v>
      </c>
      <c r="R4241">
        <f>SUMIF(A4241:A9240,"C04240",I4241:I9240)</f>
        <v>57596.74</v>
      </c>
      <c r="S4241" s="1">
        <v>17569.3</v>
      </c>
      <c r="T4241">
        <f t="shared" si="478"/>
        <v>2879.837</v>
      </c>
      <c r="U4241">
        <f t="shared" si="477"/>
        <v>988</v>
      </c>
      <c r="V4241">
        <f>U4241/12</f>
        <v>82.3333333333333</v>
      </c>
      <c r="W4241">
        <f t="shared" si="481"/>
        <v>23677.7366666667</v>
      </c>
      <c r="X4241">
        <f t="shared" si="479"/>
        <v>0.0800865172561883</v>
      </c>
      <c r="AH4241" t="str">
        <f t="shared" si="482"/>
        <v>1st Quality</v>
      </c>
      <c r="AJ4241">
        <f>((T4241-X4241)*2)</f>
        <v>5759.51382696549</v>
      </c>
      <c r="AK4241">
        <f t="shared" si="480"/>
        <v>3098704.612</v>
      </c>
    </row>
    <row r="4242" spans="1:37">
      <c r="A4242" t="s">
        <v>4308</v>
      </c>
      <c r="B4242">
        <v>23</v>
      </c>
      <c r="C4242" t="s">
        <v>44</v>
      </c>
      <c r="D4242" t="s">
        <v>60</v>
      </c>
      <c r="E4242">
        <v>1371</v>
      </c>
      <c r="F4242">
        <v>91</v>
      </c>
      <c r="G4242">
        <v>4</v>
      </c>
      <c r="H4242">
        <v>678.75</v>
      </c>
      <c r="I4242">
        <v>2507.68</v>
      </c>
      <c r="J4242">
        <v>30</v>
      </c>
      <c r="K4242">
        <v>1</v>
      </c>
      <c r="L4242">
        <v>27.4</v>
      </c>
      <c r="M4242">
        <v>27.4</v>
      </c>
      <c r="N4242" t="s">
        <v>52</v>
      </c>
      <c r="O4242" t="s">
        <v>53</v>
      </c>
      <c r="P4242" t="s">
        <v>54</v>
      </c>
      <c r="R4242">
        <f>SUMIF(A4242:A9241,"C04241",I4242:I9241)</f>
        <v>2507.68</v>
      </c>
      <c r="S4242" s="1">
        <v>24986.26</v>
      </c>
      <c r="T4242">
        <f t="shared" si="478"/>
        <v>83.5893333333333</v>
      </c>
      <c r="U4242">
        <f t="shared" si="477"/>
        <v>822</v>
      </c>
      <c r="V4242">
        <f>U4242*1</f>
        <v>822</v>
      </c>
      <c r="W4242">
        <f t="shared" si="481"/>
        <v>1062.47666666667</v>
      </c>
      <c r="X4242">
        <f t="shared" si="479"/>
        <v>2.01988950276243</v>
      </c>
      <c r="AH4242" t="str">
        <f t="shared" si="482"/>
        <v>3rd Quality</v>
      </c>
      <c r="AJ4242">
        <f>((T4242-X4242)*2)/27.4</f>
        <v>5.95397400223145</v>
      </c>
      <c r="AK4242">
        <f t="shared" si="480"/>
        <v>114600.976</v>
      </c>
    </row>
    <row r="4243" spans="1:37">
      <c r="A4243" t="s">
        <v>4309</v>
      </c>
      <c r="B4243">
        <v>51</v>
      </c>
      <c r="C4243" t="s">
        <v>50</v>
      </c>
      <c r="D4243" t="s">
        <v>60</v>
      </c>
      <c r="E4243">
        <v>592</v>
      </c>
      <c r="F4243">
        <v>39</v>
      </c>
      <c r="G4243">
        <v>1</v>
      </c>
      <c r="H4243">
        <v>521.54</v>
      </c>
      <c r="I4243">
        <v>520.56</v>
      </c>
      <c r="J4243">
        <v>17</v>
      </c>
      <c r="K4243">
        <v>0</v>
      </c>
      <c r="L4243">
        <v>27.2</v>
      </c>
      <c r="M4243">
        <v>30.5</v>
      </c>
      <c r="N4243" t="s">
        <v>46</v>
      </c>
      <c r="O4243" t="s">
        <v>47</v>
      </c>
      <c r="P4243" t="s">
        <v>58</v>
      </c>
      <c r="R4243">
        <f>SUMIF(A4243:A9242,"C04242",I4243:I9242)</f>
        <v>520.56</v>
      </c>
      <c r="S4243" s="1">
        <v>3139.56</v>
      </c>
      <c r="T4243">
        <f t="shared" si="478"/>
        <v>30.6211764705882</v>
      </c>
      <c r="U4243">
        <f t="shared" si="477"/>
        <v>518.5</v>
      </c>
      <c r="V4243">
        <f>U4243/12</f>
        <v>43.2083333333333</v>
      </c>
      <c r="W4243">
        <f t="shared" si="481"/>
        <v>347.7</v>
      </c>
      <c r="X4243">
        <f t="shared" si="479"/>
        <v>1.13509989646048</v>
      </c>
      <c r="AH4243" t="str">
        <f t="shared" si="482"/>
        <v>3rd Quality</v>
      </c>
      <c r="AJ4243">
        <f>((T4243-X4243)*2)/27.2</f>
        <v>2.16809386574468</v>
      </c>
      <c r="AK4243">
        <f t="shared" si="480"/>
        <v>18127.7364705882</v>
      </c>
    </row>
    <row r="4244" spans="1:37">
      <c r="A4244" t="s">
        <v>4310</v>
      </c>
      <c r="B4244">
        <v>23</v>
      </c>
      <c r="C4244" t="s">
        <v>44</v>
      </c>
      <c r="D4244" t="s">
        <v>60</v>
      </c>
      <c r="E4244">
        <v>431</v>
      </c>
      <c r="F4244">
        <v>37</v>
      </c>
      <c r="G4244">
        <v>11</v>
      </c>
      <c r="H4244">
        <v>1427.84</v>
      </c>
      <c r="I4244">
        <v>17569.3</v>
      </c>
      <c r="J4244">
        <v>71</v>
      </c>
      <c r="K4244">
        <v>0</v>
      </c>
      <c r="L4244">
        <v>30.1</v>
      </c>
      <c r="M4244">
        <v>12.8</v>
      </c>
      <c r="N4244" t="s">
        <v>57</v>
      </c>
      <c r="O4244" t="s">
        <v>47</v>
      </c>
      <c r="P4244" t="s">
        <v>58</v>
      </c>
      <c r="R4244">
        <f>SUMIF(A4244:A9243,"C04243",I4244:I9243)</f>
        <v>17569.3</v>
      </c>
      <c r="S4244" s="1">
        <v>7761.8</v>
      </c>
      <c r="T4244">
        <f t="shared" si="478"/>
        <v>247.454929577465</v>
      </c>
      <c r="U4244">
        <f t="shared" si="477"/>
        <v>908.8</v>
      </c>
      <c r="V4244">
        <f>U4244/12</f>
        <v>75.7333333333333</v>
      </c>
      <c r="W4244">
        <f t="shared" si="481"/>
        <v>6332.71333333333</v>
      </c>
      <c r="X4244">
        <f t="shared" si="479"/>
        <v>0.301854549529359</v>
      </c>
      <c r="AH4244" t="str">
        <f t="shared" si="482"/>
        <v>3rd Quality</v>
      </c>
      <c r="AJ4244">
        <f>((T4244-X4244)*2)/30.1</f>
        <v>16.4221312310921</v>
      </c>
      <c r="AK4244">
        <f t="shared" si="480"/>
        <v>106653.074647887</v>
      </c>
    </row>
    <row r="4245" spans="1:37">
      <c r="A4245" t="s">
        <v>4311</v>
      </c>
      <c r="B4245">
        <v>42</v>
      </c>
      <c r="C4245" t="s">
        <v>44</v>
      </c>
      <c r="D4245" t="s">
        <v>51</v>
      </c>
      <c r="E4245">
        <v>1122</v>
      </c>
      <c r="F4245">
        <v>42</v>
      </c>
      <c r="G4245">
        <v>5</v>
      </c>
      <c r="H4245">
        <v>4584.87</v>
      </c>
      <c r="I4245">
        <v>24986.26</v>
      </c>
      <c r="J4245">
        <v>37</v>
      </c>
      <c r="K4245">
        <v>1</v>
      </c>
      <c r="L4245">
        <v>12.1</v>
      </c>
      <c r="M4245">
        <v>4.7</v>
      </c>
      <c r="N4245" t="s">
        <v>81</v>
      </c>
      <c r="O4245" t="s">
        <v>53</v>
      </c>
      <c r="P4245" t="s">
        <v>68</v>
      </c>
      <c r="R4245">
        <f>SUMIF(A4245:A9244,"C04244",I4245:I9244)</f>
        <v>24986.26</v>
      </c>
      <c r="S4245" s="1">
        <v>1836.56</v>
      </c>
      <c r="T4245">
        <f t="shared" si="478"/>
        <v>675.304324324324</v>
      </c>
      <c r="U4245">
        <f t="shared" si="477"/>
        <v>173.9</v>
      </c>
      <c r="V4245">
        <f>U4245*1</f>
        <v>173.9</v>
      </c>
      <c r="W4245">
        <f t="shared" si="481"/>
        <v>9857.37666666667</v>
      </c>
      <c r="X4245">
        <f t="shared" si="479"/>
        <v>0.244717952744571</v>
      </c>
      <c r="AH4245" t="str">
        <f t="shared" si="482"/>
        <v>2nd Quality</v>
      </c>
      <c r="AJ4245">
        <f>((T4245-X4245)*2)/12.1</f>
        <v>111.580100226707</v>
      </c>
      <c r="AK4245">
        <f t="shared" si="480"/>
        <v>757691.451891892</v>
      </c>
    </row>
    <row r="4246" spans="1:37">
      <c r="A4246" t="s">
        <v>4312</v>
      </c>
      <c r="B4246">
        <v>28</v>
      </c>
      <c r="C4246" t="s">
        <v>50</v>
      </c>
      <c r="D4246" t="s">
        <v>60</v>
      </c>
      <c r="E4246">
        <v>1196</v>
      </c>
      <c r="F4246">
        <v>70</v>
      </c>
      <c r="G4246">
        <v>4</v>
      </c>
      <c r="H4246">
        <v>711.53</v>
      </c>
      <c r="I4246">
        <v>3139.56</v>
      </c>
      <c r="J4246">
        <v>21</v>
      </c>
      <c r="K4246">
        <v>0</v>
      </c>
      <c r="L4246">
        <v>34.1</v>
      </c>
      <c r="M4246">
        <v>32.8</v>
      </c>
      <c r="N4246" t="s">
        <v>57</v>
      </c>
      <c r="O4246" t="s">
        <v>47</v>
      </c>
      <c r="P4246" t="s">
        <v>68</v>
      </c>
      <c r="R4246">
        <f>SUMIF(A4246:A9245,"C04245",I4246:I9245)</f>
        <v>3139.56</v>
      </c>
      <c r="S4246" s="1">
        <v>102529.74</v>
      </c>
      <c r="T4246">
        <f t="shared" si="478"/>
        <v>149.502857142857</v>
      </c>
      <c r="U4246">
        <f t="shared" si="477"/>
        <v>688.8</v>
      </c>
      <c r="V4246">
        <f>U4246/12</f>
        <v>57.4</v>
      </c>
      <c r="W4246">
        <f t="shared" si="481"/>
        <v>1284.03</v>
      </c>
      <c r="X4246">
        <f t="shared" si="479"/>
        <v>1.68088485376583</v>
      </c>
      <c r="AH4246" t="str">
        <f t="shared" si="482"/>
        <v>3rd Quality</v>
      </c>
      <c r="AJ4246">
        <f>((T4246-X4246)*2)/34.1</f>
        <v>8.66991039818716</v>
      </c>
      <c r="AK4246">
        <f t="shared" si="480"/>
        <v>178805.417142857</v>
      </c>
    </row>
    <row r="4247" spans="1:37">
      <c r="A4247" t="s">
        <v>4313</v>
      </c>
      <c r="B4247">
        <v>35</v>
      </c>
      <c r="C4247" t="s">
        <v>44</v>
      </c>
      <c r="D4247" t="s">
        <v>60</v>
      </c>
      <c r="E4247">
        <v>1076</v>
      </c>
      <c r="F4247">
        <v>58</v>
      </c>
      <c r="G4247">
        <v>10</v>
      </c>
      <c r="H4247">
        <v>859.09</v>
      </c>
      <c r="I4247">
        <v>7761.8</v>
      </c>
      <c r="J4247">
        <v>49</v>
      </c>
      <c r="K4247">
        <v>1</v>
      </c>
      <c r="L4247">
        <v>17</v>
      </c>
      <c r="M4247">
        <v>63</v>
      </c>
      <c r="N4247" t="s">
        <v>78</v>
      </c>
      <c r="O4247" t="s">
        <v>47</v>
      </c>
      <c r="P4247" t="s">
        <v>48</v>
      </c>
      <c r="R4247">
        <f>SUMIF(A4247:A9246,"C04246",I4247:I9246)</f>
        <v>7761.8</v>
      </c>
      <c r="S4247" s="1">
        <v>78997.39</v>
      </c>
      <c r="T4247">
        <f t="shared" si="478"/>
        <v>158.404081632653</v>
      </c>
      <c r="U4247">
        <f t="shared" si="477"/>
        <v>3087</v>
      </c>
      <c r="V4247">
        <f>U4247*1</f>
        <v>3087</v>
      </c>
      <c r="W4247">
        <f t="shared" si="481"/>
        <v>2873.96333333333</v>
      </c>
      <c r="X4247">
        <f t="shared" si="479"/>
        <v>1.252488097871</v>
      </c>
      <c r="AH4247" t="str">
        <f t="shared" si="482"/>
        <v>3rd Quality</v>
      </c>
      <c r="AJ4247">
        <f>((T4247-X4247)*2)/17</f>
        <v>18.4884227687979</v>
      </c>
      <c r="AK4247">
        <f t="shared" si="480"/>
        <v>170442.791836735</v>
      </c>
    </row>
    <row r="4248" spans="1:37">
      <c r="A4248" t="s">
        <v>4314</v>
      </c>
      <c r="B4248">
        <v>29</v>
      </c>
      <c r="C4248" t="s">
        <v>44</v>
      </c>
      <c r="D4248" t="s">
        <v>60</v>
      </c>
      <c r="E4248">
        <v>422</v>
      </c>
      <c r="F4248">
        <v>116</v>
      </c>
      <c r="G4248">
        <v>3</v>
      </c>
      <c r="H4248">
        <v>617.8</v>
      </c>
      <c r="I4248">
        <v>1836.56</v>
      </c>
      <c r="J4248">
        <v>26</v>
      </c>
      <c r="K4248">
        <v>1</v>
      </c>
      <c r="L4248">
        <v>31.3</v>
      </c>
      <c r="M4248">
        <v>46.8</v>
      </c>
      <c r="N4248" t="s">
        <v>52</v>
      </c>
      <c r="O4248" t="s">
        <v>47</v>
      </c>
      <c r="P4248" t="s">
        <v>58</v>
      </c>
      <c r="R4248">
        <f>SUMIF(A4248:A9247,"C04247",I4248:I9247)</f>
        <v>1836.56</v>
      </c>
      <c r="S4248" s="1">
        <v>1701.71</v>
      </c>
      <c r="T4248">
        <f t="shared" si="478"/>
        <v>70.6369230769231</v>
      </c>
      <c r="U4248">
        <f t="shared" si="477"/>
        <v>1216.8</v>
      </c>
      <c r="V4248">
        <f>U4248*1</f>
        <v>1216.8</v>
      </c>
      <c r="W4248">
        <f t="shared" si="481"/>
        <v>818.453333333333</v>
      </c>
      <c r="X4248">
        <f t="shared" si="479"/>
        <v>0.68306895435416</v>
      </c>
      <c r="AH4248" t="str">
        <f t="shared" si="482"/>
        <v>3rd Quality</v>
      </c>
      <c r="AJ4248">
        <f>((T4248-X4248)*2)/31.3</f>
        <v>4.46989483211303</v>
      </c>
      <c r="AK4248">
        <f t="shared" si="480"/>
        <v>29808.7815384615</v>
      </c>
    </row>
    <row r="4249" spans="1:37">
      <c r="A4249" t="s">
        <v>4315</v>
      </c>
      <c r="B4249">
        <v>27</v>
      </c>
      <c r="C4249" t="s">
        <v>44</v>
      </c>
      <c r="D4249" t="s">
        <v>51</v>
      </c>
      <c r="E4249">
        <v>1320</v>
      </c>
      <c r="F4249">
        <v>5</v>
      </c>
      <c r="G4249">
        <v>24</v>
      </c>
      <c r="H4249">
        <v>4012.9</v>
      </c>
      <c r="I4249">
        <v>102529.74</v>
      </c>
      <c r="J4249">
        <v>128</v>
      </c>
      <c r="K4249">
        <v>1</v>
      </c>
      <c r="L4249">
        <v>1</v>
      </c>
      <c r="M4249">
        <v>17.5</v>
      </c>
      <c r="N4249" t="s">
        <v>52</v>
      </c>
      <c r="O4249" t="s">
        <v>75</v>
      </c>
      <c r="P4249" t="s">
        <v>66</v>
      </c>
      <c r="R4249">
        <f>SUMIF(A4249:A9248,"C04248",I4249:I9248)</f>
        <v>102529.74</v>
      </c>
      <c r="S4249" s="1">
        <v>8800.02</v>
      </c>
      <c r="T4249">
        <f t="shared" si="478"/>
        <v>801.01359375</v>
      </c>
      <c r="U4249">
        <f t="shared" si="477"/>
        <v>2240</v>
      </c>
      <c r="V4249">
        <f>U4249*1</f>
        <v>2240</v>
      </c>
      <c r="W4249">
        <f t="shared" si="481"/>
        <v>35514.5466666667</v>
      </c>
      <c r="X4249">
        <f t="shared" si="479"/>
        <v>0.328939171172967</v>
      </c>
      <c r="AH4249" t="str">
        <f t="shared" si="482"/>
        <v>1st Quality</v>
      </c>
      <c r="AJ4249">
        <f>((T4249-X4249)*2)/1</f>
        <v>1601.36930915765</v>
      </c>
      <c r="AK4249">
        <f t="shared" si="480"/>
        <v>1057337.94375</v>
      </c>
    </row>
    <row r="4250" spans="1:37">
      <c r="A4250" t="s">
        <v>4316</v>
      </c>
      <c r="B4250">
        <v>31</v>
      </c>
      <c r="C4250" t="s">
        <v>50</v>
      </c>
      <c r="D4250" t="s">
        <v>51</v>
      </c>
      <c r="E4250">
        <v>646</v>
      </c>
      <c r="F4250">
        <v>5</v>
      </c>
      <c r="G4250">
        <v>22</v>
      </c>
      <c r="H4250">
        <v>3913.91</v>
      </c>
      <c r="I4250">
        <v>78997.39</v>
      </c>
      <c r="J4250">
        <v>186</v>
      </c>
      <c r="K4250">
        <v>4</v>
      </c>
      <c r="L4250">
        <v>13.6</v>
      </c>
      <c r="M4250">
        <v>39.6</v>
      </c>
      <c r="N4250" t="s">
        <v>52</v>
      </c>
      <c r="O4250" t="s">
        <v>47</v>
      </c>
      <c r="P4250" t="s">
        <v>48</v>
      </c>
      <c r="R4250">
        <f>SUMIF(A4250:A9249,"C04249",I4250:I9249)</f>
        <v>78997.39</v>
      </c>
      <c r="S4250" s="1">
        <v>48412.89</v>
      </c>
      <c r="T4250">
        <f t="shared" si="478"/>
        <v>424.717150537634</v>
      </c>
      <c r="U4250">
        <f t="shared" si="477"/>
        <v>7365.6</v>
      </c>
      <c r="V4250">
        <f>U4250*4</f>
        <v>29462.4</v>
      </c>
      <c r="W4250">
        <f t="shared" si="481"/>
        <v>27637.4333333333</v>
      </c>
      <c r="X4250">
        <f t="shared" si="479"/>
        <v>0.165052338965382</v>
      </c>
      <c r="AH4250" t="str">
        <f t="shared" si="482"/>
        <v>2nd Quality</v>
      </c>
      <c r="AJ4250">
        <f>((T4250-X4250)*2)/13.6</f>
        <v>62.4341320880395</v>
      </c>
      <c r="AK4250">
        <f t="shared" si="480"/>
        <v>274367.279247312</v>
      </c>
    </row>
    <row r="4251" spans="1:37">
      <c r="A4251" t="s">
        <v>4317</v>
      </c>
      <c r="B4251">
        <v>48</v>
      </c>
      <c r="C4251" t="s">
        <v>56</v>
      </c>
      <c r="D4251" t="s">
        <v>60</v>
      </c>
      <c r="E4251">
        <v>899</v>
      </c>
      <c r="F4251">
        <v>197</v>
      </c>
      <c r="G4251">
        <v>2</v>
      </c>
      <c r="H4251">
        <v>799.26</v>
      </c>
      <c r="I4251">
        <v>1701.71</v>
      </c>
      <c r="J4251">
        <v>17</v>
      </c>
      <c r="K4251">
        <v>1</v>
      </c>
      <c r="L4251">
        <v>37.6</v>
      </c>
      <c r="M4251">
        <v>42.6</v>
      </c>
      <c r="N4251" t="s">
        <v>61</v>
      </c>
      <c r="O4251" t="s">
        <v>75</v>
      </c>
      <c r="P4251" t="s">
        <v>66</v>
      </c>
      <c r="R4251">
        <f>SUMIF(A4251:A9250,"C04250",I4251:I9250)</f>
        <v>1701.71</v>
      </c>
      <c r="S4251" s="1">
        <v>205080.98</v>
      </c>
      <c r="T4251">
        <f t="shared" si="478"/>
        <v>100.100588235294</v>
      </c>
      <c r="U4251">
        <f t="shared" si="477"/>
        <v>724.2</v>
      </c>
      <c r="V4251">
        <f>U4251*1</f>
        <v>724.2</v>
      </c>
      <c r="W4251">
        <f t="shared" si="481"/>
        <v>833.99</v>
      </c>
      <c r="X4251">
        <f t="shared" si="479"/>
        <v>1.12479043114881</v>
      </c>
      <c r="AH4251" t="str">
        <f t="shared" si="482"/>
        <v>3rd Quality</v>
      </c>
      <c r="AJ4251">
        <f>((T4251-X4251)*2)/37.6</f>
        <v>5.26467009596517</v>
      </c>
      <c r="AK4251">
        <f t="shared" si="480"/>
        <v>89990.4288235294</v>
      </c>
    </row>
    <row r="4252" spans="1:37">
      <c r="A4252" t="s">
        <v>4318</v>
      </c>
      <c r="B4252">
        <v>32</v>
      </c>
      <c r="C4252" t="s">
        <v>50</v>
      </c>
      <c r="D4252" t="s">
        <v>60</v>
      </c>
      <c r="E4252">
        <v>395</v>
      </c>
      <c r="F4252">
        <v>4</v>
      </c>
      <c r="G4252">
        <v>6</v>
      </c>
      <c r="H4252">
        <v>1524.56</v>
      </c>
      <c r="I4252">
        <v>8800.02</v>
      </c>
      <c r="J4252">
        <v>39</v>
      </c>
      <c r="K4252">
        <v>1</v>
      </c>
      <c r="L4252">
        <v>7.5</v>
      </c>
      <c r="M4252">
        <v>43.6</v>
      </c>
      <c r="N4252" t="s">
        <v>81</v>
      </c>
      <c r="O4252" t="s">
        <v>47</v>
      </c>
      <c r="P4252" t="s">
        <v>58</v>
      </c>
      <c r="R4252">
        <f>SUMIF(A4252:A9251,"C04251",I4252:I9251)</f>
        <v>8800.02</v>
      </c>
      <c r="S4252" s="1">
        <v>30036.55</v>
      </c>
      <c r="T4252">
        <f t="shared" si="478"/>
        <v>225.641538461538</v>
      </c>
      <c r="U4252">
        <f t="shared" si="477"/>
        <v>1700.4</v>
      </c>
      <c r="V4252">
        <f>U4252*1</f>
        <v>1700.4</v>
      </c>
      <c r="W4252">
        <f t="shared" si="481"/>
        <v>3441.86</v>
      </c>
      <c r="X4252">
        <f t="shared" si="479"/>
        <v>0.259091147609802</v>
      </c>
      <c r="AH4252" t="str">
        <f t="shared" si="482"/>
        <v>3rd Quality</v>
      </c>
      <c r="AJ4252">
        <f>((T4252-X4252)*2)/7.5</f>
        <v>60.1019859503809</v>
      </c>
      <c r="AK4252">
        <f t="shared" si="480"/>
        <v>89128.4076923077</v>
      </c>
    </row>
    <row r="4253" spans="1:37">
      <c r="A4253" t="s">
        <v>4319</v>
      </c>
      <c r="B4253">
        <v>33</v>
      </c>
      <c r="C4253" t="s">
        <v>50</v>
      </c>
      <c r="D4253" t="s">
        <v>60</v>
      </c>
      <c r="E4253">
        <v>1197</v>
      </c>
      <c r="F4253">
        <v>1</v>
      </c>
      <c r="G4253">
        <v>17</v>
      </c>
      <c r="H4253">
        <v>2605.67</v>
      </c>
      <c r="I4253">
        <v>48412.89</v>
      </c>
      <c r="J4253">
        <v>124</v>
      </c>
      <c r="K4253">
        <v>2</v>
      </c>
      <c r="L4253">
        <v>8.5</v>
      </c>
      <c r="M4253">
        <v>67.2</v>
      </c>
      <c r="N4253" t="s">
        <v>61</v>
      </c>
      <c r="O4253" t="s">
        <v>47</v>
      </c>
      <c r="P4253" t="s">
        <v>66</v>
      </c>
      <c r="R4253">
        <f>SUMIF(A4253:A9252,"C04252",I4253:I9252)</f>
        <v>48412.89</v>
      </c>
      <c r="S4253" s="1">
        <v>2988.61</v>
      </c>
      <c r="T4253">
        <f t="shared" si="478"/>
        <v>390.426532258065</v>
      </c>
      <c r="U4253">
        <f t="shared" si="477"/>
        <v>8332.8</v>
      </c>
      <c r="V4253">
        <f>U4253*2</f>
        <v>16665.6</v>
      </c>
      <c r="W4253">
        <f t="shared" si="481"/>
        <v>17006.52</v>
      </c>
      <c r="X4253">
        <f t="shared" si="479"/>
        <v>0.459382807492891</v>
      </c>
      <c r="AH4253" t="str">
        <f t="shared" si="482"/>
        <v>1st Quality</v>
      </c>
      <c r="AJ4253">
        <f>((T4253-X4253)*2)/8.5</f>
        <v>91.7569763413111</v>
      </c>
      <c r="AK4253">
        <f t="shared" si="480"/>
        <v>467340.559112903</v>
      </c>
    </row>
    <row r="4254" spans="1:37">
      <c r="A4254" t="s">
        <v>4320</v>
      </c>
      <c r="B4254">
        <v>37</v>
      </c>
      <c r="C4254" t="s">
        <v>44</v>
      </c>
      <c r="D4254" t="s">
        <v>45</v>
      </c>
      <c r="E4254">
        <v>1261</v>
      </c>
      <c r="F4254">
        <v>3</v>
      </c>
      <c r="G4254">
        <v>26</v>
      </c>
      <c r="H4254">
        <v>8046.86</v>
      </c>
      <c r="I4254">
        <v>205080.98</v>
      </c>
      <c r="J4254">
        <v>165</v>
      </c>
      <c r="K4254">
        <v>0</v>
      </c>
      <c r="L4254">
        <v>8.5</v>
      </c>
      <c r="M4254">
        <v>53.8</v>
      </c>
      <c r="N4254" t="s">
        <v>78</v>
      </c>
      <c r="O4254" t="s">
        <v>47</v>
      </c>
      <c r="P4254" t="s">
        <v>54</v>
      </c>
      <c r="R4254">
        <f>SUMIF(A4254:A9253,"C04253",I4254:I9253)</f>
        <v>205080.98</v>
      </c>
      <c r="S4254" s="1">
        <v>121960.24</v>
      </c>
      <c r="T4254">
        <f t="shared" si="478"/>
        <v>1242.91503030303</v>
      </c>
      <c r="U4254">
        <f t="shared" si="477"/>
        <v>8877</v>
      </c>
      <c r="V4254">
        <f>U4254/12</f>
        <v>739.75</v>
      </c>
      <c r="W4254">
        <f t="shared" si="481"/>
        <v>71042.9466666667</v>
      </c>
      <c r="X4254">
        <f t="shared" si="479"/>
        <v>0.156707088230689</v>
      </c>
      <c r="AH4254" t="str">
        <f t="shared" si="482"/>
        <v>2nd Quality</v>
      </c>
      <c r="AJ4254">
        <f>((T4254-X4254)*2)/8.5</f>
        <v>292.413723109365</v>
      </c>
      <c r="AK4254">
        <f t="shared" si="480"/>
        <v>1567315.85321212</v>
      </c>
    </row>
    <row r="4255" spans="1:37">
      <c r="A4255" t="s">
        <v>4321</v>
      </c>
      <c r="B4255">
        <v>51</v>
      </c>
      <c r="C4255" t="s">
        <v>44</v>
      </c>
      <c r="D4255" t="s">
        <v>45</v>
      </c>
      <c r="E4255">
        <v>579</v>
      </c>
      <c r="F4255">
        <v>113</v>
      </c>
      <c r="G4255">
        <v>3</v>
      </c>
      <c r="H4255">
        <v>10650.53</v>
      </c>
      <c r="I4255">
        <v>30036.55</v>
      </c>
      <c r="J4255">
        <v>23</v>
      </c>
      <c r="K4255">
        <v>0</v>
      </c>
      <c r="L4255">
        <v>12.5</v>
      </c>
      <c r="M4255">
        <v>31.6</v>
      </c>
      <c r="N4255" t="s">
        <v>46</v>
      </c>
      <c r="O4255" t="s">
        <v>53</v>
      </c>
      <c r="P4255" t="s">
        <v>58</v>
      </c>
      <c r="R4255">
        <f>SUMIF(A4255:A9254,"C04254",I4255:I9254)</f>
        <v>30036.55</v>
      </c>
      <c r="S4255" s="1">
        <v>127023.32</v>
      </c>
      <c r="T4255">
        <f t="shared" si="478"/>
        <v>1305.93695652174</v>
      </c>
      <c r="U4255">
        <f t="shared" si="477"/>
        <v>726.8</v>
      </c>
      <c r="V4255">
        <f>U4255/12</f>
        <v>60.5666666666667</v>
      </c>
      <c r="W4255">
        <f t="shared" si="481"/>
        <v>13562.6933333333</v>
      </c>
      <c r="X4255">
        <f t="shared" si="479"/>
        <v>0.0543634917698931</v>
      </c>
      <c r="AH4255" t="str">
        <f t="shared" si="482"/>
        <v>3rd Quality</v>
      </c>
      <c r="AJ4255">
        <f>((T4255-X4255)*2)/12.5</f>
        <v>208.941214884795</v>
      </c>
      <c r="AK4255">
        <f t="shared" si="480"/>
        <v>756137.497826087</v>
      </c>
    </row>
    <row r="4256" spans="1:37">
      <c r="A4256" t="s">
        <v>4322</v>
      </c>
      <c r="B4256">
        <v>31</v>
      </c>
      <c r="C4256" t="s">
        <v>50</v>
      </c>
      <c r="D4256" t="s">
        <v>60</v>
      </c>
      <c r="E4256">
        <v>455</v>
      </c>
      <c r="F4256">
        <v>119</v>
      </c>
      <c r="G4256">
        <v>4</v>
      </c>
      <c r="H4256">
        <v>679.2</v>
      </c>
      <c r="I4256">
        <v>2988.61</v>
      </c>
      <c r="J4256">
        <v>40</v>
      </c>
      <c r="K4256">
        <v>1</v>
      </c>
      <c r="L4256">
        <v>25</v>
      </c>
      <c r="M4256">
        <v>45.8</v>
      </c>
      <c r="N4256" t="s">
        <v>46</v>
      </c>
      <c r="O4256" t="s">
        <v>47</v>
      </c>
      <c r="P4256" t="s">
        <v>66</v>
      </c>
      <c r="R4256">
        <f>SUMIF(A4256:A9255,"C04255",I4256:I9255)</f>
        <v>2988.61</v>
      </c>
      <c r="S4256" s="1">
        <v>12289.44</v>
      </c>
      <c r="T4256">
        <f t="shared" si="478"/>
        <v>74.71525</v>
      </c>
      <c r="U4256">
        <f t="shared" si="477"/>
        <v>1832</v>
      </c>
      <c r="V4256">
        <f>U4256*1</f>
        <v>1832</v>
      </c>
      <c r="W4256">
        <f t="shared" si="481"/>
        <v>1222.93666666667</v>
      </c>
      <c r="X4256">
        <f t="shared" si="479"/>
        <v>0.669905771495877</v>
      </c>
      <c r="AH4256" t="str">
        <f t="shared" si="482"/>
        <v>3rd Quality</v>
      </c>
      <c r="AJ4256">
        <f>((T4256-X4256)*2)/25</f>
        <v>5.92362753828033</v>
      </c>
      <c r="AK4256">
        <f t="shared" si="480"/>
        <v>33995.43875</v>
      </c>
    </row>
    <row r="4257" spans="1:37">
      <c r="A4257" t="s">
        <v>4323</v>
      </c>
      <c r="B4257">
        <v>27</v>
      </c>
      <c r="C4257" t="s">
        <v>44</v>
      </c>
      <c r="D4257" t="s">
        <v>45</v>
      </c>
      <c r="E4257">
        <v>1071</v>
      </c>
      <c r="F4257">
        <v>5</v>
      </c>
      <c r="G4257">
        <v>26</v>
      </c>
      <c r="H4257">
        <v>4462.86</v>
      </c>
      <c r="I4257">
        <v>121960.24</v>
      </c>
      <c r="J4257">
        <v>161</v>
      </c>
      <c r="K4257">
        <v>1</v>
      </c>
      <c r="L4257">
        <v>4.9</v>
      </c>
      <c r="M4257">
        <v>34.1</v>
      </c>
      <c r="N4257" t="s">
        <v>78</v>
      </c>
      <c r="O4257" t="s">
        <v>47</v>
      </c>
      <c r="P4257" t="s">
        <v>66</v>
      </c>
      <c r="R4257">
        <f>SUMIF(A4257:A9256,"C04256",I4257:I9256)</f>
        <v>121960.24</v>
      </c>
      <c r="S4257" s="1">
        <v>2031.95</v>
      </c>
      <c r="T4257">
        <f t="shared" si="478"/>
        <v>757.51701863354</v>
      </c>
      <c r="U4257">
        <f t="shared" si="477"/>
        <v>5490.1</v>
      </c>
      <c r="V4257">
        <f>U4257*1</f>
        <v>5490.1</v>
      </c>
      <c r="W4257">
        <f t="shared" si="481"/>
        <v>42141.3666666667</v>
      </c>
      <c r="X4257">
        <f t="shared" si="479"/>
        <v>0.23998064021726</v>
      </c>
      <c r="AH4257" t="str">
        <f t="shared" si="482"/>
        <v>1st Quality</v>
      </c>
      <c r="AJ4257">
        <f>((T4257-X4257)*2)/4.9</f>
        <v>309.092668568703</v>
      </c>
      <c r="AK4257">
        <f t="shared" si="480"/>
        <v>811300.726956522</v>
      </c>
    </row>
    <row r="4258" spans="1:37">
      <c r="A4258" t="s">
        <v>4324</v>
      </c>
      <c r="B4258">
        <v>27</v>
      </c>
      <c r="C4258" t="s">
        <v>44</v>
      </c>
      <c r="D4258" t="s">
        <v>45</v>
      </c>
      <c r="E4258">
        <v>974</v>
      </c>
      <c r="F4258">
        <v>13</v>
      </c>
      <c r="G4258">
        <v>25</v>
      </c>
      <c r="H4258">
        <v>5126.49</v>
      </c>
      <c r="I4258">
        <v>127023.32</v>
      </c>
      <c r="J4258">
        <v>133</v>
      </c>
      <c r="K4258">
        <v>1</v>
      </c>
      <c r="L4258">
        <v>10.3</v>
      </c>
      <c r="M4258">
        <v>35.8</v>
      </c>
      <c r="N4258" t="s">
        <v>46</v>
      </c>
      <c r="O4258" t="s">
        <v>47</v>
      </c>
      <c r="P4258" t="s">
        <v>58</v>
      </c>
      <c r="R4258">
        <f>SUMIF(A4258:A9257,"C04257",I4258:I9257)</f>
        <v>127023.32</v>
      </c>
      <c r="S4258" s="1">
        <v>1733.51</v>
      </c>
      <c r="T4258">
        <f t="shared" si="478"/>
        <v>955.062556390978</v>
      </c>
      <c r="U4258">
        <f t="shared" ref="U4258:U4321" si="483">J4258*M4258</f>
        <v>4761.4</v>
      </c>
      <c r="V4258">
        <f>U4258*1</f>
        <v>4761.4</v>
      </c>
      <c r="W4258">
        <f t="shared" si="481"/>
        <v>44050.27</v>
      </c>
      <c r="X4258">
        <f t="shared" si="479"/>
        <v>0.18999354334057</v>
      </c>
      <c r="AH4258" t="str">
        <f t="shared" si="482"/>
        <v>1st Quality</v>
      </c>
      <c r="AJ4258">
        <f>((T4258-X4258)*2)/10.3</f>
        <v>185.412148125755</v>
      </c>
      <c r="AK4258">
        <f t="shared" si="480"/>
        <v>930230.929924812</v>
      </c>
    </row>
    <row r="4259" spans="1:37">
      <c r="A4259" t="s">
        <v>4325</v>
      </c>
      <c r="B4259">
        <v>37</v>
      </c>
      <c r="C4259" t="s">
        <v>50</v>
      </c>
      <c r="D4259" t="s">
        <v>45</v>
      </c>
      <c r="E4259">
        <v>1326</v>
      </c>
      <c r="F4259">
        <v>18</v>
      </c>
      <c r="G4259">
        <v>11</v>
      </c>
      <c r="H4259">
        <v>1005.92</v>
      </c>
      <c r="I4259">
        <v>12289.44</v>
      </c>
      <c r="J4259">
        <v>88</v>
      </c>
      <c r="K4259">
        <v>1</v>
      </c>
      <c r="L4259">
        <v>26.4</v>
      </c>
      <c r="M4259">
        <v>28.3</v>
      </c>
      <c r="N4259" t="s">
        <v>46</v>
      </c>
      <c r="O4259" t="s">
        <v>47</v>
      </c>
      <c r="P4259" t="s">
        <v>58</v>
      </c>
      <c r="R4259">
        <f>SUMIF(A4259:A9258,"C04258",I4259:I9258)</f>
        <v>12289.44</v>
      </c>
      <c r="S4259" s="1">
        <v>2548.03</v>
      </c>
      <c r="T4259">
        <f t="shared" si="478"/>
        <v>139.652727272727</v>
      </c>
      <c r="U4259">
        <f t="shared" si="483"/>
        <v>2490.4</v>
      </c>
      <c r="V4259">
        <f>U4259*1</f>
        <v>2490.4</v>
      </c>
      <c r="W4259">
        <f t="shared" si="481"/>
        <v>4432.12</v>
      </c>
      <c r="X4259">
        <f t="shared" si="479"/>
        <v>1.31819627803404</v>
      </c>
      <c r="AH4259" t="str">
        <f t="shared" si="482"/>
        <v>3rd Quality</v>
      </c>
      <c r="AJ4259">
        <f>((T4259-X4259)*2)/26.4</f>
        <v>10.4798887117192</v>
      </c>
      <c r="AK4259">
        <f t="shared" si="480"/>
        <v>185179.516363636</v>
      </c>
    </row>
    <row r="4260" spans="1:37">
      <c r="A4260" t="s">
        <v>4326</v>
      </c>
      <c r="B4260">
        <v>23</v>
      </c>
      <c r="C4260" t="s">
        <v>50</v>
      </c>
      <c r="D4260" t="s">
        <v>60</v>
      </c>
      <c r="E4260">
        <v>690</v>
      </c>
      <c r="F4260">
        <v>202</v>
      </c>
      <c r="G4260">
        <v>2</v>
      </c>
      <c r="H4260">
        <v>991.61</v>
      </c>
      <c r="I4260">
        <v>2031.95</v>
      </c>
      <c r="J4260">
        <v>23</v>
      </c>
      <c r="K4260">
        <v>0</v>
      </c>
      <c r="L4260">
        <v>18.6</v>
      </c>
      <c r="M4260">
        <v>51.3</v>
      </c>
      <c r="N4260" t="s">
        <v>81</v>
      </c>
      <c r="O4260" t="s">
        <v>47</v>
      </c>
      <c r="P4260" t="s">
        <v>58</v>
      </c>
      <c r="R4260">
        <f>SUMIF(A4260:A9259,"C04259",I4260:I9259)</f>
        <v>2031.95</v>
      </c>
      <c r="S4260" s="1">
        <v>3598.15</v>
      </c>
      <c r="T4260">
        <f t="shared" si="478"/>
        <v>88.3456521739131</v>
      </c>
      <c r="U4260">
        <f t="shared" si="483"/>
        <v>1179.9</v>
      </c>
      <c r="V4260">
        <f>U4260/12</f>
        <v>98.325</v>
      </c>
      <c r="W4260">
        <f t="shared" si="481"/>
        <v>1008.18666666667</v>
      </c>
      <c r="X4260">
        <f t="shared" si="479"/>
        <v>0.695838081503817</v>
      </c>
      <c r="AH4260" t="str">
        <f t="shared" si="482"/>
        <v>3rd Quality</v>
      </c>
      <c r="AJ4260">
        <f>((T4260-X4260)*2)/18.6</f>
        <v>9.42471119273218</v>
      </c>
      <c r="AK4260">
        <f t="shared" si="480"/>
        <v>60958.5</v>
      </c>
    </row>
    <row r="4261" spans="1:37">
      <c r="A4261" t="s">
        <v>4327</v>
      </c>
      <c r="B4261">
        <v>21</v>
      </c>
      <c r="C4261" t="s">
        <v>44</v>
      </c>
      <c r="D4261" t="s">
        <v>60</v>
      </c>
      <c r="E4261">
        <v>1158</v>
      </c>
      <c r="F4261">
        <v>22</v>
      </c>
      <c r="G4261">
        <v>2</v>
      </c>
      <c r="H4261">
        <v>849.02</v>
      </c>
      <c r="I4261">
        <v>1733.51</v>
      </c>
      <c r="J4261">
        <v>23</v>
      </c>
      <c r="K4261">
        <v>1</v>
      </c>
      <c r="L4261">
        <v>28.3</v>
      </c>
      <c r="M4261">
        <v>45.3</v>
      </c>
      <c r="N4261" t="s">
        <v>81</v>
      </c>
      <c r="O4261" t="s">
        <v>47</v>
      </c>
      <c r="P4261" t="s">
        <v>68</v>
      </c>
      <c r="R4261">
        <f>SUMIF(A4261:A9260,"C04260",I4261:I9260)</f>
        <v>1733.51</v>
      </c>
      <c r="S4261" s="1">
        <v>5192.45</v>
      </c>
      <c r="T4261">
        <f t="shared" si="478"/>
        <v>75.37</v>
      </c>
      <c r="U4261">
        <f t="shared" si="483"/>
        <v>1041.9</v>
      </c>
      <c r="V4261">
        <f>U4261*1</f>
        <v>1041.9</v>
      </c>
      <c r="W4261">
        <f t="shared" si="481"/>
        <v>861.176666666667</v>
      </c>
      <c r="X4261">
        <f t="shared" si="479"/>
        <v>1.36392546700902</v>
      </c>
      <c r="AH4261" t="str">
        <f t="shared" si="482"/>
        <v>3rd Quality</v>
      </c>
      <c r="AJ4261">
        <f>((T4261-X4261)*2)/28.3</f>
        <v>5.23011127441632</v>
      </c>
      <c r="AK4261">
        <f t="shared" si="480"/>
        <v>87278.46</v>
      </c>
    </row>
    <row r="4262" spans="1:37">
      <c r="A4262" t="s">
        <v>4328</v>
      </c>
      <c r="B4262">
        <v>28</v>
      </c>
      <c r="C4262" t="s">
        <v>44</v>
      </c>
      <c r="D4262" t="s">
        <v>45</v>
      </c>
      <c r="E4262">
        <v>1294</v>
      </c>
      <c r="F4262">
        <v>262</v>
      </c>
      <c r="G4262">
        <v>2</v>
      </c>
      <c r="H4262">
        <v>1317.91</v>
      </c>
      <c r="I4262">
        <v>2548.03</v>
      </c>
      <c r="J4262">
        <v>22</v>
      </c>
      <c r="K4262">
        <v>1</v>
      </c>
      <c r="L4262">
        <v>22</v>
      </c>
      <c r="M4262">
        <v>14.8</v>
      </c>
      <c r="N4262" t="s">
        <v>81</v>
      </c>
      <c r="O4262" t="s">
        <v>47</v>
      </c>
      <c r="P4262" t="s">
        <v>58</v>
      </c>
      <c r="R4262">
        <f>SUMIF(A4262:A9261,"C04261",I4262:I9261)</f>
        <v>2548.03</v>
      </c>
      <c r="S4262" s="1">
        <v>2238.78</v>
      </c>
      <c r="T4262">
        <f t="shared" si="478"/>
        <v>115.819545454545</v>
      </c>
      <c r="U4262">
        <f t="shared" si="483"/>
        <v>325.6</v>
      </c>
      <c r="V4262">
        <f>U4262*1</f>
        <v>325.6</v>
      </c>
      <c r="W4262">
        <f t="shared" si="481"/>
        <v>1288.98</v>
      </c>
      <c r="X4262">
        <f t="shared" si="479"/>
        <v>0.981857638230228</v>
      </c>
      <c r="AH4262" t="str">
        <f t="shared" si="482"/>
        <v>3rd Quality</v>
      </c>
      <c r="AJ4262">
        <f>((T4262-X4262)*2)/22</f>
        <v>10.4397898014832</v>
      </c>
      <c r="AK4262">
        <f t="shared" si="480"/>
        <v>149870.491818182</v>
      </c>
    </row>
    <row r="4263" spans="1:37">
      <c r="A4263" t="s">
        <v>4329</v>
      </c>
      <c r="B4263">
        <v>36</v>
      </c>
      <c r="C4263" t="s">
        <v>50</v>
      </c>
      <c r="D4263" t="s">
        <v>60</v>
      </c>
      <c r="E4263">
        <v>1328</v>
      </c>
      <c r="F4263">
        <v>168</v>
      </c>
      <c r="G4263">
        <v>2</v>
      </c>
      <c r="H4263">
        <v>1665.3</v>
      </c>
      <c r="I4263">
        <v>3598.15</v>
      </c>
      <c r="J4263">
        <v>10</v>
      </c>
      <c r="K4263">
        <v>0</v>
      </c>
      <c r="L4263">
        <v>13.5</v>
      </c>
      <c r="M4263">
        <v>11.8</v>
      </c>
      <c r="N4263" t="s">
        <v>78</v>
      </c>
      <c r="O4263" t="s">
        <v>75</v>
      </c>
      <c r="P4263" t="s">
        <v>68</v>
      </c>
      <c r="R4263">
        <f>SUMIF(A4263:A9262,"C04262",I4263:I9262)</f>
        <v>3598.15</v>
      </c>
      <c r="S4263" s="1">
        <v>4338.23</v>
      </c>
      <c r="T4263">
        <f t="shared" ref="T4263:T4326" si="484">I4263/J4263</f>
        <v>359.815</v>
      </c>
      <c r="U4263">
        <f t="shared" si="483"/>
        <v>118</v>
      </c>
      <c r="V4263">
        <f>U4263/12</f>
        <v>9.83333333333333</v>
      </c>
      <c r="W4263">
        <f t="shared" si="481"/>
        <v>1754.81666666667</v>
      </c>
      <c r="X4263">
        <f t="shared" si="479"/>
        <v>0.797453912208011</v>
      </c>
      <c r="AH4263" t="str">
        <f t="shared" si="482"/>
        <v>3rd Quality</v>
      </c>
      <c r="AJ4263">
        <f>((T4263-X4263)*2)/13.5</f>
        <v>53.1877846055988</v>
      </c>
      <c r="AK4263">
        <f t="shared" si="480"/>
        <v>477834.32</v>
      </c>
    </row>
    <row r="4264" spans="1:37">
      <c r="A4264" t="s">
        <v>4330</v>
      </c>
      <c r="B4264">
        <v>23</v>
      </c>
      <c r="C4264" t="s">
        <v>44</v>
      </c>
      <c r="D4264" t="s">
        <v>60</v>
      </c>
      <c r="E4264">
        <v>462</v>
      </c>
      <c r="F4264">
        <v>20</v>
      </c>
      <c r="G4264">
        <v>7</v>
      </c>
      <c r="H4264">
        <v>726.9</v>
      </c>
      <c r="I4264">
        <v>5192.45</v>
      </c>
      <c r="J4264">
        <v>50</v>
      </c>
      <c r="K4264">
        <v>0</v>
      </c>
      <c r="L4264">
        <v>22.3</v>
      </c>
      <c r="M4264">
        <v>55.5</v>
      </c>
      <c r="N4264" t="s">
        <v>46</v>
      </c>
      <c r="O4264" t="s">
        <v>47</v>
      </c>
      <c r="P4264" t="s">
        <v>68</v>
      </c>
      <c r="R4264">
        <f>SUMIF(A4264:A9263,"C04263",I4264:I9263)</f>
        <v>5192.45</v>
      </c>
      <c r="S4264" s="1">
        <v>50773.53</v>
      </c>
      <c r="T4264">
        <f t="shared" si="484"/>
        <v>103.849</v>
      </c>
      <c r="U4264">
        <f t="shared" si="483"/>
        <v>2775</v>
      </c>
      <c r="V4264">
        <f>U4264/12</f>
        <v>231.25</v>
      </c>
      <c r="W4264">
        <f t="shared" si="481"/>
        <v>1973.45</v>
      </c>
      <c r="X4264">
        <f t="shared" si="479"/>
        <v>0.635575732562939</v>
      </c>
      <c r="AH4264" t="str">
        <f t="shared" si="482"/>
        <v>3rd Quality</v>
      </c>
      <c r="AJ4264">
        <f>((T4264-X4264)*2)/22.3</f>
        <v>9.25680935133965</v>
      </c>
      <c r="AK4264">
        <f t="shared" si="480"/>
        <v>47978.238</v>
      </c>
    </row>
    <row r="4265" spans="1:37">
      <c r="A4265" t="s">
        <v>4331</v>
      </c>
      <c r="B4265">
        <v>46</v>
      </c>
      <c r="C4265" t="s">
        <v>50</v>
      </c>
      <c r="D4265" t="s">
        <v>60</v>
      </c>
      <c r="E4265">
        <v>1057</v>
      </c>
      <c r="F4265">
        <v>90</v>
      </c>
      <c r="G4265">
        <v>3</v>
      </c>
      <c r="H4265">
        <v>725.09</v>
      </c>
      <c r="I4265">
        <v>2238.78</v>
      </c>
      <c r="J4265">
        <v>22</v>
      </c>
      <c r="K4265">
        <v>1</v>
      </c>
      <c r="L4265">
        <v>33</v>
      </c>
      <c r="M4265">
        <v>30.7</v>
      </c>
      <c r="N4265" t="s">
        <v>46</v>
      </c>
      <c r="O4265" t="s">
        <v>47</v>
      </c>
      <c r="P4265" t="s">
        <v>68</v>
      </c>
      <c r="R4265">
        <f>SUMIF(A4265:A9264,"C04264",I4265:I9264)</f>
        <v>2238.78</v>
      </c>
      <c r="S4265" s="1">
        <v>10933.46</v>
      </c>
      <c r="T4265">
        <f t="shared" si="484"/>
        <v>101.762727272727</v>
      </c>
      <c r="U4265">
        <f t="shared" si="483"/>
        <v>675.4</v>
      </c>
      <c r="V4265">
        <f>U4265*1</f>
        <v>675.4</v>
      </c>
      <c r="W4265">
        <f t="shared" si="481"/>
        <v>988.29</v>
      </c>
      <c r="X4265">
        <f t="shared" si="479"/>
        <v>1.4577500724048</v>
      </c>
      <c r="AH4265" t="str">
        <f t="shared" si="482"/>
        <v>3rd Quality</v>
      </c>
      <c r="AJ4265">
        <f>((T4265-X4265)*2)/33</f>
        <v>6.07908952729225</v>
      </c>
      <c r="AK4265">
        <f t="shared" si="480"/>
        <v>107563.202727273</v>
      </c>
    </row>
    <row r="4266" spans="1:37">
      <c r="A4266" t="s">
        <v>4332</v>
      </c>
      <c r="B4266">
        <v>41</v>
      </c>
      <c r="C4266" t="s">
        <v>44</v>
      </c>
      <c r="D4266" t="s">
        <v>45</v>
      </c>
      <c r="E4266">
        <v>746</v>
      </c>
      <c r="F4266">
        <v>64</v>
      </c>
      <c r="G4266">
        <v>5</v>
      </c>
      <c r="H4266">
        <v>785.42</v>
      </c>
      <c r="I4266">
        <v>4338.23</v>
      </c>
      <c r="J4266">
        <v>17</v>
      </c>
      <c r="K4266">
        <v>0</v>
      </c>
      <c r="L4266">
        <v>23.6</v>
      </c>
      <c r="M4266">
        <v>60.5</v>
      </c>
      <c r="N4266" t="s">
        <v>81</v>
      </c>
      <c r="O4266" t="s">
        <v>75</v>
      </c>
      <c r="P4266" t="s">
        <v>68</v>
      </c>
      <c r="R4266">
        <f>SUMIF(A4266:A9265,"C04265",I4266:I9265)</f>
        <v>4338.23</v>
      </c>
      <c r="S4266" s="1">
        <v>4255.87</v>
      </c>
      <c r="T4266">
        <f t="shared" si="484"/>
        <v>255.19</v>
      </c>
      <c r="U4266">
        <f t="shared" si="483"/>
        <v>1028.5</v>
      </c>
      <c r="V4266">
        <f t="shared" ref="V4266:V4271" si="485">U4266/12</f>
        <v>85.7083333333333</v>
      </c>
      <c r="W4266">
        <f t="shared" si="481"/>
        <v>1708.21666666667</v>
      </c>
      <c r="X4266">
        <f t="shared" si="479"/>
        <v>0.949810292582313</v>
      </c>
      <c r="AH4266" t="str">
        <f t="shared" si="482"/>
        <v>3rd Quality</v>
      </c>
      <c r="AJ4266">
        <f>((T4266-X4266)*2)/23.6</f>
        <v>21.5457787887642</v>
      </c>
      <c r="AK4266">
        <f t="shared" si="480"/>
        <v>190371.74</v>
      </c>
    </row>
    <row r="4267" spans="1:37">
      <c r="A4267" t="s">
        <v>4333</v>
      </c>
      <c r="B4267">
        <v>36</v>
      </c>
      <c r="C4267" t="s">
        <v>44</v>
      </c>
      <c r="D4267" t="s">
        <v>45</v>
      </c>
      <c r="E4267">
        <v>971</v>
      </c>
      <c r="F4267">
        <v>20</v>
      </c>
      <c r="G4267">
        <v>5</v>
      </c>
      <c r="H4267">
        <v>10748.2</v>
      </c>
      <c r="I4267">
        <v>50773.53</v>
      </c>
      <c r="J4267">
        <v>27</v>
      </c>
      <c r="K4267">
        <v>0</v>
      </c>
      <c r="L4267">
        <v>1.4</v>
      </c>
      <c r="M4267">
        <v>34.3</v>
      </c>
      <c r="N4267" t="s">
        <v>81</v>
      </c>
      <c r="O4267" t="s">
        <v>47</v>
      </c>
      <c r="P4267" t="s">
        <v>48</v>
      </c>
      <c r="R4267">
        <f>SUMIF(A4267:A9266,"C04266",I4267:I9266)</f>
        <v>50773.53</v>
      </c>
      <c r="S4267" s="1">
        <v>3007.05</v>
      </c>
      <c r="T4267">
        <f t="shared" si="484"/>
        <v>1880.50111111111</v>
      </c>
      <c r="U4267">
        <f t="shared" si="483"/>
        <v>926.1</v>
      </c>
      <c r="V4267">
        <f t="shared" si="485"/>
        <v>77.175</v>
      </c>
      <c r="W4267">
        <f t="shared" si="481"/>
        <v>20507.5766666667</v>
      </c>
      <c r="X4267">
        <f t="shared" si="479"/>
        <v>0.0903407082116075</v>
      </c>
      <c r="AH4267" t="str">
        <f t="shared" si="482"/>
        <v>2nd Quality</v>
      </c>
      <c r="AJ4267">
        <f>((T4267-X4267)*2)/1.4</f>
        <v>2686.30110057557</v>
      </c>
      <c r="AK4267">
        <f t="shared" si="480"/>
        <v>1825966.57888889</v>
      </c>
    </row>
    <row r="4268" spans="1:37">
      <c r="A4268" t="s">
        <v>4334</v>
      </c>
      <c r="B4268">
        <v>44</v>
      </c>
      <c r="C4268" t="s">
        <v>44</v>
      </c>
      <c r="D4268" t="s">
        <v>60</v>
      </c>
      <c r="E4268">
        <v>1101</v>
      </c>
      <c r="F4268">
        <v>8</v>
      </c>
      <c r="G4268">
        <v>6</v>
      </c>
      <c r="H4268">
        <v>1703.32</v>
      </c>
      <c r="I4268">
        <v>10933.46</v>
      </c>
      <c r="J4268">
        <v>22</v>
      </c>
      <c r="K4268">
        <v>0</v>
      </c>
      <c r="L4268">
        <v>11.9</v>
      </c>
      <c r="M4268">
        <v>17.3</v>
      </c>
      <c r="N4268" t="s">
        <v>63</v>
      </c>
      <c r="O4268" t="s">
        <v>47</v>
      </c>
      <c r="P4268" t="s">
        <v>58</v>
      </c>
      <c r="R4268">
        <f>SUMIF(A4268:A9267,"C04267",I4268:I9267)</f>
        <v>10933.46</v>
      </c>
      <c r="S4268" s="1">
        <v>8141.63</v>
      </c>
      <c r="T4268">
        <f t="shared" si="484"/>
        <v>496.975454545455</v>
      </c>
      <c r="U4268">
        <f t="shared" si="483"/>
        <v>380.6</v>
      </c>
      <c r="V4268">
        <f t="shared" si="485"/>
        <v>31.7166666666667</v>
      </c>
      <c r="W4268">
        <f t="shared" si="481"/>
        <v>4212.59333333333</v>
      </c>
      <c r="X4268">
        <f t="shared" si="479"/>
        <v>0.646384707512388</v>
      </c>
      <c r="AH4268" t="str">
        <f t="shared" si="482"/>
        <v>3rd Quality</v>
      </c>
      <c r="AJ4268">
        <f>((T4268-X4268)*2)/11.9</f>
        <v>83.4166503929315</v>
      </c>
      <c r="AK4268">
        <f t="shared" si="480"/>
        <v>547169.975454545</v>
      </c>
    </row>
    <row r="4269" spans="1:37">
      <c r="A4269" t="s">
        <v>4335</v>
      </c>
      <c r="B4269">
        <v>34</v>
      </c>
      <c r="C4269" t="s">
        <v>44</v>
      </c>
      <c r="D4269" t="s">
        <v>45</v>
      </c>
      <c r="E4269">
        <v>1368</v>
      </c>
      <c r="F4269">
        <v>115</v>
      </c>
      <c r="G4269">
        <v>4</v>
      </c>
      <c r="H4269">
        <v>990.12</v>
      </c>
      <c r="I4269">
        <v>4255.87</v>
      </c>
      <c r="J4269">
        <v>19</v>
      </c>
      <c r="K4269">
        <v>0</v>
      </c>
      <c r="L4269">
        <v>37.4</v>
      </c>
      <c r="M4269">
        <v>24.3</v>
      </c>
      <c r="N4269" t="s">
        <v>52</v>
      </c>
      <c r="O4269" t="s">
        <v>75</v>
      </c>
      <c r="P4269" t="s">
        <v>68</v>
      </c>
      <c r="R4269">
        <f>SUMIF(A4269:A9268,"C04268",I4269:I9268)</f>
        <v>4255.87</v>
      </c>
      <c r="S4269" s="1">
        <v>11977.61</v>
      </c>
      <c r="T4269">
        <f t="shared" si="484"/>
        <v>223.993157894737</v>
      </c>
      <c r="U4269">
        <f t="shared" si="483"/>
        <v>461.7</v>
      </c>
      <c r="V4269">
        <f t="shared" si="485"/>
        <v>38.475</v>
      </c>
      <c r="W4269">
        <f t="shared" si="481"/>
        <v>1748.99666666667</v>
      </c>
      <c r="X4269">
        <f t="shared" si="479"/>
        <v>1.38165070900497</v>
      </c>
      <c r="AH4269" t="str">
        <f t="shared" si="482"/>
        <v>3rd Quality</v>
      </c>
      <c r="AJ4269">
        <f>((T4269-X4269)*2)/37.4</f>
        <v>11.9043586730338</v>
      </c>
      <c r="AK4269">
        <f t="shared" si="480"/>
        <v>306422.64</v>
      </c>
    </row>
    <row r="4270" spans="1:37">
      <c r="A4270" t="s">
        <v>4336</v>
      </c>
      <c r="B4270">
        <v>52</v>
      </c>
      <c r="C4270" t="s">
        <v>50</v>
      </c>
      <c r="D4270" t="s">
        <v>60</v>
      </c>
      <c r="E4270">
        <v>882</v>
      </c>
      <c r="F4270">
        <v>365</v>
      </c>
      <c r="G4270">
        <v>2</v>
      </c>
      <c r="H4270">
        <v>1679.52</v>
      </c>
      <c r="I4270">
        <v>3007.05</v>
      </c>
      <c r="J4270">
        <v>17</v>
      </c>
      <c r="K4270">
        <v>0</v>
      </c>
      <c r="L4270">
        <v>44.3</v>
      </c>
      <c r="M4270">
        <v>38.9</v>
      </c>
      <c r="N4270" t="s">
        <v>61</v>
      </c>
      <c r="O4270" t="s">
        <v>47</v>
      </c>
      <c r="P4270" t="s">
        <v>58</v>
      </c>
      <c r="R4270">
        <f>SUMIF(A4270:A9269,"C04269",I4270:I9269)</f>
        <v>3007.05</v>
      </c>
      <c r="S4270" s="1">
        <v>12242.99</v>
      </c>
      <c r="T4270">
        <f t="shared" si="484"/>
        <v>176.885294117647</v>
      </c>
      <c r="U4270">
        <f t="shared" si="483"/>
        <v>661.3</v>
      </c>
      <c r="V4270">
        <f t="shared" si="485"/>
        <v>55.1083333333333</v>
      </c>
      <c r="W4270">
        <f t="shared" si="481"/>
        <v>1562.52333333333</v>
      </c>
      <c r="X4270">
        <f t="shared" si="479"/>
        <v>0.525150042869391</v>
      </c>
      <c r="AH4270" t="str">
        <f t="shared" si="482"/>
        <v>3rd Quality</v>
      </c>
      <c r="AJ4270">
        <f>((T4270-X4270)*2)/44.3</f>
        <v>7.9620832539403</v>
      </c>
      <c r="AK4270">
        <f t="shared" si="480"/>
        <v>156012.829411765</v>
      </c>
    </row>
    <row r="4271" spans="1:37">
      <c r="A4271" t="s">
        <v>4337</v>
      </c>
      <c r="B4271">
        <v>22</v>
      </c>
      <c r="C4271" t="s">
        <v>50</v>
      </c>
      <c r="D4271" t="s">
        <v>60</v>
      </c>
      <c r="E4271">
        <v>722</v>
      </c>
      <c r="F4271">
        <v>94</v>
      </c>
      <c r="G4271">
        <v>6</v>
      </c>
      <c r="H4271">
        <v>1288.2</v>
      </c>
      <c r="I4271">
        <v>8141.63</v>
      </c>
      <c r="J4271">
        <v>32</v>
      </c>
      <c r="K4271">
        <v>0</v>
      </c>
      <c r="L4271">
        <v>24.4</v>
      </c>
      <c r="M4271">
        <v>60.4</v>
      </c>
      <c r="N4271" t="s">
        <v>46</v>
      </c>
      <c r="O4271" t="s">
        <v>47</v>
      </c>
      <c r="P4271" t="s">
        <v>58</v>
      </c>
      <c r="R4271">
        <f>SUMIF(A4271:A9270,"C04270",I4271:I9270)</f>
        <v>8141.63</v>
      </c>
      <c r="S4271" s="1">
        <v>1788.62</v>
      </c>
      <c r="T4271">
        <f t="shared" si="484"/>
        <v>254.4259375</v>
      </c>
      <c r="U4271">
        <f t="shared" si="483"/>
        <v>1932.8</v>
      </c>
      <c r="V4271">
        <f t="shared" si="485"/>
        <v>161.066666666667</v>
      </c>
      <c r="W4271">
        <f t="shared" si="481"/>
        <v>3143.61</v>
      </c>
      <c r="X4271">
        <f t="shared" si="479"/>
        <v>0.56047197640118</v>
      </c>
      <c r="AH4271" t="str">
        <f t="shared" si="482"/>
        <v>3rd Quality</v>
      </c>
      <c r="AJ4271">
        <f>((T4271-X4271)*2)/24.4</f>
        <v>20.8086447150491</v>
      </c>
      <c r="AK4271">
        <f t="shared" si="480"/>
        <v>183695.526875</v>
      </c>
    </row>
    <row r="4272" spans="1:37">
      <c r="A4272" t="s">
        <v>4338</v>
      </c>
      <c r="B4272">
        <v>18</v>
      </c>
      <c r="C4272" t="s">
        <v>44</v>
      </c>
      <c r="D4272" t="s">
        <v>51</v>
      </c>
      <c r="E4272">
        <v>579</v>
      </c>
      <c r="F4272">
        <v>150</v>
      </c>
      <c r="G4272">
        <v>6</v>
      </c>
      <c r="H4272">
        <v>1849.61</v>
      </c>
      <c r="I4272">
        <v>11977.61</v>
      </c>
      <c r="J4272">
        <v>54</v>
      </c>
      <c r="K4272">
        <v>1</v>
      </c>
      <c r="L4272">
        <v>21.2</v>
      </c>
      <c r="M4272">
        <v>27.1</v>
      </c>
      <c r="N4272" t="s">
        <v>63</v>
      </c>
      <c r="O4272" t="s">
        <v>53</v>
      </c>
      <c r="P4272" t="s">
        <v>68</v>
      </c>
      <c r="R4272">
        <f>SUMIF(A4272:A9271,"C04271",I4272:I9271)</f>
        <v>11977.61</v>
      </c>
      <c r="S4272" s="1">
        <v>887.98</v>
      </c>
      <c r="T4272">
        <f t="shared" si="484"/>
        <v>221.807592592593</v>
      </c>
      <c r="U4272">
        <f t="shared" si="483"/>
        <v>1463.4</v>
      </c>
      <c r="V4272">
        <f>U4272*1</f>
        <v>1463.4</v>
      </c>
      <c r="W4272">
        <f t="shared" si="481"/>
        <v>4609.40666666667</v>
      </c>
      <c r="X4272">
        <f t="shared" si="479"/>
        <v>0.313038964970994</v>
      </c>
      <c r="AH4272" t="str">
        <f t="shared" si="482"/>
        <v>3rd Quality</v>
      </c>
      <c r="AJ4272">
        <f>((T4272-X4272)*2)/21.2</f>
        <v>20.8957126063794</v>
      </c>
      <c r="AK4272">
        <f t="shared" si="480"/>
        <v>128426.596111111</v>
      </c>
    </row>
    <row r="4273" spans="1:37">
      <c r="A4273" t="s">
        <v>4339</v>
      </c>
      <c r="B4273">
        <v>19</v>
      </c>
      <c r="C4273" t="s">
        <v>44</v>
      </c>
      <c r="D4273" t="s">
        <v>51</v>
      </c>
      <c r="E4273">
        <v>1186</v>
      </c>
      <c r="F4273">
        <v>26</v>
      </c>
      <c r="G4273">
        <v>13</v>
      </c>
      <c r="H4273">
        <v>933.62</v>
      </c>
      <c r="I4273">
        <v>12242.99</v>
      </c>
      <c r="J4273">
        <v>55</v>
      </c>
      <c r="K4273">
        <v>2</v>
      </c>
      <c r="L4273">
        <v>30.9</v>
      </c>
      <c r="M4273">
        <v>31.7</v>
      </c>
      <c r="N4273" t="s">
        <v>57</v>
      </c>
      <c r="O4273" t="s">
        <v>47</v>
      </c>
      <c r="P4273" t="s">
        <v>58</v>
      </c>
      <c r="R4273">
        <f>SUMIF(A4273:A9272,"C04272",I4273:I9272)</f>
        <v>12242.99</v>
      </c>
      <c r="S4273" s="1">
        <v>78107.69</v>
      </c>
      <c r="T4273">
        <f t="shared" si="484"/>
        <v>222.599818181818</v>
      </c>
      <c r="U4273">
        <f t="shared" si="483"/>
        <v>1743.5</v>
      </c>
      <c r="V4273">
        <f>U4273*2</f>
        <v>3487</v>
      </c>
      <c r="W4273">
        <f t="shared" si="481"/>
        <v>4392.53666666667</v>
      </c>
      <c r="X4273">
        <f t="shared" si="479"/>
        <v>1.27032411473619</v>
      </c>
      <c r="AH4273" t="str">
        <f t="shared" si="482"/>
        <v>3rd Quality</v>
      </c>
      <c r="AJ4273">
        <f>((T4273-X4273)*2)/30.9</f>
        <v>14.3255335965749</v>
      </c>
      <c r="AK4273">
        <f t="shared" si="480"/>
        <v>264003.384363636</v>
      </c>
    </row>
    <row r="4274" spans="1:37">
      <c r="A4274" t="s">
        <v>4340</v>
      </c>
      <c r="B4274">
        <v>36</v>
      </c>
      <c r="C4274" t="s">
        <v>44</v>
      </c>
      <c r="D4274" t="s">
        <v>51</v>
      </c>
      <c r="E4274">
        <v>741</v>
      </c>
      <c r="F4274">
        <v>191</v>
      </c>
      <c r="G4274">
        <v>3</v>
      </c>
      <c r="H4274">
        <v>657.57</v>
      </c>
      <c r="I4274">
        <v>1788.62</v>
      </c>
      <c r="J4274">
        <v>23</v>
      </c>
      <c r="K4274">
        <v>0</v>
      </c>
      <c r="L4274">
        <v>21</v>
      </c>
      <c r="M4274">
        <v>49.9</v>
      </c>
      <c r="N4274" t="s">
        <v>63</v>
      </c>
      <c r="O4274" t="s">
        <v>53</v>
      </c>
      <c r="P4274" t="s">
        <v>48</v>
      </c>
      <c r="R4274">
        <f>SUMIF(A4274:A9273,"C04273",I4274:I9273)</f>
        <v>1788.62</v>
      </c>
      <c r="S4274" s="1">
        <v>70255.46</v>
      </c>
      <c r="T4274">
        <f t="shared" si="484"/>
        <v>77.7660869565217</v>
      </c>
      <c r="U4274">
        <f t="shared" si="483"/>
        <v>1147.7</v>
      </c>
      <c r="V4274">
        <f>U4274/12</f>
        <v>95.6416666666667</v>
      </c>
      <c r="W4274">
        <f t="shared" si="481"/>
        <v>815.73</v>
      </c>
      <c r="X4274">
        <f t="shared" si="479"/>
        <v>1.12687622610521</v>
      </c>
      <c r="AH4274" t="str">
        <f t="shared" si="482"/>
        <v>3rd Quality</v>
      </c>
      <c r="AJ4274">
        <f>((T4274-X4274)*2)/21</f>
        <v>7.29897245051586</v>
      </c>
      <c r="AK4274">
        <f t="shared" si="480"/>
        <v>57624.6704347826</v>
      </c>
    </row>
    <row r="4275" spans="1:37">
      <c r="A4275" t="s">
        <v>4341</v>
      </c>
      <c r="B4275">
        <v>42</v>
      </c>
      <c r="C4275" t="s">
        <v>50</v>
      </c>
      <c r="D4275" t="s">
        <v>60</v>
      </c>
      <c r="E4275">
        <v>1126</v>
      </c>
      <c r="F4275">
        <v>6</v>
      </c>
      <c r="G4275">
        <v>1</v>
      </c>
      <c r="H4275">
        <v>987.81</v>
      </c>
      <c r="I4275">
        <v>887.98</v>
      </c>
      <c r="J4275">
        <v>13</v>
      </c>
      <c r="K4275">
        <v>0</v>
      </c>
      <c r="L4275">
        <v>19.6</v>
      </c>
      <c r="M4275">
        <v>25.1</v>
      </c>
      <c r="N4275" t="s">
        <v>63</v>
      </c>
      <c r="O4275" t="s">
        <v>47</v>
      </c>
      <c r="P4275" t="s">
        <v>58</v>
      </c>
      <c r="R4275">
        <f>SUMIF(A4275:A9274,"C04274",I4275:I9274)</f>
        <v>887.98</v>
      </c>
      <c r="S4275" s="1">
        <v>5851.53</v>
      </c>
      <c r="T4275">
        <f t="shared" si="484"/>
        <v>68.3061538461538</v>
      </c>
      <c r="U4275">
        <f t="shared" si="483"/>
        <v>326.3</v>
      </c>
      <c r="V4275">
        <f>U4275/12</f>
        <v>27.1916666666667</v>
      </c>
      <c r="W4275">
        <f t="shared" si="481"/>
        <v>625.596666666667</v>
      </c>
      <c r="X4275">
        <f t="shared" si="479"/>
        <v>1.13989532399955</v>
      </c>
      <c r="AH4275" t="str">
        <f t="shared" si="482"/>
        <v>3rd Quality</v>
      </c>
      <c r="AJ4275">
        <f>((T4275-X4275)*2)/19.6</f>
        <v>6.85369984919941</v>
      </c>
      <c r="AK4275">
        <f t="shared" si="480"/>
        <v>76912.7292307692</v>
      </c>
    </row>
    <row r="4276" spans="1:37">
      <c r="A4276" t="s">
        <v>4342</v>
      </c>
      <c r="B4276">
        <v>44</v>
      </c>
      <c r="C4276" t="s">
        <v>44</v>
      </c>
      <c r="D4276" t="s">
        <v>51</v>
      </c>
      <c r="E4276">
        <v>661</v>
      </c>
      <c r="F4276">
        <v>10</v>
      </c>
      <c r="G4276">
        <v>26</v>
      </c>
      <c r="H4276">
        <v>3392.01</v>
      </c>
      <c r="I4276">
        <v>78107.69</v>
      </c>
      <c r="J4276">
        <v>62</v>
      </c>
      <c r="K4276">
        <v>1</v>
      </c>
      <c r="L4276">
        <v>18.5</v>
      </c>
      <c r="M4276">
        <v>46.2</v>
      </c>
      <c r="N4276" t="s">
        <v>78</v>
      </c>
      <c r="O4276" t="s">
        <v>47</v>
      </c>
      <c r="P4276" t="s">
        <v>58</v>
      </c>
      <c r="R4276">
        <f>SUMIF(A4276:A9275,"C04275",I4276:I9275)</f>
        <v>78107.69</v>
      </c>
      <c r="S4276" s="1">
        <v>6697</v>
      </c>
      <c r="T4276">
        <f t="shared" si="484"/>
        <v>1259.8014516129</v>
      </c>
      <c r="U4276">
        <f t="shared" si="483"/>
        <v>2864.4</v>
      </c>
      <c r="V4276">
        <f>U4276*1</f>
        <v>2864.4</v>
      </c>
      <c r="W4276">
        <f t="shared" si="481"/>
        <v>27166.9</v>
      </c>
      <c r="X4276">
        <f t="shared" si="479"/>
        <v>0.194869708520906</v>
      </c>
      <c r="AH4276" t="str">
        <f t="shared" si="482"/>
        <v>3rd Quality</v>
      </c>
      <c r="AJ4276">
        <f>((T4276-X4276)*2)/18.5</f>
        <v>136.173684530203</v>
      </c>
      <c r="AK4276">
        <f t="shared" si="480"/>
        <v>832728.759516129</v>
      </c>
    </row>
    <row r="4277" spans="1:37">
      <c r="A4277" t="s">
        <v>4343</v>
      </c>
      <c r="B4277">
        <v>54</v>
      </c>
      <c r="C4277" t="s">
        <v>50</v>
      </c>
      <c r="D4277" t="s">
        <v>60</v>
      </c>
      <c r="E4277">
        <v>1258</v>
      </c>
      <c r="F4277">
        <v>8</v>
      </c>
      <c r="G4277">
        <v>20</v>
      </c>
      <c r="H4277">
        <v>3629.4</v>
      </c>
      <c r="I4277">
        <v>70255.46</v>
      </c>
      <c r="J4277">
        <v>68</v>
      </c>
      <c r="K4277">
        <v>1</v>
      </c>
      <c r="L4277">
        <v>7.3</v>
      </c>
      <c r="M4277">
        <v>28.6</v>
      </c>
      <c r="N4277" t="s">
        <v>61</v>
      </c>
      <c r="O4277" t="s">
        <v>47</v>
      </c>
      <c r="P4277" t="s">
        <v>54</v>
      </c>
      <c r="R4277">
        <f>SUMIF(A4277:A9276,"C04276",I4277:I9276)</f>
        <v>70255.46</v>
      </c>
      <c r="S4277" s="1">
        <v>28276.19</v>
      </c>
      <c r="T4277">
        <f t="shared" si="484"/>
        <v>1033.16852941176</v>
      </c>
      <c r="U4277">
        <f t="shared" si="483"/>
        <v>1944.8</v>
      </c>
      <c r="V4277">
        <f>U4277*1</f>
        <v>1944.8</v>
      </c>
      <c r="W4277">
        <f t="shared" si="481"/>
        <v>24628.62</v>
      </c>
      <c r="X4277">
        <f t="shared" si="479"/>
        <v>0.346613765360666</v>
      </c>
      <c r="AH4277" t="str">
        <f t="shared" si="482"/>
        <v>3rd Quality</v>
      </c>
      <c r="AJ4277">
        <f>((T4277-X4277)*2)/7.3</f>
        <v>282.964908396274</v>
      </c>
      <c r="AK4277">
        <f t="shared" si="480"/>
        <v>1299726.01</v>
      </c>
    </row>
    <row r="4278" spans="1:37">
      <c r="A4278" t="s">
        <v>4344</v>
      </c>
      <c r="B4278">
        <v>28</v>
      </c>
      <c r="C4278" t="s">
        <v>50</v>
      </c>
      <c r="D4278" t="s">
        <v>60</v>
      </c>
      <c r="E4278">
        <v>1098</v>
      </c>
      <c r="F4278">
        <v>28</v>
      </c>
      <c r="G4278">
        <v>3</v>
      </c>
      <c r="H4278">
        <v>1895.37</v>
      </c>
      <c r="I4278">
        <v>5851.53</v>
      </c>
      <c r="J4278">
        <v>26</v>
      </c>
      <c r="K4278">
        <v>0</v>
      </c>
      <c r="L4278">
        <v>21.6</v>
      </c>
      <c r="M4278">
        <v>41.9</v>
      </c>
      <c r="N4278" t="s">
        <v>57</v>
      </c>
      <c r="O4278" t="s">
        <v>47</v>
      </c>
      <c r="P4278" t="s">
        <v>58</v>
      </c>
      <c r="R4278">
        <f>SUMIF(A4278:A9277,"C04277",I4278:I9277)</f>
        <v>5851.53</v>
      </c>
      <c r="S4278" s="1">
        <v>2506.47</v>
      </c>
      <c r="T4278">
        <f t="shared" si="484"/>
        <v>225.058846153846</v>
      </c>
      <c r="U4278">
        <f t="shared" si="483"/>
        <v>1089.4</v>
      </c>
      <c r="V4278">
        <f t="shared" ref="V4278:V4341" si="486">U4278/12</f>
        <v>90.7833333333333</v>
      </c>
      <c r="W4278">
        <f t="shared" si="481"/>
        <v>2582.63333333333</v>
      </c>
      <c r="X4278">
        <f t="shared" si="479"/>
        <v>0.579306415106285</v>
      </c>
      <c r="AH4278" t="str">
        <f t="shared" si="482"/>
        <v>3rd Quality</v>
      </c>
      <c r="AJ4278">
        <f>((T4278-X4278)*2)/21.6</f>
        <v>20.7851425684018</v>
      </c>
      <c r="AK4278">
        <f t="shared" si="480"/>
        <v>247114.613076923</v>
      </c>
    </row>
    <row r="4279" spans="1:37">
      <c r="A4279" t="s">
        <v>4345</v>
      </c>
      <c r="B4279">
        <v>36</v>
      </c>
      <c r="C4279" t="s">
        <v>44</v>
      </c>
      <c r="D4279" t="s">
        <v>51</v>
      </c>
      <c r="E4279">
        <v>912</v>
      </c>
      <c r="F4279">
        <v>88</v>
      </c>
      <c r="G4279">
        <v>7</v>
      </c>
      <c r="H4279">
        <v>940.88</v>
      </c>
      <c r="I4279">
        <v>6697</v>
      </c>
      <c r="J4279">
        <v>58</v>
      </c>
      <c r="K4279">
        <v>1</v>
      </c>
      <c r="L4279">
        <v>38.9</v>
      </c>
      <c r="M4279">
        <v>33.8</v>
      </c>
      <c r="N4279" t="s">
        <v>78</v>
      </c>
      <c r="O4279" t="s">
        <v>47</v>
      </c>
      <c r="P4279" t="s">
        <v>58</v>
      </c>
      <c r="R4279">
        <f>SUMIF(A4279:A9278,"C04278",I4279:I9278)</f>
        <v>6697</v>
      </c>
      <c r="S4279" s="1">
        <v>49700.31</v>
      </c>
      <c r="T4279">
        <f t="shared" si="484"/>
        <v>115.465517241379</v>
      </c>
      <c r="U4279">
        <f t="shared" si="483"/>
        <v>1960.4</v>
      </c>
      <c r="V4279">
        <f>U4279*1</f>
        <v>1960.4</v>
      </c>
      <c r="W4279">
        <f t="shared" si="481"/>
        <v>2546.29333333333</v>
      </c>
      <c r="X4279">
        <f t="shared" si="479"/>
        <v>0.969305331179321</v>
      </c>
      <c r="AH4279" t="str">
        <f t="shared" si="482"/>
        <v>3rd Quality</v>
      </c>
      <c r="AJ4279">
        <f>((T4279-X4279)*2)/38.9</f>
        <v>5.8866946997532</v>
      </c>
      <c r="AK4279">
        <f t="shared" si="480"/>
        <v>105304.551724138</v>
      </c>
    </row>
    <row r="4280" spans="1:37">
      <c r="A4280" t="s">
        <v>4346</v>
      </c>
      <c r="B4280">
        <v>18</v>
      </c>
      <c r="C4280" t="s">
        <v>56</v>
      </c>
      <c r="D4280" t="s">
        <v>45</v>
      </c>
      <c r="E4280">
        <v>1448</v>
      </c>
      <c r="F4280">
        <v>13</v>
      </c>
      <c r="G4280">
        <v>14</v>
      </c>
      <c r="H4280">
        <v>2015</v>
      </c>
      <c r="I4280">
        <v>28276.19</v>
      </c>
      <c r="J4280">
        <v>92</v>
      </c>
      <c r="K4280">
        <v>2</v>
      </c>
      <c r="L4280">
        <v>19.3</v>
      </c>
      <c r="M4280">
        <v>5.2</v>
      </c>
      <c r="N4280" t="s">
        <v>81</v>
      </c>
      <c r="O4280" t="s">
        <v>75</v>
      </c>
      <c r="P4280" t="s">
        <v>58</v>
      </c>
      <c r="R4280">
        <f>SUMIF(A4280:A9279,"C04279",I4280:I9279)</f>
        <v>28276.19</v>
      </c>
      <c r="S4280" s="1">
        <v>8475.19</v>
      </c>
      <c r="T4280">
        <f t="shared" si="484"/>
        <v>307.349891304348</v>
      </c>
      <c r="U4280">
        <f t="shared" si="483"/>
        <v>478.4</v>
      </c>
      <c r="V4280">
        <f>U4280*2</f>
        <v>956.8</v>
      </c>
      <c r="W4280">
        <f t="shared" si="481"/>
        <v>10097.3966666667</v>
      </c>
      <c r="X4280">
        <f t="shared" ref="X4280:X4343" si="487">E4280/H4280</f>
        <v>0.718610421836228</v>
      </c>
      <c r="AH4280" t="str">
        <f t="shared" si="482"/>
        <v>2nd Quality</v>
      </c>
      <c r="AJ4280">
        <f>((T4280-X4280)*2)/19.3</f>
        <v>31.7752622676178</v>
      </c>
      <c r="AK4280">
        <f t="shared" si="480"/>
        <v>445042.642608696</v>
      </c>
    </row>
    <row r="4281" spans="1:37">
      <c r="A4281" t="s">
        <v>4347</v>
      </c>
      <c r="B4281">
        <v>22</v>
      </c>
      <c r="C4281" t="s">
        <v>50</v>
      </c>
      <c r="D4281" t="s">
        <v>60</v>
      </c>
      <c r="E4281">
        <v>908</v>
      </c>
      <c r="F4281">
        <v>37</v>
      </c>
      <c r="G4281">
        <v>2</v>
      </c>
      <c r="H4281">
        <v>1278.63</v>
      </c>
      <c r="I4281">
        <v>2506.47</v>
      </c>
      <c r="J4281">
        <v>29</v>
      </c>
      <c r="K4281">
        <v>0</v>
      </c>
      <c r="L4281">
        <v>25.2</v>
      </c>
      <c r="M4281">
        <v>39.3</v>
      </c>
      <c r="N4281" t="s">
        <v>46</v>
      </c>
      <c r="O4281" t="s">
        <v>47</v>
      </c>
      <c r="P4281" t="s">
        <v>58</v>
      </c>
      <c r="R4281">
        <f>SUMIF(A4281:A9280,"C04280",I4281:I9280)</f>
        <v>2506.47</v>
      </c>
      <c r="S4281" s="1">
        <v>61208.98</v>
      </c>
      <c r="T4281">
        <f t="shared" si="484"/>
        <v>86.43</v>
      </c>
      <c r="U4281">
        <f t="shared" si="483"/>
        <v>1139.7</v>
      </c>
      <c r="V4281">
        <f t="shared" si="486"/>
        <v>94.975</v>
      </c>
      <c r="W4281">
        <f t="shared" si="481"/>
        <v>1262.03333333333</v>
      </c>
      <c r="X4281">
        <f t="shared" si="487"/>
        <v>0.710135066438297</v>
      </c>
      <c r="AH4281" t="str">
        <f t="shared" si="482"/>
        <v>3rd Quality</v>
      </c>
      <c r="AJ4281">
        <f>((T4281-X4281)*2)/25.2</f>
        <v>6.80316388361601</v>
      </c>
      <c r="AK4281">
        <f t="shared" si="480"/>
        <v>78478.44</v>
      </c>
    </row>
    <row r="4282" spans="1:37">
      <c r="A4282" t="s">
        <v>4348</v>
      </c>
      <c r="B4282">
        <v>44</v>
      </c>
      <c r="C4282" t="s">
        <v>44</v>
      </c>
      <c r="D4282" t="s">
        <v>45</v>
      </c>
      <c r="E4282">
        <v>959</v>
      </c>
      <c r="F4282">
        <v>2</v>
      </c>
      <c r="G4282">
        <v>22</v>
      </c>
      <c r="H4282">
        <v>2165.12</v>
      </c>
      <c r="I4282">
        <v>49700.31</v>
      </c>
      <c r="J4282">
        <v>70</v>
      </c>
      <c r="K4282">
        <v>5</v>
      </c>
      <c r="L4282">
        <v>7.9</v>
      </c>
      <c r="M4282">
        <v>7.4</v>
      </c>
      <c r="N4282" t="s">
        <v>46</v>
      </c>
      <c r="O4282" t="s">
        <v>53</v>
      </c>
      <c r="P4282" t="s">
        <v>54</v>
      </c>
      <c r="R4282">
        <f>SUMIF(A4282:A9281,"C04281",I4282:I9281)</f>
        <v>49700.31</v>
      </c>
      <c r="S4282" s="1">
        <v>79770.31</v>
      </c>
      <c r="T4282">
        <f t="shared" si="484"/>
        <v>710.004428571429</v>
      </c>
      <c r="U4282">
        <f t="shared" si="483"/>
        <v>518</v>
      </c>
      <c r="V4282">
        <f>U4282*5</f>
        <v>2590</v>
      </c>
      <c r="W4282">
        <f t="shared" si="481"/>
        <v>17288.81</v>
      </c>
      <c r="X4282">
        <f t="shared" si="487"/>
        <v>0.44293156961277</v>
      </c>
      <c r="AH4282" t="str">
        <f t="shared" si="482"/>
        <v>3rd Quality</v>
      </c>
      <c r="AJ4282">
        <f>((T4282-X4282)*2)/7.9</f>
        <v>179.635822025776</v>
      </c>
      <c r="AK4282">
        <f t="shared" si="480"/>
        <v>680894.247</v>
      </c>
    </row>
    <row r="4283" spans="1:37">
      <c r="A4283" t="s">
        <v>4349</v>
      </c>
      <c r="B4283">
        <v>30</v>
      </c>
      <c r="C4283" t="s">
        <v>50</v>
      </c>
      <c r="D4283" t="s">
        <v>45</v>
      </c>
      <c r="E4283">
        <v>407</v>
      </c>
      <c r="F4283">
        <v>45</v>
      </c>
      <c r="G4283">
        <v>7</v>
      </c>
      <c r="H4283">
        <v>1108.76</v>
      </c>
      <c r="I4283">
        <v>8475.19</v>
      </c>
      <c r="J4283">
        <v>19</v>
      </c>
      <c r="K4283">
        <v>0</v>
      </c>
      <c r="L4283">
        <v>35</v>
      </c>
      <c r="M4283">
        <v>36.2</v>
      </c>
      <c r="N4283" t="s">
        <v>63</v>
      </c>
      <c r="O4283" t="s">
        <v>75</v>
      </c>
      <c r="P4283" t="s">
        <v>58</v>
      </c>
      <c r="R4283">
        <f>SUMIF(A4283:A9282,"C04282",I4283:I9282)</f>
        <v>8475.19</v>
      </c>
      <c r="S4283" s="1">
        <v>1472.61</v>
      </c>
      <c r="T4283">
        <f t="shared" si="484"/>
        <v>446.062631578947</v>
      </c>
      <c r="U4283">
        <f t="shared" si="483"/>
        <v>687.8</v>
      </c>
      <c r="V4283">
        <f t="shared" si="486"/>
        <v>57.3166666666667</v>
      </c>
      <c r="W4283">
        <f t="shared" si="481"/>
        <v>3194.98333333333</v>
      </c>
      <c r="X4283">
        <f t="shared" si="487"/>
        <v>0.367076734369927</v>
      </c>
      <c r="AH4283" t="str">
        <f t="shared" si="482"/>
        <v>3rd Quality</v>
      </c>
      <c r="AJ4283">
        <f>((T4283-X4283)*2)/35</f>
        <v>25.4683174196901</v>
      </c>
      <c r="AK4283">
        <f t="shared" si="480"/>
        <v>181547.491052632</v>
      </c>
    </row>
    <row r="4284" spans="1:37">
      <c r="A4284" t="s">
        <v>4350</v>
      </c>
      <c r="B4284">
        <v>34</v>
      </c>
      <c r="C4284" t="s">
        <v>44</v>
      </c>
      <c r="D4284" t="s">
        <v>51</v>
      </c>
      <c r="E4284">
        <v>1077</v>
      </c>
      <c r="F4284">
        <v>1</v>
      </c>
      <c r="G4284">
        <v>6</v>
      </c>
      <c r="H4284">
        <v>9460.23</v>
      </c>
      <c r="I4284">
        <v>61208.98</v>
      </c>
      <c r="J4284">
        <v>46</v>
      </c>
      <c r="K4284">
        <v>0</v>
      </c>
      <c r="L4284">
        <v>11.8</v>
      </c>
      <c r="M4284">
        <v>17.6</v>
      </c>
      <c r="N4284" t="s">
        <v>78</v>
      </c>
      <c r="O4284" t="s">
        <v>47</v>
      </c>
      <c r="P4284" t="s">
        <v>66</v>
      </c>
      <c r="R4284">
        <f>SUMIF(A4284:A9283,"C04283",I4284:I9283)</f>
        <v>61208.98</v>
      </c>
      <c r="S4284" s="1">
        <v>75380.87</v>
      </c>
      <c r="T4284">
        <f t="shared" si="484"/>
        <v>1330.63</v>
      </c>
      <c r="U4284">
        <f t="shared" si="483"/>
        <v>809.6</v>
      </c>
      <c r="V4284">
        <f t="shared" si="486"/>
        <v>67.4666666666667</v>
      </c>
      <c r="W4284">
        <f t="shared" si="481"/>
        <v>23556.7366666667</v>
      </c>
      <c r="X4284">
        <f t="shared" si="487"/>
        <v>0.113845012224861</v>
      </c>
      <c r="AH4284" t="str">
        <f t="shared" si="482"/>
        <v>2nd Quality</v>
      </c>
      <c r="AJ4284">
        <f>((T4284-X4284)*2)/11.8</f>
        <v>225.511212709792</v>
      </c>
      <c r="AK4284">
        <f t="shared" si="480"/>
        <v>1433088.51</v>
      </c>
    </row>
    <row r="4285" spans="1:37">
      <c r="A4285" t="s">
        <v>4351</v>
      </c>
      <c r="B4285">
        <v>27</v>
      </c>
      <c r="C4285" t="s">
        <v>50</v>
      </c>
      <c r="D4285" t="s">
        <v>60</v>
      </c>
      <c r="E4285">
        <v>1386</v>
      </c>
      <c r="F4285">
        <v>10</v>
      </c>
      <c r="G4285">
        <v>31</v>
      </c>
      <c r="H4285">
        <v>2446.95</v>
      </c>
      <c r="I4285">
        <v>79770.31</v>
      </c>
      <c r="J4285">
        <v>70</v>
      </c>
      <c r="K4285">
        <v>1</v>
      </c>
      <c r="L4285">
        <v>13</v>
      </c>
      <c r="M4285">
        <v>48.8</v>
      </c>
      <c r="N4285" t="s">
        <v>78</v>
      </c>
      <c r="O4285" t="s">
        <v>75</v>
      </c>
      <c r="P4285" t="s">
        <v>58</v>
      </c>
      <c r="R4285">
        <f>SUMIF(A4285:A9284,"C04284",I4285:I9284)</f>
        <v>79770.31</v>
      </c>
      <c r="S4285" s="1">
        <v>1762.96</v>
      </c>
      <c r="T4285">
        <f t="shared" si="484"/>
        <v>1139.57585714286</v>
      </c>
      <c r="U4285">
        <f t="shared" si="483"/>
        <v>3416</v>
      </c>
      <c r="V4285">
        <f>U4285*1</f>
        <v>3416</v>
      </c>
      <c r="W4285">
        <f t="shared" si="481"/>
        <v>27406.0866666667</v>
      </c>
      <c r="X4285">
        <f t="shared" si="487"/>
        <v>0.566419420094403</v>
      </c>
      <c r="AH4285" t="str">
        <f t="shared" si="482"/>
        <v>1st Quality</v>
      </c>
      <c r="AJ4285">
        <f>((T4285-X4285)*2)/13</f>
        <v>175.232221188118</v>
      </c>
      <c r="AK4285">
        <f t="shared" si="480"/>
        <v>1579452.138</v>
      </c>
    </row>
    <row r="4286" spans="1:37">
      <c r="A4286" t="s">
        <v>4352</v>
      </c>
      <c r="B4286">
        <v>27</v>
      </c>
      <c r="C4286" t="s">
        <v>44</v>
      </c>
      <c r="D4286" t="s">
        <v>45</v>
      </c>
      <c r="E4286">
        <v>1004</v>
      </c>
      <c r="F4286">
        <v>118</v>
      </c>
      <c r="G4286">
        <v>1</v>
      </c>
      <c r="H4286">
        <v>1549.86</v>
      </c>
      <c r="I4286">
        <v>1472.61</v>
      </c>
      <c r="J4286">
        <v>10</v>
      </c>
      <c r="K4286">
        <v>0</v>
      </c>
      <c r="L4286">
        <v>21</v>
      </c>
      <c r="M4286">
        <v>16.3</v>
      </c>
      <c r="N4286" t="s">
        <v>52</v>
      </c>
      <c r="O4286" t="s">
        <v>47</v>
      </c>
      <c r="P4286" t="s">
        <v>58</v>
      </c>
      <c r="R4286">
        <f>SUMIF(A4286:A9285,"C04285",I4286:I9285)</f>
        <v>1472.61</v>
      </c>
      <c r="S4286" s="1">
        <v>102785.03</v>
      </c>
      <c r="T4286">
        <f t="shared" si="484"/>
        <v>147.261</v>
      </c>
      <c r="U4286">
        <f t="shared" si="483"/>
        <v>163</v>
      </c>
      <c r="V4286">
        <f t="shared" si="486"/>
        <v>13.5833333333333</v>
      </c>
      <c r="W4286">
        <f t="shared" si="481"/>
        <v>1007.82333333333</v>
      </c>
      <c r="X4286">
        <f t="shared" si="487"/>
        <v>0.647800446491941</v>
      </c>
      <c r="AH4286" t="str">
        <f t="shared" si="482"/>
        <v>3rd Quality</v>
      </c>
      <c r="AJ4286">
        <f>((T4286-X4286)*2)/21</f>
        <v>13.9631618622389</v>
      </c>
      <c r="AK4286">
        <f t="shared" si="480"/>
        <v>147850.044</v>
      </c>
    </row>
    <row r="4287" spans="1:37">
      <c r="A4287" t="s">
        <v>4353</v>
      </c>
      <c r="B4287">
        <v>29</v>
      </c>
      <c r="C4287" t="s">
        <v>44</v>
      </c>
      <c r="D4287" t="s">
        <v>45</v>
      </c>
      <c r="E4287">
        <v>792</v>
      </c>
      <c r="F4287">
        <v>3</v>
      </c>
      <c r="G4287">
        <v>19</v>
      </c>
      <c r="H4287">
        <v>3588.12</v>
      </c>
      <c r="I4287">
        <v>75380.87</v>
      </c>
      <c r="J4287">
        <v>84</v>
      </c>
      <c r="K4287">
        <v>0</v>
      </c>
      <c r="L4287">
        <v>1.5</v>
      </c>
      <c r="M4287">
        <v>43.6</v>
      </c>
      <c r="N4287" t="s">
        <v>78</v>
      </c>
      <c r="O4287" t="s">
        <v>47</v>
      </c>
      <c r="P4287" t="s">
        <v>58</v>
      </c>
      <c r="R4287">
        <f>SUMIF(A4287:A9286,"C04286",I4287:I9286)</f>
        <v>75380.87</v>
      </c>
      <c r="S4287" s="1">
        <v>2444.26</v>
      </c>
      <c r="T4287">
        <f t="shared" si="484"/>
        <v>897.391309523809</v>
      </c>
      <c r="U4287">
        <f t="shared" si="483"/>
        <v>3662.4</v>
      </c>
      <c r="V4287">
        <f t="shared" si="486"/>
        <v>305.2</v>
      </c>
      <c r="W4287">
        <f t="shared" si="481"/>
        <v>26323.33</v>
      </c>
      <c r="X4287">
        <f t="shared" si="487"/>
        <v>0.220728403732317</v>
      </c>
      <c r="AH4287" t="str">
        <f t="shared" si="482"/>
        <v>2nd Quality</v>
      </c>
      <c r="AJ4287">
        <f>((T4287-X4287)*2)/1.5</f>
        <v>1196.22744149344</v>
      </c>
      <c r="AK4287">
        <f t="shared" si="480"/>
        <v>710733.917142857</v>
      </c>
    </row>
    <row r="4288" spans="1:37">
      <c r="A4288" t="s">
        <v>4354</v>
      </c>
      <c r="B4288">
        <v>49</v>
      </c>
      <c r="C4288" t="s">
        <v>44</v>
      </c>
      <c r="D4288" t="s">
        <v>60</v>
      </c>
      <c r="E4288">
        <v>1075</v>
      </c>
      <c r="F4288">
        <v>204</v>
      </c>
      <c r="G4288">
        <v>1</v>
      </c>
      <c r="H4288">
        <v>1622.32</v>
      </c>
      <c r="I4288">
        <v>1762.96</v>
      </c>
      <c r="J4288">
        <v>11</v>
      </c>
      <c r="K4288">
        <v>0</v>
      </c>
      <c r="L4288">
        <v>21.2</v>
      </c>
      <c r="M4288">
        <v>46.9</v>
      </c>
      <c r="N4288" t="s">
        <v>78</v>
      </c>
      <c r="O4288" t="s">
        <v>75</v>
      </c>
      <c r="P4288" t="s">
        <v>68</v>
      </c>
      <c r="R4288">
        <f>SUMIF(A4288:A9287,"C04287",I4288:I9287)</f>
        <v>1762.96</v>
      </c>
      <c r="S4288" s="1">
        <v>66326.4</v>
      </c>
      <c r="T4288">
        <f t="shared" si="484"/>
        <v>160.269090909091</v>
      </c>
      <c r="U4288">
        <f t="shared" si="483"/>
        <v>515.9</v>
      </c>
      <c r="V4288">
        <f t="shared" si="486"/>
        <v>42.9916666666667</v>
      </c>
      <c r="W4288">
        <f t="shared" si="481"/>
        <v>1128.76</v>
      </c>
      <c r="X4288">
        <f t="shared" si="487"/>
        <v>0.662631293456285</v>
      </c>
      <c r="AH4288" t="str">
        <f t="shared" si="482"/>
        <v>3rd Quality</v>
      </c>
      <c r="AJ4288">
        <f>((T4288-X4288)*2)/21.2</f>
        <v>15.0572131712863</v>
      </c>
      <c r="AK4288">
        <f t="shared" si="480"/>
        <v>172289.272727273</v>
      </c>
    </row>
    <row r="4289" spans="1:37">
      <c r="A4289" t="s">
        <v>4355</v>
      </c>
      <c r="B4289">
        <v>50</v>
      </c>
      <c r="C4289" t="s">
        <v>44</v>
      </c>
      <c r="D4289" t="s">
        <v>51</v>
      </c>
      <c r="E4289">
        <v>972</v>
      </c>
      <c r="F4289">
        <v>6</v>
      </c>
      <c r="G4289">
        <v>29</v>
      </c>
      <c r="H4289">
        <v>3200.38</v>
      </c>
      <c r="I4289">
        <v>102785.03</v>
      </c>
      <c r="J4289">
        <v>183</v>
      </c>
      <c r="K4289">
        <v>4</v>
      </c>
      <c r="L4289">
        <v>6.4</v>
      </c>
      <c r="M4289">
        <v>21.5</v>
      </c>
      <c r="N4289" t="s">
        <v>46</v>
      </c>
      <c r="O4289" t="s">
        <v>47</v>
      </c>
      <c r="P4289" t="s">
        <v>58</v>
      </c>
      <c r="R4289">
        <f>SUMIF(A4289:A9288,"C04288",I4289:I9288)</f>
        <v>102785.03</v>
      </c>
      <c r="S4289" s="1">
        <v>82046.34</v>
      </c>
      <c r="T4289">
        <f t="shared" si="484"/>
        <v>561.666830601093</v>
      </c>
      <c r="U4289">
        <f t="shared" si="483"/>
        <v>3934.5</v>
      </c>
      <c r="V4289">
        <f>U4289*4</f>
        <v>15738</v>
      </c>
      <c r="W4289">
        <f t="shared" si="481"/>
        <v>35328.8033333333</v>
      </c>
      <c r="X4289">
        <f t="shared" si="487"/>
        <v>0.303713933970341</v>
      </c>
      <c r="AH4289" t="str">
        <f t="shared" si="482"/>
        <v>3rd Quality</v>
      </c>
      <c r="AJ4289">
        <f>((T4289-X4289)*2)/6.4</f>
        <v>175.425973958476</v>
      </c>
      <c r="AK4289">
        <f t="shared" si="480"/>
        <v>545940.159344262</v>
      </c>
    </row>
    <row r="4290" spans="1:37">
      <c r="A4290" t="s">
        <v>4356</v>
      </c>
      <c r="B4290">
        <v>27</v>
      </c>
      <c r="C4290" t="s">
        <v>50</v>
      </c>
      <c r="D4290" t="s">
        <v>60</v>
      </c>
      <c r="E4290">
        <v>601</v>
      </c>
      <c r="F4290">
        <v>200</v>
      </c>
      <c r="G4290">
        <v>2</v>
      </c>
      <c r="H4290">
        <v>1188.18</v>
      </c>
      <c r="I4290">
        <v>2444.26</v>
      </c>
      <c r="J4290">
        <v>26</v>
      </c>
      <c r="K4290">
        <v>0</v>
      </c>
      <c r="L4290">
        <v>16</v>
      </c>
      <c r="M4290">
        <v>42.7</v>
      </c>
      <c r="N4290" t="s">
        <v>52</v>
      </c>
      <c r="O4290" t="s">
        <v>47</v>
      </c>
      <c r="P4290" t="s">
        <v>58</v>
      </c>
      <c r="R4290">
        <f>SUMIF(A4290:A9289,"C04289",I4290:I9289)</f>
        <v>2444.26</v>
      </c>
      <c r="S4290" s="1">
        <v>55099.4</v>
      </c>
      <c r="T4290">
        <f t="shared" si="484"/>
        <v>94.01</v>
      </c>
      <c r="U4290">
        <f t="shared" si="483"/>
        <v>1110.2</v>
      </c>
      <c r="V4290">
        <f t="shared" si="486"/>
        <v>92.5166666666667</v>
      </c>
      <c r="W4290">
        <f t="shared" si="481"/>
        <v>1211.14666666667</v>
      </c>
      <c r="X4290">
        <f t="shared" si="487"/>
        <v>0.505815617162383</v>
      </c>
      <c r="AH4290" t="str">
        <f t="shared" si="482"/>
        <v>3rd Quality</v>
      </c>
      <c r="AJ4290">
        <f>((T4290-X4290)*2)/16</f>
        <v>11.6880230478547</v>
      </c>
      <c r="AK4290">
        <f t="shared" si="480"/>
        <v>56500.01</v>
      </c>
    </row>
    <row r="4291" spans="1:37">
      <c r="A4291" t="s">
        <v>4357</v>
      </c>
      <c r="B4291">
        <v>45</v>
      </c>
      <c r="C4291" t="s">
        <v>50</v>
      </c>
      <c r="D4291" t="s">
        <v>45</v>
      </c>
      <c r="E4291">
        <v>586</v>
      </c>
      <c r="F4291">
        <v>12</v>
      </c>
      <c r="G4291">
        <v>6</v>
      </c>
      <c r="H4291">
        <v>11516.03</v>
      </c>
      <c r="I4291">
        <v>66326.4</v>
      </c>
      <c r="J4291">
        <v>40</v>
      </c>
      <c r="K4291">
        <v>0</v>
      </c>
      <c r="L4291">
        <v>4.7</v>
      </c>
      <c r="M4291">
        <v>26.5</v>
      </c>
      <c r="N4291" t="s">
        <v>52</v>
      </c>
      <c r="O4291" t="s">
        <v>47</v>
      </c>
      <c r="P4291" t="s">
        <v>58</v>
      </c>
      <c r="R4291">
        <f>SUMIF(A4291:A9290,"C04290",I4291:I9290)</f>
        <v>66326.4</v>
      </c>
      <c r="S4291" s="1">
        <v>37751.47</v>
      </c>
      <c r="T4291">
        <f t="shared" si="484"/>
        <v>1658.16</v>
      </c>
      <c r="U4291">
        <f t="shared" si="483"/>
        <v>1060</v>
      </c>
      <c r="V4291">
        <f t="shared" si="486"/>
        <v>88.3333333333333</v>
      </c>
      <c r="W4291">
        <f t="shared" si="481"/>
        <v>25947.81</v>
      </c>
      <c r="X4291">
        <f t="shared" si="487"/>
        <v>0.0508855916492055</v>
      </c>
      <c r="AH4291" t="str">
        <f t="shared" si="482"/>
        <v>3rd Quality</v>
      </c>
      <c r="AJ4291">
        <f>((T4291-X4291)*2)/4.7</f>
        <v>705.578346556745</v>
      </c>
      <c r="AK4291">
        <f t="shared" ref="AK4291:AK4354" si="488">I4291/J4291*E4291</f>
        <v>971681.76</v>
      </c>
    </row>
    <row r="4292" spans="1:37">
      <c r="A4292" t="s">
        <v>4358</v>
      </c>
      <c r="B4292">
        <v>48</v>
      </c>
      <c r="C4292" t="s">
        <v>44</v>
      </c>
      <c r="D4292" t="s">
        <v>45</v>
      </c>
      <c r="E4292">
        <v>1348</v>
      </c>
      <c r="F4292">
        <v>11</v>
      </c>
      <c r="G4292">
        <v>22</v>
      </c>
      <c r="H4292">
        <v>3772.7</v>
      </c>
      <c r="I4292">
        <v>82046.34</v>
      </c>
      <c r="J4292">
        <v>161</v>
      </c>
      <c r="K4292">
        <v>1</v>
      </c>
      <c r="L4292">
        <v>16</v>
      </c>
      <c r="M4292">
        <v>31</v>
      </c>
      <c r="N4292" t="s">
        <v>46</v>
      </c>
      <c r="O4292" t="s">
        <v>75</v>
      </c>
      <c r="P4292" t="s">
        <v>58</v>
      </c>
      <c r="R4292">
        <f>SUMIF(A4292:A9291,"C04291",I4292:I9291)</f>
        <v>82046.34</v>
      </c>
      <c r="S4292" s="1">
        <v>59564.26</v>
      </c>
      <c r="T4292">
        <f t="shared" si="484"/>
        <v>509.604596273292</v>
      </c>
      <c r="U4292">
        <f t="shared" si="483"/>
        <v>4991</v>
      </c>
      <c r="V4292">
        <f>U4292*1</f>
        <v>4991</v>
      </c>
      <c r="W4292">
        <f t="shared" si="481"/>
        <v>28606.68</v>
      </c>
      <c r="X4292">
        <f t="shared" si="487"/>
        <v>0.357303787738225</v>
      </c>
      <c r="AH4292" t="str">
        <f t="shared" si="482"/>
        <v>3rd Quality</v>
      </c>
      <c r="AJ4292">
        <f>((T4292-X4292)*2)/16</f>
        <v>63.6559115606942</v>
      </c>
      <c r="AK4292">
        <f t="shared" si="488"/>
        <v>686946.995776398</v>
      </c>
    </row>
    <row r="4293" spans="1:37">
      <c r="A4293" t="s">
        <v>4359</v>
      </c>
      <c r="B4293">
        <v>30</v>
      </c>
      <c r="C4293" t="s">
        <v>44</v>
      </c>
      <c r="D4293" t="s">
        <v>45</v>
      </c>
      <c r="E4293">
        <v>1042</v>
      </c>
      <c r="F4293">
        <v>8</v>
      </c>
      <c r="G4293">
        <v>24</v>
      </c>
      <c r="H4293">
        <v>2395.04</v>
      </c>
      <c r="I4293">
        <v>55099.4</v>
      </c>
      <c r="J4293">
        <v>82</v>
      </c>
      <c r="K4293">
        <v>1</v>
      </c>
      <c r="L4293">
        <v>22.2</v>
      </c>
      <c r="M4293">
        <v>71.2</v>
      </c>
      <c r="N4293" t="s">
        <v>52</v>
      </c>
      <c r="O4293" t="s">
        <v>75</v>
      </c>
      <c r="P4293" t="s">
        <v>68</v>
      </c>
      <c r="R4293">
        <f>SUMIF(A4293:A9292,"C04292",I4293:I9292)</f>
        <v>55099.4</v>
      </c>
      <c r="S4293" s="1">
        <v>3648.21</v>
      </c>
      <c r="T4293">
        <f t="shared" si="484"/>
        <v>671.943902439024</v>
      </c>
      <c r="U4293">
        <f t="shared" si="483"/>
        <v>5838.4</v>
      </c>
      <c r="V4293">
        <f>U4293*1</f>
        <v>5838.4</v>
      </c>
      <c r="W4293">
        <f t="shared" si="481"/>
        <v>19165.1466666667</v>
      </c>
      <c r="X4293">
        <f t="shared" si="487"/>
        <v>0.435065802658828</v>
      </c>
      <c r="AH4293" t="str">
        <f t="shared" si="482"/>
        <v>1st Quality</v>
      </c>
      <c r="AJ4293">
        <f>((T4293-X4293)*2)/22.2</f>
        <v>60.4962915888617</v>
      </c>
      <c r="AK4293">
        <f t="shared" si="488"/>
        <v>700165.546341463</v>
      </c>
    </row>
    <row r="4294" spans="1:37">
      <c r="A4294" t="s">
        <v>4360</v>
      </c>
      <c r="B4294">
        <v>18</v>
      </c>
      <c r="C4294" t="s">
        <v>44</v>
      </c>
      <c r="D4294" t="s">
        <v>51</v>
      </c>
      <c r="E4294">
        <v>1337</v>
      </c>
      <c r="F4294">
        <v>16</v>
      </c>
      <c r="G4294">
        <v>20</v>
      </c>
      <c r="H4294">
        <v>1957.61</v>
      </c>
      <c r="I4294">
        <v>37751.47</v>
      </c>
      <c r="J4294">
        <v>166</v>
      </c>
      <c r="K4294">
        <v>1</v>
      </c>
      <c r="L4294">
        <v>3</v>
      </c>
      <c r="M4294">
        <v>64.8</v>
      </c>
      <c r="N4294" t="s">
        <v>46</v>
      </c>
      <c r="O4294" t="s">
        <v>53</v>
      </c>
      <c r="P4294" t="s">
        <v>58</v>
      </c>
      <c r="R4294">
        <f>SUMIF(A4294:A9293,"C04293",I4294:I9293)</f>
        <v>37751.47</v>
      </c>
      <c r="S4294" s="1">
        <v>8850.26</v>
      </c>
      <c r="T4294">
        <f t="shared" si="484"/>
        <v>227.418493975904</v>
      </c>
      <c r="U4294">
        <f t="shared" si="483"/>
        <v>10756.8</v>
      </c>
      <c r="V4294">
        <f>U4294*1</f>
        <v>10756.8</v>
      </c>
      <c r="W4294">
        <f t="shared" si="481"/>
        <v>13236.6933333333</v>
      </c>
      <c r="X4294">
        <f t="shared" si="487"/>
        <v>0.682975669311048</v>
      </c>
      <c r="AH4294" t="str">
        <f t="shared" si="482"/>
        <v>1st Quality</v>
      </c>
      <c r="AJ4294">
        <f>((T4294-X4294)*2)/3</f>
        <v>151.157012204395</v>
      </c>
      <c r="AK4294">
        <f t="shared" si="488"/>
        <v>304058.526445783</v>
      </c>
    </row>
    <row r="4295" spans="1:37">
      <c r="A4295" t="s">
        <v>4361</v>
      </c>
      <c r="B4295">
        <v>48</v>
      </c>
      <c r="C4295" t="s">
        <v>50</v>
      </c>
      <c r="D4295" t="s">
        <v>60</v>
      </c>
      <c r="E4295">
        <v>747</v>
      </c>
      <c r="F4295">
        <v>7</v>
      </c>
      <c r="G4295">
        <v>4</v>
      </c>
      <c r="H4295">
        <v>15161.89</v>
      </c>
      <c r="I4295">
        <v>59564.26</v>
      </c>
      <c r="J4295">
        <v>29</v>
      </c>
      <c r="K4295">
        <v>0</v>
      </c>
      <c r="L4295">
        <v>14</v>
      </c>
      <c r="M4295">
        <v>8.6</v>
      </c>
      <c r="N4295" t="s">
        <v>57</v>
      </c>
      <c r="O4295" t="s">
        <v>47</v>
      </c>
      <c r="P4295" t="s">
        <v>58</v>
      </c>
      <c r="R4295">
        <f>SUMIF(A4295:A9294,"C04294",I4295:I9294)</f>
        <v>59564.26</v>
      </c>
      <c r="S4295" s="1">
        <v>17244.53</v>
      </c>
      <c r="T4295">
        <f t="shared" si="484"/>
        <v>2053.94</v>
      </c>
      <c r="U4295">
        <f t="shared" si="483"/>
        <v>249.4</v>
      </c>
      <c r="V4295">
        <f t="shared" si="486"/>
        <v>20.7833333333333</v>
      </c>
      <c r="W4295">
        <f t="shared" si="481"/>
        <v>24909.05</v>
      </c>
      <c r="X4295">
        <f t="shared" si="487"/>
        <v>0.0492682640488752</v>
      </c>
      <c r="AH4295" t="str">
        <f t="shared" si="482"/>
        <v>3rd Quality</v>
      </c>
      <c r="AJ4295">
        <f>((T4295-X4295)*2)/14</f>
        <v>293.412961676564</v>
      </c>
      <c r="AK4295">
        <f t="shared" si="488"/>
        <v>1534293.18</v>
      </c>
    </row>
    <row r="4296" spans="1:37">
      <c r="A4296" t="s">
        <v>4362</v>
      </c>
      <c r="B4296">
        <v>20</v>
      </c>
      <c r="C4296" t="s">
        <v>50</v>
      </c>
      <c r="D4296" t="s">
        <v>45</v>
      </c>
      <c r="E4296">
        <v>1412</v>
      </c>
      <c r="F4296">
        <v>60</v>
      </c>
      <c r="G4296">
        <v>2</v>
      </c>
      <c r="H4296">
        <v>1651.67</v>
      </c>
      <c r="I4296">
        <v>3648.21</v>
      </c>
      <c r="J4296">
        <v>25</v>
      </c>
      <c r="K4296">
        <v>0</v>
      </c>
      <c r="L4296">
        <v>28.4</v>
      </c>
      <c r="M4296">
        <v>38.4</v>
      </c>
      <c r="N4296" t="s">
        <v>61</v>
      </c>
      <c r="O4296" t="s">
        <v>75</v>
      </c>
      <c r="P4296" t="s">
        <v>58</v>
      </c>
      <c r="R4296">
        <f>SUMIF(A4296:A9295,"C04295",I4296:I9295)</f>
        <v>3648.21</v>
      </c>
      <c r="S4296" s="1">
        <v>14611.07</v>
      </c>
      <c r="T4296">
        <f t="shared" si="484"/>
        <v>145.9284</v>
      </c>
      <c r="U4296">
        <f t="shared" si="483"/>
        <v>960</v>
      </c>
      <c r="V4296">
        <f t="shared" si="486"/>
        <v>80</v>
      </c>
      <c r="W4296">
        <f t="shared" si="481"/>
        <v>1766.96</v>
      </c>
      <c r="X4296">
        <f t="shared" si="487"/>
        <v>0.854892321105306</v>
      </c>
      <c r="AH4296" t="str">
        <f t="shared" si="482"/>
        <v>3rd Quality</v>
      </c>
      <c r="AJ4296">
        <f>((T4296-X4296)*2)/28.4</f>
        <v>10.2164442027391</v>
      </c>
      <c r="AK4296">
        <f t="shared" si="488"/>
        <v>206050.9008</v>
      </c>
    </row>
    <row r="4297" spans="1:37">
      <c r="A4297" t="s">
        <v>4363</v>
      </c>
      <c r="B4297">
        <v>18</v>
      </c>
      <c r="C4297" t="s">
        <v>50</v>
      </c>
      <c r="D4297" t="s">
        <v>51</v>
      </c>
      <c r="E4297">
        <v>1008</v>
      </c>
      <c r="F4297">
        <v>20</v>
      </c>
      <c r="G4297">
        <v>6</v>
      </c>
      <c r="H4297">
        <v>1475.94</v>
      </c>
      <c r="I4297">
        <v>8850.26</v>
      </c>
      <c r="J4297">
        <v>20</v>
      </c>
      <c r="K4297">
        <v>2</v>
      </c>
      <c r="L4297">
        <v>28</v>
      </c>
      <c r="M4297">
        <v>26.8</v>
      </c>
      <c r="N4297" t="s">
        <v>78</v>
      </c>
      <c r="O4297" t="s">
        <v>53</v>
      </c>
      <c r="P4297" t="s">
        <v>58</v>
      </c>
      <c r="R4297">
        <f>SUMIF(A4297:A9296,"C04296",I4297:I9296)</f>
        <v>8850.26</v>
      </c>
      <c r="S4297" s="1">
        <v>21553.38</v>
      </c>
      <c r="T4297">
        <f t="shared" si="484"/>
        <v>442.513</v>
      </c>
      <c r="U4297">
        <f t="shared" si="483"/>
        <v>536</v>
      </c>
      <c r="V4297">
        <f>U4297*2</f>
        <v>1072</v>
      </c>
      <c r="W4297">
        <f t="shared" ref="W4297:W4360" si="489">(H4297+I4297+1)/3</f>
        <v>3442.4</v>
      </c>
      <c r="X4297">
        <f t="shared" si="487"/>
        <v>0.682954591650067</v>
      </c>
      <c r="AH4297" t="str">
        <f t="shared" si="482"/>
        <v>3rd Quality</v>
      </c>
      <c r="AJ4297">
        <f>((T4297-X4297)*2)/28</f>
        <v>31.5592889577393</v>
      </c>
      <c r="AK4297">
        <f t="shared" si="488"/>
        <v>446053.104</v>
      </c>
    </row>
    <row r="4298" spans="1:37">
      <c r="A4298" t="s">
        <v>4364</v>
      </c>
      <c r="B4298">
        <v>39</v>
      </c>
      <c r="C4298" t="s">
        <v>101</v>
      </c>
      <c r="D4298" t="s">
        <v>60</v>
      </c>
      <c r="E4298">
        <v>1315</v>
      </c>
      <c r="F4298">
        <v>48</v>
      </c>
      <c r="G4298">
        <v>15</v>
      </c>
      <c r="H4298">
        <v>1176.64</v>
      </c>
      <c r="I4298">
        <v>17244.53</v>
      </c>
      <c r="J4298">
        <v>69</v>
      </c>
      <c r="K4298">
        <v>2</v>
      </c>
      <c r="L4298">
        <v>24.8</v>
      </c>
      <c r="M4298">
        <v>45</v>
      </c>
      <c r="N4298" t="s">
        <v>52</v>
      </c>
      <c r="O4298" t="s">
        <v>75</v>
      </c>
      <c r="P4298" t="s">
        <v>58</v>
      </c>
      <c r="R4298">
        <f>SUMIF(A4298:A9297,"C04297",I4298:I9297)</f>
        <v>17244.53</v>
      </c>
      <c r="S4298" s="1">
        <v>692.1</v>
      </c>
      <c r="T4298">
        <f t="shared" si="484"/>
        <v>249.920724637681</v>
      </c>
      <c r="U4298">
        <f t="shared" si="483"/>
        <v>3105</v>
      </c>
      <c r="V4298">
        <f>U4298*2</f>
        <v>6210</v>
      </c>
      <c r="W4298">
        <f t="shared" si="489"/>
        <v>6140.72333333333</v>
      </c>
      <c r="X4298">
        <f t="shared" si="487"/>
        <v>1.11758906717433</v>
      </c>
      <c r="AH4298" t="str">
        <f t="shared" si="482"/>
        <v>3rd Quality</v>
      </c>
      <c r="AJ4298">
        <f>((T4298-X4298)*2)/24.8</f>
        <v>20.0647689976215</v>
      </c>
      <c r="AK4298">
        <f t="shared" si="488"/>
        <v>328645.752898551</v>
      </c>
    </row>
    <row r="4299" spans="1:37">
      <c r="A4299" t="s">
        <v>4365</v>
      </c>
      <c r="B4299">
        <v>27</v>
      </c>
      <c r="C4299" t="s">
        <v>50</v>
      </c>
      <c r="D4299" t="s">
        <v>45</v>
      </c>
      <c r="E4299">
        <v>1172</v>
      </c>
      <c r="F4299">
        <v>55</v>
      </c>
      <c r="G4299">
        <v>1</v>
      </c>
      <c r="H4299">
        <v>14138.16</v>
      </c>
      <c r="I4299">
        <v>14611.07</v>
      </c>
      <c r="J4299">
        <v>15</v>
      </c>
      <c r="K4299">
        <v>0</v>
      </c>
      <c r="L4299">
        <v>2.4</v>
      </c>
      <c r="M4299">
        <v>58.7</v>
      </c>
      <c r="N4299" t="s">
        <v>61</v>
      </c>
      <c r="O4299" t="s">
        <v>47</v>
      </c>
      <c r="P4299" t="s">
        <v>58</v>
      </c>
      <c r="R4299">
        <f>SUMIF(A4299:A9298,"C04298",I4299:I9298)</f>
        <v>14611.07</v>
      </c>
      <c r="S4299" s="1">
        <v>14405.2</v>
      </c>
      <c r="T4299">
        <f t="shared" si="484"/>
        <v>974.071333333333</v>
      </c>
      <c r="U4299">
        <f t="shared" si="483"/>
        <v>880.5</v>
      </c>
      <c r="V4299">
        <f t="shared" si="486"/>
        <v>73.375</v>
      </c>
      <c r="W4299">
        <f t="shared" si="489"/>
        <v>9583.41</v>
      </c>
      <c r="X4299">
        <f t="shared" si="487"/>
        <v>0.0828962184612425</v>
      </c>
      <c r="AH4299" t="str">
        <f t="shared" si="482"/>
        <v>2nd Quality</v>
      </c>
      <c r="AJ4299">
        <f>((T4299-X4299)*2)/2.4</f>
        <v>811.65703092906</v>
      </c>
      <c r="AK4299">
        <f t="shared" si="488"/>
        <v>1141611.60266667</v>
      </c>
    </row>
    <row r="4300" spans="1:37">
      <c r="A4300" t="s">
        <v>4366</v>
      </c>
      <c r="B4300">
        <v>48</v>
      </c>
      <c r="C4300" t="s">
        <v>44</v>
      </c>
      <c r="D4300" t="s">
        <v>45</v>
      </c>
      <c r="E4300">
        <v>1382</v>
      </c>
      <c r="F4300">
        <v>30</v>
      </c>
      <c r="G4300">
        <v>2</v>
      </c>
      <c r="H4300">
        <v>11359.16</v>
      </c>
      <c r="I4300">
        <v>21553.38</v>
      </c>
      <c r="J4300">
        <v>24</v>
      </c>
      <c r="K4300">
        <v>0</v>
      </c>
      <c r="L4300">
        <v>2.3</v>
      </c>
      <c r="M4300">
        <v>15.1</v>
      </c>
      <c r="N4300" t="s">
        <v>81</v>
      </c>
      <c r="O4300" t="s">
        <v>47</v>
      </c>
      <c r="P4300" t="s">
        <v>58</v>
      </c>
      <c r="R4300">
        <f>SUMIF(A4300:A9299,"C04299",I4300:I9299)</f>
        <v>21553.38</v>
      </c>
      <c r="S4300" s="1">
        <v>599.76</v>
      </c>
      <c r="T4300">
        <f t="shared" si="484"/>
        <v>898.0575</v>
      </c>
      <c r="U4300">
        <f t="shared" si="483"/>
        <v>362.4</v>
      </c>
      <c r="V4300">
        <f t="shared" si="486"/>
        <v>30.2</v>
      </c>
      <c r="W4300">
        <f t="shared" si="489"/>
        <v>10971.18</v>
      </c>
      <c r="X4300">
        <f t="shared" si="487"/>
        <v>0.121663925853672</v>
      </c>
      <c r="AH4300" t="str">
        <f t="shared" si="482"/>
        <v>3rd Quality</v>
      </c>
      <c r="AJ4300">
        <f>((T4300-X4300)*2)/2.3</f>
        <v>780.813770499258</v>
      </c>
      <c r="AK4300">
        <f t="shared" si="488"/>
        <v>1241115.465</v>
      </c>
    </row>
    <row r="4301" spans="1:37">
      <c r="A4301" t="s">
        <v>4367</v>
      </c>
      <c r="B4301">
        <v>20</v>
      </c>
      <c r="C4301" t="s">
        <v>50</v>
      </c>
      <c r="D4301" t="s">
        <v>45</v>
      </c>
      <c r="E4301">
        <v>1035</v>
      </c>
      <c r="F4301">
        <v>75</v>
      </c>
      <c r="G4301">
        <v>1</v>
      </c>
      <c r="H4301">
        <v>784.59</v>
      </c>
      <c r="I4301">
        <v>692.1</v>
      </c>
      <c r="J4301">
        <v>9</v>
      </c>
      <c r="K4301">
        <v>0</v>
      </c>
      <c r="L4301">
        <v>28.3</v>
      </c>
      <c r="M4301">
        <v>79.9</v>
      </c>
      <c r="N4301" t="s">
        <v>78</v>
      </c>
      <c r="O4301" t="s">
        <v>75</v>
      </c>
      <c r="P4301" t="s">
        <v>66</v>
      </c>
      <c r="R4301">
        <f>SUMIF(A4301:A9300,"C04300",I4301:I9300)</f>
        <v>692.1</v>
      </c>
      <c r="S4301" s="1">
        <v>1225.13</v>
      </c>
      <c r="T4301">
        <f t="shared" si="484"/>
        <v>76.9</v>
      </c>
      <c r="U4301">
        <f t="shared" si="483"/>
        <v>719.1</v>
      </c>
      <c r="V4301">
        <f t="shared" si="486"/>
        <v>59.925</v>
      </c>
      <c r="W4301">
        <f t="shared" si="489"/>
        <v>492.563333333333</v>
      </c>
      <c r="X4301">
        <f t="shared" si="487"/>
        <v>1.31916032577525</v>
      </c>
      <c r="AH4301" t="str">
        <f t="shared" si="482"/>
        <v>3rd Quality</v>
      </c>
      <c r="AJ4301">
        <f>((T4301-X4301)*2)/28.3</f>
        <v>5.34140209711836</v>
      </c>
      <c r="AK4301">
        <f t="shared" si="488"/>
        <v>79591.5</v>
      </c>
    </row>
    <row r="4302" spans="1:37">
      <c r="A4302" t="s">
        <v>4368</v>
      </c>
      <c r="B4302">
        <v>29</v>
      </c>
      <c r="C4302" t="s">
        <v>50</v>
      </c>
      <c r="D4302" t="s">
        <v>45</v>
      </c>
      <c r="E4302">
        <v>1210</v>
      </c>
      <c r="F4302">
        <v>57</v>
      </c>
      <c r="G4302">
        <v>7</v>
      </c>
      <c r="H4302">
        <v>1950.28</v>
      </c>
      <c r="I4302">
        <v>14405.2</v>
      </c>
      <c r="J4302">
        <v>43</v>
      </c>
      <c r="K4302">
        <v>1</v>
      </c>
      <c r="L4302">
        <v>25.3</v>
      </c>
      <c r="M4302">
        <v>31.8</v>
      </c>
      <c r="N4302" t="s">
        <v>63</v>
      </c>
      <c r="O4302" t="s">
        <v>47</v>
      </c>
      <c r="P4302" t="s">
        <v>58</v>
      </c>
      <c r="R4302">
        <f>SUMIF(A4302:A9301,"C04301",I4302:I9301)</f>
        <v>14405.2</v>
      </c>
      <c r="S4302" s="1">
        <v>10941.56</v>
      </c>
      <c r="T4302">
        <f t="shared" si="484"/>
        <v>335.004651162791</v>
      </c>
      <c r="U4302">
        <f t="shared" si="483"/>
        <v>1367.4</v>
      </c>
      <c r="V4302">
        <f>U4302*1</f>
        <v>1367.4</v>
      </c>
      <c r="W4302">
        <f t="shared" si="489"/>
        <v>5452.16</v>
      </c>
      <c r="X4302">
        <f t="shared" si="487"/>
        <v>0.620423734027934</v>
      </c>
      <c r="AH4302" t="str">
        <f t="shared" ref="AH4302:AH4365" si="490">IF(AND(W4302&gt;=12550,B4302&lt;=33,E4302&gt;=915),"1st Quality",IF(AND(W4302&gt;=6275,B4302&lt;=43,E4302&gt;=457),"2nd Quality","3rd Quality"))</f>
        <v>3rd Quality</v>
      </c>
      <c r="AJ4302">
        <f>((T4302-X4302)*2)/25.3</f>
        <v>26.4335357651196</v>
      </c>
      <c r="AK4302">
        <f t="shared" si="488"/>
        <v>405355.627906977</v>
      </c>
    </row>
    <row r="4303" spans="1:37">
      <c r="A4303" t="s">
        <v>4369</v>
      </c>
      <c r="B4303">
        <v>32</v>
      </c>
      <c r="C4303" t="s">
        <v>50</v>
      </c>
      <c r="D4303" t="s">
        <v>60</v>
      </c>
      <c r="E4303">
        <v>403</v>
      </c>
      <c r="F4303">
        <v>64</v>
      </c>
      <c r="G4303">
        <v>1</v>
      </c>
      <c r="H4303">
        <v>624.89</v>
      </c>
      <c r="I4303">
        <v>599.76</v>
      </c>
      <c r="J4303">
        <v>17</v>
      </c>
      <c r="K4303">
        <v>0</v>
      </c>
      <c r="L4303">
        <v>33.2</v>
      </c>
      <c r="M4303">
        <v>15.3</v>
      </c>
      <c r="N4303" t="s">
        <v>52</v>
      </c>
      <c r="O4303" t="s">
        <v>53</v>
      </c>
      <c r="P4303" t="s">
        <v>48</v>
      </c>
      <c r="R4303">
        <f>SUMIF(A4303:A9302,"C04302",I4303:I9302)</f>
        <v>599.76</v>
      </c>
      <c r="S4303" s="1">
        <v>85964.36</v>
      </c>
      <c r="T4303">
        <f t="shared" si="484"/>
        <v>35.28</v>
      </c>
      <c r="U4303">
        <f t="shared" si="483"/>
        <v>260.1</v>
      </c>
      <c r="V4303">
        <f t="shared" si="486"/>
        <v>21.675</v>
      </c>
      <c r="W4303">
        <f t="shared" si="489"/>
        <v>408.55</v>
      </c>
      <c r="X4303">
        <f t="shared" si="487"/>
        <v>0.644913504776841</v>
      </c>
      <c r="AH4303" t="str">
        <f t="shared" si="490"/>
        <v>3rd Quality</v>
      </c>
      <c r="AJ4303">
        <f>((T4303-X4303)*2)/33.2</f>
        <v>2.08645099368814</v>
      </c>
      <c r="AK4303">
        <f t="shared" si="488"/>
        <v>14217.84</v>
      </c>
    </row>
    <row r="4304" spans="1:37">
      <c r="A4304" t="s">
        <v>4370</v>
      </c>
      <c r="B4304">
        <v>47</v>
      </c>
      <c r="C4304" t="s">
        <v>50</v>
      </c>
      <c r="D4304" t="s">
        <v>45</v>
      </c>
      <c r="E4304">
        <v>954</v>
      </c>
      <c r="F4304">
        <v>365</v>
      </c>
      <c r="G4304">
        <v>1</v>
      </c>
      <c r="H4304">
        <v>1307.51</v>
      </c>
      <c r="I4304">
        <v>1225.13</v>
      </c>
      <c r="J4304">
        <v>16</v>
      </c>
      <c r="K4304">
        <v>0</v>
      </c>
      <c r="L4304">
        <v>38.6</v>
      </c>
      <c r="M4304">
        <v>62.8</v>
      </c>
      <c r="N4304" t="s">
        <v>61</v>
      </c>
      <c r="O4304" t="s">
        <v>53</v>
      </c>
      <c r="P4304" t="s">
        <v>68</v>
      </c>
      <c r="R4304">
        <f>SUMIF(A4304:A9303,"C04303",I4304:I9303)</f>
        <v>1225.13</v>
      </c>
      <c r="S4304" s="1">
        <v>81051.17</v>
      </c>
      <c r="T4304">
        <f t="shared" si="484"/>
        <v>76.570625</v>
      </c>
      <c r="U4304">
        <f t="shared" si="483"/>
        <v>1004.8</v>
      </c>
      <c r="V4304">
        <f t="shared" si="486"/>
        <v>83.7333333333333</v>
      </c>
      <c r="W4304">
        <f t="shared" si="489"/>
        <v>844.546666666667</v>
      </c>
      <c r="X4304">
        <f t="shared" si="487"/>
        <v>0.729631130928253</v>
      </c>
      <c r="AH4304" t="str">
        <f t="shared" si="490"/>
        <v>3rd Quality</v>
      </c>
      <c r="AJ4304">
        <f>((T4304-X4304)*2)/38.6</f>
        <v>3.9295851745633</v>
      </c>
      <c r="AK4304">
        <f t="shared" si="488"/>
        <v>73048.37625</v>
      </c>
    </row>
    <row r="4305" spans="1:37">
      <c r="A4305" t="s">
        <v>4371</v>
      </c>
      <c r="B4305">
        <v>25</v>
      </c>
      <c r="C4305" t="s">
        <v>50</v>
      </c>
      <c r="D4305" t="s">
        <v>45</v>
      </c>
      <c r="E4305">
        <v>1249</v>
      </c>
      <c r="F4305">
        <v>17</v>
      </c>
      <c r="G4305">
        <v>7</v>
      </c>
      <c r="H4305">
        <v>1550.05</v>
      </c>
      <c r="I4305">
        <v>10941.56</v>
      </c>
      <c r="J4305">
        <v>56</v>
      </c>
      <c r="K4305">
        <v>1</v>
      </c>
      <c r="L4305">
        <v>26.6</v>
      </c>
      <c r="M4305">
        <v>0.5</v>
      </c>
      <c r="N4305" t="s">
        <v>61</v>
      </c>
      <c r="O4305" t="s">
        <v>47</v>
      </c>
      <c r="P4305" t="s">
        <v>48</v>
      </c>
      <c r="R4305">
        <f>SUMIF(A4305:A9304,"C04304",I4305:I9304)</f>
        <v>10941.56</v>
      </c>
      <c r="S4305" s="1">
        <v>59979.29</v>
      </c>
      <c r="T4305">
        <f t="shared" si="484"/>
        <v>195.385</v>
      </c>
      <c r="U4305">
        <f t="shared" si="483"/>
        <v>28</v>
      </c>
      <c r="V4305">
        <f>U4305*1</f>
        <v>28</v>
      </c>
      <c r="W4305">
        <f t="shared" si="489"/>
        <v>4164.20333333333</v>
      </c>
      <c r="X4305">
        <f t="shared" si="487"/>
        <v>0.805780458694881</v>
      </c>
      <c r="AH4305" t="str">
        <f t="shared" si="490"/>
        <v>3rd Quality</v>
      </c>
      <c r="AJ4305">
        <f>((T4305-X4305)*2)/26.6</f>
        <v>14.630016506865</v>
      </c>
      <c r="AK4305">
        <f t="shared" si="488"/>
        <v>244035.865</v>
      </c>
    </row>
    <row r="4306" spans="1:37">
      <c r="A4306" t="s">
        <v>4372</v>
      </c>
      <c r="B4306">
        <v>31</v>
      </c>
      <c r="C4306" t="s">
        <v>50</v>
      </c>
      <c r="D4306" t="s">
        <v>45</v>
      </c>
      <c r="E4306">
        <v>1262</v>
      </c>
      <c r="F4306">
        <v>1</v>
      </c>
      <c r="G4306">
        <v>28</v>
      </c>
      <c r="H4306">
        <v>3341.98</v>
      </c>
      <c r="I4306">
        <v>85964.36</v>
      </c>
      <c r="J4306">
        <v>177</v>
      </c>
      <c r="K4306">
        <v>2</v>
      </c>
      <c r="L4306">
        <v>0.7</v>
      </c>
      <c r="M4306">
        <v>48.2</v>
      </c>
      <c r="N4306" t="s">
        <v>57</v>
      </c>
      <c r="O4306" t="s">
        <v>47</v>
      </c>
      <c r="P4306" t="s">
        <v>58</v>
      </c>
      <c r="R4306">
        <f>SUMIF(A4306:A9305,"C04305",I4306:I9305)</f>
        <v>85964.36</v>
      </c>
      <c r="S4306" s="1">
        <v>9169.56</v>
      </c>
      <c r="T4306">
        <f t="shared" si="484"/>
        <v>485.674350282486</v>
      </c>
      <c r="U4306">
        <f t="shared" si="483"/>
        <v>8531.4</v>
      </c>
      <c r="V4306">
        <f>U4306*2</f>
        <v>17062.8</v>
      </c>
      <c r="W4306">
        <f t="shared" si="489"/>
        <v>29769.1133333333</v>
      </c>
      <c r="X4306">
        <f t="shared" si="487"/>
        <v>0.377620452546095</v>
      </c>
      <c r="AH4306" t="str">
        <f t="shared" si="490"/>
        <v>1st Quality</v>
      </c>
      <c r="AJ4306">
        <f>((T4306-X4306)*2)/0.7</f>
        <v>1386.5620852284</v>
      </c>
      <c r="AK4306">
        <f t="shared" si="488"/>
        <v>612921.030056497</v>
      </c>
    </row>
    <row r="4307" spans="1:37">
      <c r="A4307" t="s">
        <v>4373</v>
      </c>
      <c r="B4307">
        <v>18</v>
      </c>
      <c r="C4307" t="s">
        <v>50</v>
      </c>
      <c r="D4307" t="s">
        <v>45</v>
      </c>
      <c r="E4307">
        <v>981</v>
      </c>
      <c r="F4307">
        <v>2</v>
      </c>
      <c r="G4307">
        <v>21</v>
      </c>
      <c r="H4307">
        <v>4076.82</v>
      </c>
      <c r="I4307">
        <v>81051.17</v>
      </c>
      <c r="J4307">
        <v>46</v>
      </c>
      <c r="K4307">
        <v>1</v>
      </c>
      <c r="L4307">
        <v>18.6</v>
      </c>
      <c r="M4307">
        <v>29.2</v>
      </c>
      <c r="N4307" t="s">
        <v>78</v>
      </c>
      <c r="O4307" t="s">
        <v>47</v>
      </c>
      <c r="P4307" t="s">
        <v>68</v>
      </c>
      <c r="R4307">
        <f>SUMIF(A4307:A9306,"C04306",I4307:I9306)</f>
        <v>81051.17</v>
      </c>
      <c r="S4307" s="1">
        <v>1619.31</v>
      </c>
      <c r="T4307">
        <f t="shared" si="484"/>
        <v>1761.98195652174</v>
      </c>
      <c r="U4307">
        <f t="shared" si="483"/>
        <v>1343.2</v>
      </c>
      <c r="V4307">
        <f>U4307*1</f>
        <v>1343.2</v>
      </c>
      <c r="W4307">
        <f t="shared" si="489"/>
        <v>28376.33</v>
      </c>
      <c r="X4307">
        <f t="shared" si="487"/>
        <v>0.240628725330037</v>
      </c>
      <c r="AH4307" t="str">
        <f t="shared" si="490"/>
        <v>1st Quality</v>
      </c>
      <c r="AJ4307">
        <f>((T4307-X4307)*2)/18.6</f>
        <v>189.434551375958</v>
      </c>
      <c r="AK4307">
        <f t="shared" si="488"/>
        <v>1728504.29934783</v>
      </c>
    </row>
    <row r="4308" spans="1:37">
      <c r="A4308" t="s">
        <v>4374</v>
      </c>
      <c r="B4308">
        <v>33</v>
      </c>
      <c r="C4308" t="s">
        <v>50</v>
      </c>
      <c r="D4308" t="s">
        <v>45</v>
      </c>
      <c r="E4308">
        <v>1401</v>
      </c>
      <c r="F4308">
        <v>19</v>
      </c>
      <c r="G4308">
        <v>4</v>
      </c>
      <c r="H4308">
        <v>14950.69</v>
      </c>
      <c r="I4308">
        <v>59979.29</v>
      </c>
      <c r="J4308">
        <v>18</v>
      </c>
      <c r="K4308">
        <v>1</v>
      </c>
      <c r="L4308">
        <v>11</v>
      </c>
      <c r="M4308">
        <v>6.9</v>
      </c>
      <c r="N4308" t="s">
        <v>52</v>
      </c>
      <c r="O4308" t="s">
        <v>75</v>
      </c>
      <c r="P4308" t="s">
        <v>54</v>
      </c>
      <c r="R4308">
        <f>SUMIF(A4308:A9307,"C04307",I4308:I9307)</f>
        <v>59979.29</v>
      </c>
      <c r="S4308" s="1">
        <v>77637.75</v>
      </c>
      <c r="T4308">
        <f t="shared" si="484"/>
        <v>3332.18277777778</v>
      </c>
      <c r="U4308">
        <f t="shared" si="483"/>
        <v>124.2</v>
      </c>
      <c r="V4308">
        <f>U4308*1</f>
        <v>124.2</v>
      </c>
      <c r="W4308">
        <f t="shared" si="489"/>
        <v>24976.9933333333</v>
      </c>
      <c r="X4308">
        <f t="shared" si="487"/>
        <v>0.0937080495950354</v>
      </c>
      <c r="AH4308" t="str">
        <f t="shared" si="490"/>
        <v>1st Quality</v>
      </c>
      <c r="AJ4308">
        <f>((T4308-X4308)*2)/11</f>
        <v>605.834376314215</v>
      </c>
      <c r="AK4308">
        <f t="shared" si="488"/>
        <v>4668388.07166667</v>
      </c>
    </row>
    <row r="4309" spans="1:37">
      <c r="A4309" t="s">
        <v>4375</v>
      </c>
      <c r="B4309">
        <v>18</v>
      </c>
      <c r="C4309" t="s">
        <v>50</v>
      </c>
      <c r="D4309" t="s">
        <v>60</v>
      </c>
      <c r="E4309">
        <v>630</v>
      </c>
      <c r="F4309">
        <v>127</v>
      </c>
      <c r="G4309">
        <v>11</v>
      </c>
      <c r="H4309">
        <v>748.39</v>
      </c>
      <c r="I4309">
        <v>9169.56</v>
      </c>
      <c r="J4309">
        <v>41</v>
      </c>
      <c r="K4309">
        <v>2</v>
      </c>
      <c r="L4309">
        <v>21.7</v>
      </c>
      <c r="M4309">
        <v>37.9</v>
      </c>
      <c r="N4309" t="s">
        <v>57</v>
      </c>
      <c r="O4309" t="s">
        <v>47</v>
      </c>
      <c r="P4309" t="s">
        <v>48</v>
      </c>
      <c r="R4309">
        <f>SUMIF(A4309:A9308,"C04308",I4309:I9308)</f>
        <v>9169.56</v>
      </c>
      <c r="S4309" s="1">
        <v>45744.07</v>
      </c>
      <c r="T4309">
        <f t="shared" si="484"/>
        <v>223.647804878049</v>
      </c>
      <c r="U4309">
        <f t="shared" si="483"/>
        <v>1553.9</v>
      </c>
      <c r="V4309">
        <f>U4309*2</f>
        <v>3107.8</v>
      </c>
      <c r="W4309">
        <f t="shared" si="489"/>
        <v>3306.31666666667</v>
      </c>
      <c r="X4309">
        <f t="shared" si="487"/>
        <v>0.841807079196676</v>
      </c>
      <c r="AH4309" t="str">
        <f t="shared" si="490"/>
        <v>3rd Quality</v>
      </c>
      <c r="AJ4309">
        <f>((T4309-X4309)*2)/21.7</f>
        <v>20.5351150045025</v>
      </c>
      <c r="AK4309">
        <f t="shared" si="488"/>
        <v>140898.117073171</v>
      </c>
    </row>
    <row r="4310" spans="1:37">
      <c r="A4310" t="s">
        <v>4376</v>
      </c>
      <c r="B4310">
        <v>48</v>
      </c>
      <c r="C4310" t="s">
        <v>44</v>
      </c>
      <c r="D4310" t="s">
        <v>60</v>
      </c>
      <c r="E4310">
        <v>1236</v>
      </c>
      <c r="F4310">
        <v>83</v>
      </c>
      <c r="G4310">
        <v>1</v>
      </c>
      <c r="H4310">
        <v>1725.35</v>
      </c>
      <c r="I4310">
        <v>1619.31</v>
      </c>
      <c r="J4310">
        <v>9</v>
      </c>
      <c r="K4310">
        <v>0</v>
      </c>
      <c r="L4310">
        <v>10.1</v>
      </c>
      <c r="M4310">
        <v>51.8</v>
      </c>
      <c r="N4310" t="s">
        <v>61</v>
      </c>
      <c r="O4310" t="s">
        <v>47</v>
      </c>
      <c r="P4310" t="s">
        <v>58</v>
      </c>
      <c r="R4310">
        <f>SUMIF(A4310:A9309,"C04309",I4310:I9309)</f>
        <v>1619.31</v>
      </c>
      <c r="S4310" s="1">
        <v>2723.73</v>
      </c>
      <c r="T4310">
        <f t="shared" si="484"/>
        <v>179.923333333333</v>
      </c>
      <c r="U4310">
        <f t="shared" si="483"/>
        <v>466.2</v>
      </c>
      <c r="V4310">
        <f t="shared" si="486"/>
        <v>38.85</v>
      </c>
      <c r="W4310">
        <f t="shared" si="489"/>
        <v>1115.22</v>
      </c>
      <c r="X4310">
        <f t="shared" si="487"/>
        <v>0.716376387399658</v>
      </c>
      <c r="AH4310" t="str">
        <f t="shared" si="490"/>
        <v>3rd Quality</v>
      </c>
      <c r="AJ4310">
        <f>((T4310-X4310)*2)/10.1</f>
        <v>35.4865261279076</v>
      </c>
      <c r="AK4310">
        <f t="shared" si="488"/>
        <v>222385.24</v>
      </c>
    </row>
    <row r="4311" spans="1:37">
      <c r="A4311" t="s">
        <v>4377</v>
      </c>
      <c r="B4311">
        <v>35</v>
      </c>
      <c r="C4311" t="s">
        <v>44</v>
      </c>
      <c r="D4311" t="s">
        <v>60</v>
      </c>
      <c r="E4311">
        <v>723</v>
      </c>
      <c r="F4311">
        <v>78</v>
      </c>
      <c r="G4311">
        <v>4</v>
      </c>
      <c r="H4311">
        <v>19564.22</v>
      </c>
      <c r="I4311">
        <v>77637.75</v>
      </c>
      <c r="J4311">
        <v>22</v>
      </c>
      <c r="K4311">
        <v>0</v>
      </c>
      <c r="L4311">
        <v>4.9</v>
      </c>
      <c r="M4311">
        <v>31</v>
      </c>
      <c r="N4311" t="s">
        <v>57</v>
      </c>
      <c r="O4311" t="s">
        <v>47</v>
      </c>
      <c r="P4311" t="s">
        <v>58</v>
      </c>
      <c r="R4311">
        <f>SUMIF(A4311:A9310,"C04310",I4311:I9310)</f>
        <v>77637.75</v>
      </c>
      <c r="S4311" s="1">
        <v>2316.57</v>
      </c>
      <c r="T4311">
        <f t="shared" si="484"/>
        <v>3528.98863636364</v>
      </c>
      <c r="U4311">
        <f t="shared" si="483"/>
        <v>682</v>
      </c>
      <c r="V4311">
        <f t="shared" si="486"/>
        <v>56.8333333333333</v>
      </c>
      <c r="W4311">
        <f t="shared" si="489"/>
        <v>32400.99</v>
      </c>
      <c r="X4311">
        <f t="shared" si="487"/>
        <v>0.0369552172281849</v>
      </c>
      <c r="AH4311" t="str">
        <f t="shared" si="490"/>
        <v>2nd Quality</v>
      </c>
      <c r="AJ4311">
        <f>((T4311-X4311)*2)/4.9</f>
        <v>1440.38844128425</v>
      </c>
      <c r="AK4311">
        <f t="shared" si="488"/>
        <v>2551458.78409091</v>
      </c>
    </row>
    <row r="4312" spans="1:37">
      <c r="A4312" t="s">
        <v>4378</v>
      </c>
      <c r="B4312">
        <v>52</v>
      </c>
      <c r="C4312" t="s">
        <v>44</v>
      </c>
      <c r="D4312" t="s">
        <v>45</v>
      </c>
      <c r="E4312">
        <v>652</v>
      </c>
      <c r="F4312">
        <v>30</v>
      </c>
      <c r="G4312">
        <v>6</v>
      </c>
      <c r="H4312">
        <v>7573.09</v>
      </c>
      <c r="I4312">
        <v>45744.07</v>
      </c>
      <c r="J4312">
        <v>45</v>
      </c>
      <c r="K4312">
        <v>1</v>
      </c>
      <c r="L4312">
        <v>15</v>
      </c>
      <c r="M4312">
        <v>0.9</v>
      </c>
      <c r="N4312" t="s">
        <v>63</v>
      </c>
      <c r="O4312" t="s">
        <v>47</v>
      </c>
      <c r="P4312" t="s">
        <v>58</v>
      </c>
      <c r="R4312">
        <f>SUMIF(A4312:A9311,"C04311",I4312:I9311)</f>
        <v>45744.07</v>
      </c>
      <c r="S4312" s="1">
        <v>2799</v>
      </c>
      <c r="T4312">
        <f t="shared" si="484"/>
        <v>1016.53488888889</v>
      </c>
      <c r="U4312">
        <f t="shared" si="483"/>
        <v>40.5</v>
      </c>
      <c r="V4312">
        <f>U4312*1</f>
        <v>40.5</v>
      </c>
      <c r="W4312">
        <f t="shared" si="489"/>
        <v>17772.72</v>
      </c>
      <c r="X4312">
        <f t="shared" si="487"/>
        <v>0.0860943155303846</v>
      </c>
      <c r="AH4312" t="str">
        <f t="shared" si="490"/>
        <v>3rd Quality</v>
      </c>
      <c r="AJ4312">
        <f>((T4312-X4312)*2)/15</f>
        <v>135.526505943115</v>
      </c>
      <c r="AK4312">
        <f t="shared" si="488"/>
        <v>662780.747555556</v>
      </c>
    </row>
    <row r="4313" spans="1:37">
      <c r="A4313" t="s">
        <v>4379</v>
      </c>
      <c r="B4313">
        <v>27</v>
      </c>
      <c r="C4313" t="s">
        <v>44</v>
      </c>
      <c r="D4313" t="s">
        <v>45</v>
      </c>
      <c r="E4313">
        <v>1254</v>
      </c>
      <c r="F4313">
        <v>37</v>
      </c>
      <c r="G4313">
        <v>4</v>
      </c>
      <c r="H4313">
        <v>647.83</v>
      </c>
      <c r="I4313">
        <v>2723.73</v>
      </c>
      <c r="J4313">
        <v>31</v>
      </c>
      <c r="K4313">
        <v>0</v>
      </c>
      <c r="L4313">
        <v>33.3</v>
      </c>
      <c r="M4313">
        <v>19.8</v>
      </c>
      <c r="N4313" t="s">
        <v>57</v>
      </c>
      <c r="O4313" t="s">
        <v>53</v>
      </c>
      <c r="P4313" t="s">
        <v>66</v>
      </c>
      <c r="R4313">
        <f>SUMIF(A4313:A9312,"C04312",I4313:I9312)</f>
        <v>2723.73</v>
      </c>
      <c r="S4313" s="1">
        <v>121484.28</v>
      </c>
      <c r="T4313">
        <f t="shared" si="484"/>
        <v>87.8622580645161</v>
      </c>
      <c r="U4313">
        <f t="shared" si="483"/>
        <v>613.8</v>
      </c>
      <c r="V4313">
        <f t="shared" si="486"/>
        <v>51.15</v>
      </c>
      <c r="W4313">
        <f t="shared" si="489"/>
        <v>1124.18666666667</v>
      </c>
      <c r="X4313">
        <f t="shared" si="487"/>
        <v>1.93569300588117</v>
      </c>
      <c r="AH4313" t="str">
        <f t="shared" si="490"/>
        <v>3rd Quality</v>
      </c>
      <c r="AJ4313">
        <f>((T4313-X4313)*2)/33.3</f>
        <v>5.16075465817627</v>
      </c>
      <c r="AK4313">
        <f t="shared" si="488"/>
        <v>110179.271612903</v>
      </c>
    </row>
    <row r="4314" spans="1:37">
      <c r="A4314" t="s">
        <v>4380</v>
      </c>
      <c r="B4314">
        <v>35</v>
      </c>
      <c r="C4314" t="s">
        <v>50</v>
      </c>
      <c r="D4314" t="s">
        <v>60</v>
      </c>
      <c r="E4314">
        <v>1250</v>
      </c>
      <c r="F4314">
        <v>25</v>
      </c>
      <c r="G4314">
        <v>4</v>
      </c>
      <c r="H4314">
        <v>576.1</v>
      </c>
      <c r="I4314">
        <v>2316.57</v>
      </c>
      <c r="J4314">
        <v>23</v>
      </c>
      <c r="K4314">
        <v>1</v>
      </c>
      <c r="L4314">
        <v>32.3</v>
      </c>
      <c r="M4314">
        <v>16</v>
      </c>
      <c r="N4314" t="s">
        <v>81</v>
      </c>
      <c r="O4314" t="s">
        <v>47</v>
      </c>
      <c r="P4314" t="s">
        <v>58</v>
      </c>
      <c r="R4314">
        <f>SUMIF(A4314:A9313,"C04313",I4314:I9313)</f>
        <v>2316.57</v>
      </c>
      <c r="S4314" s="1">
        <v>11218.93</v>
      </c>
      <c r="T4314">
        <f t="shared" si="484"/>
        <v>100.720434782609</v>
      </c>
      <c r="U4314">
        <f t="shared" si="483"/>
        <v>368</v>
      </c>
      <c r="V4314">
        <f>U4314*1</f>
        <v>368</v>
      </c>
      <c r="W4314">
        <f t="shared" si="489"/>
        <v>964.556666666667</v>
      </c>
      <c r="X4314">
        <f t="shared" si="487"/>
        <v>2.16976219406353</v>
      </c>
      <c r="AH4314" t="str">
        <f t="shared" si="490"/>
        <v>3rd Quality</v>
      </c>
      <c r="AJ4314">
        <f>((T4314-X4314)*2)/32.3</f>
        <v>6.1022088290121</v>
      </c>
      <c r="AK4314">
        <f t="shared" si="488"/>
        <v>125900.543478261</v>
      </c>
    </row>
    <row r="4315" spans="1:37">
      <c r="A4315" t="s">
        <v>4381</v>
      </c>
      <c r="B4315">
        <v>19</v>
      </c>
      <c r="C4315" t="s">
        <v>44</v>
      </c>
      <c r="D4315" t="s">
        <v>45</v>
      </c>
      <c r="E4315">
        <v>1391</v>
      </c>
      <c r="F4315">
        <v>160</v>
      </c>
      <c r="G4315">
        <v>3</v>
      </c>
      <c r="H4315">
        <v>883.51</v>
      </c>
      <c r="I4315">
        <v>2799</v>
      </c>
      <c r="J4315">
        <v>19</v>
      </c>
      <c r="K4315">
        <v>0</v>
      </c>
      <c r="L4315">
        <v>38.9</v>
      </c>
      <c r="M4315">
        <v>51</v>
      </c>
      <c r="N4315" t="s">
        <v>81</v>
      </c>
      <c r="O4315" t="s">
        <v>75</v>
      </c>
      <c r="P4315" t="s">
        <v>48</v>
      </c>
      <c r="R4315">
        <f>SUMIF(A4315:A9314,"C04314",I4315:I9314)</f>
        <v>2799</v>
      </c>
      <c r="S4315" s="1">
        <v>1238.66</v>
      </c>
      <c r="T4315">
        <f t="shared" si="484"/>
        <v>147.315789473684</v>
      </c>
      <c r="U4315">
        <f t="shared" si="483"/>
        <v>969</v>
      </c>
      <c r="V4315">
        <f t="shared" si="486"/>
        <v>80.75</v>
      </c>
      <c r="W4315">
        <f t="shared" si="489"/>
        <v>1227.83666666667</v>
      </c>
      <c r="X4315">
        <f t="shared" si="487"/>
        <v>1.57440210071193</v>
      </c>
      <c r="AH4315" t="str">
        <f t="shared" si="490"/>
        <v>3rd Quality</v>
      </c>
      <c r="AJ4315">
        <f>((T4315-X4315)*2)/38.9</f>
        <v>7.49313045619394</v>
      </c>
      <c r="AK4315">
        <f t="shared" si="488"/>
        <v>204916.263157895</v>
      </c>
    </row>
    <row r="4316" spans="1:37">
      <c r="A4316" t="s">
        <v>4382</v>
      </c>
      <c r="B4316">
        <v>32</v>
      </c>
      <c r="C4316" t="s">
        <v>101</v>
      </c>
      <c r="D4316" t="s">
        <v>60</v>
      </c>
      <c r="E4316">
        <v>837</v>
      </c>
      <c r="F4316">
        <v>7</v>
      </c>
      <c r="G4316">
        <v>28</v>
      </c>
      <c r="H4316">
        <v>3989.96</v>
      </c>
      <c r="I4316">
        <v>121484.28</v>
      </c>
      <c r="J4316">
        <v>205</v>
      </c>
      <c r="K4316">
        <v>1</v>
      </c>
      <c r="L4316">
        <v>11.3</v>
      </c>
      <c r="M4316">
        <v>30.9</v>
      </c>
      <c r="N4316" t="s">
        <v>52</v>
      </c>
      <c r="O4316" t="s">
        <v>47</v>
      </c>
      <c r="P4316" t="s">
        <v>66</v>
      </c>
      <c r="R4316">
        <f>SUMIF(A4316:A9315,"C04315",I4316:I9315)</f>
        <v>121484.28</v>
      </c>
      <c r="S4316" s="1">
        <v>1597.89</v>
      </c>
      <c r="T4316">
        <f t="shared" si="484"/>
        <v>592.606243902439</v>
      </c>
      <c r="U4316">
        <f t="shared" si="483"/>
        <v>6334.5</v>
      </c>
      <c r="V4316">
        <f>U4316*1</f>
        <v>6334.5</v>
      </c>
      <c r="W4316">
        <f t="shared" si="489"/>
        <v>41825.08</v>
      </c>
      <c r="X4316">
        <f t="shared" si="487"/>
        <v>0.209776539113174</v>
      </c>
      <c r="AH4316" t="str">
        <f t="shared" si="490"/>
        <v>2nd Quality</v>
      </c>
      <c r="AJ4316">
        <f>((T4316-X4316)*2)/11.3</f>
        <v>104.848932276695</v>
      </c>
      <c r="AK4316">
        <f t="shared" si="488"/>
        <v>496011.426146341</v>
      </c>
    </row>
    <row r="4317" spans="1:37">
      <c r="A4317" t="s">
        <v>4383</v>
      </c>
      <c r="B4317">
        <v>36</v>
      </c>
      <c r="C4317" t="s">
        <v>50</v>
      </c>
      <c r="D4317" t="s">
        <v>60</v>
      </c>
      <c r="E4317">
        <v>1257</v>
      </c>
      <c r="F4317">
        <v>12</v>
      </c>
      <c r="G4317">
        <v>1</v>
      </c>
      <c r="H4317">
        <v>11835.96</v>
      </c>
      <c r="I4317">
        <v>11218.93</v>
      </c>
      <c r="J4317">
        <v>21</v>
      </c>
      <c r="K4317">
        <v>1</v>
      </c>
      <c r="L4317">
        <v>0</v>
      </c>
      <c r="M4317">
        <v>11.3</v>
      </c>
      <c r="N4317" t="s">
        <v>52</v>
      </c>
      <c r="O4317" t="s">
        <v>47</v>
      </c>
      <c r="P4317" t="s">
        <v>58</v>
      </c>
      <c r="R4317">
        <f>SUMIF(A4317:A9316,"C04316",I4317:I9316)</f>
        <v>11218.93</v>
      </c>
      <c r="S4317" s="1">
        <v>1986.62</v>
      </c>
      <c r="T4317">
        <f t="shared" si="484"/>
        <v>534.234761904762</v>
      </c>
      <c r="U4317">
        <f t="shared" si="483"/>
        <v>237.3</v>
      </c>
      <c r="V4317">
        <f>U4317*1</f>
        <v>237.3</v>
      </c>
      <c r="W4317">
        <f t="shared" si="489"/>
        <v>7685.29666666667</v>
      </c>
      <c r="X4317">
        <f t="shared" si="487"/>
        <v>0.106201778309491</v>
      </c>
      <c r="AH4317" t="str">
        <f t="shared" si="490"/>
        <v>2nd Quality</v>
      </c>
      <c r="AJ4317">
        <f>((T4317-X4317)*2)</f>
        <v>1068.2571202529</v>
      </c>
      <c r="AK4317">
        <f t="shared" si="488"/>
        <v>671533.095714286</v>
      </c>
    </row>
    <row r="4318" spans="1:37">
      <c r="A4318" t="s">
        <v>4384</v>
      </c>
      <c r="B4318">
        <v>31</v>
      </c>
      <c r="C4318" t="s">
        <v>50</v>
      </c>
      <c r="D4318" t="s">
        <v>60</v>
      </c>
      <c r="E4318">
        <v>1208</v>
      </c>
      <c r="F4318">
        <v>139</v>
      </c>
      <c r="G4318">
        <v>1</v>
      </c>
      <c r="H4318">
        <v>1146.31</v>
      </c>
      <c r="I4318">
        <v>1238.66</v>
      </c>
      <c r="J4318">
        <v>15</v>
      </c>
      <c r="K4318">
        <v>0</v>
      </c>
      <c r="L4318">
        <v>11.5</v>
      </c>
      <c r="M4318">
        <v>8</v>
      </c>
      <c r="N4318" t="s">
        <v>61</v>
      </c>
      <c r="O4318" t="s">
        <v>47</v>
      </c>
      <c r="P4318" t="s">
        <v>58</v>
      </c>
      <c r="R4318">
        <f>SUMIF(A4318:A9317,"C04317",I4318:I9317)</f>
        <v>1238.66</v>
      </c>
      <c r="S4318" s="1">
        <v>14221.62</v>
      </c>
      <c r="T4318">
        <f t="shared" si="484"/>
        <v>82.5773333333333</v>
      </c>
      <c r="U4318">
        <f t="shared" si="483"/>
        <v>120</v>
      </c>
      <c r="V4318">
        <f t="shared" si="486"/>
        <v>10</v>
      </c>
      <c r="W4318">
        <f t="shared" si="489"/>
        <v>795.323333333333</v>
      </c>
      <c r="X4318">
        <f t="shared" si="487"/>
        <v>1.05381615793285</v>
      </c>
      <c r="AH4318" t="str">
        <f t="shared" si="490"/>
        <v>3rd Quality</v>
      </c>
      <c r="AJ4318">
        <f>((T4318-X4318)*2)/11.5</f>
        <v>14.1780029870262</v>
      </c>
      <c r="AK4318">
        <f t="shared" si="488"/>
        <v>99753.4186666667</v>
      </c>
    </row>
    <row r="4319" spans="1:37">
      <c r="A4319" t="s">
        <v>4385</v>
      </c>
      <c r="B4319">
        <v>42</v>
      </c>
      <c r="C4319" t="s">
        <v>44</v>
      </c>
      <c r="D4319" t="s">
        <v>45</v>
      </c>
      <c r="E4319">
        <v>1336</v>
      </c>
      <c r="F4319">
        <v>186</v>
      </c>
      <c r="G4319">
        <v>2</v>
      </c>
      <c r="H4319">
        <v>847.19</v>
      </c>
      <c r="I4319">
        <v>1597.89</v>
      </c>
      <c r="J4319">
        <v>21</v>
      </c>
      <c r="K4319">
        <v>1</v>
      </c>
      <c r="L4319">
        <v>19</v>
      </c>
      <c r="M4319">
        <v>45.3</v>
      </c>
      <c r="N4319" t="s">
        <v>61</v>
      </c>
      <c r="O4319" t="s">
        <v>47</v>
      </c>
      <c r="P4319" t="s">
        <v>48</v>
      </c>
      <c r="R4319">
        <f>SUMIF(A4319:A9318,"C04318",I4319:I9318)</f>
        <v>1597.89</v>
      </c>
      <c r="S4319" s="1">
        <v>2849.66</v>
      </c>
      <c r="T4319">
        <f t="shared" si="484"/>
        <v>76.09</v>
      </c>
      <c r="U4319">
        <f t="shared" si="483"/>
        <v>951.3</v>
      </c>
      <c r="V4319">
        <f>U4319*1</f>
        <v>951.3</v>
      </c>
      <c r="W4319">
        <f t="shared" si="489"/>
        <v>815.36</v>
      </c>
      <c r="X4319">
        <f t="shared" si="487"/>
        <v>1.57697800965545</v>
      </c>
      <c r="AH4319" t="str">
        <f t="shared" si="490"/>
        <v>3rd Quality</v>
      </c>
      <c r="AJ4319">
        <f>((T4319-X4319)*2)/19</f>
        <v>7.84347599898364</v>
      </c>
      <c r="AK4319">
        <f t="shared" si="488"/>
        <v>101656.24</v>
      </c>
    </row>
    <row r="4320" spans="1:37">
      <c r="A4320" t="s">
        <v>4386</v>
      </c>
      <c r="B4320">
        <v>22</v>
      </c>
      <c r="C4320" t="s">
        <v>44</v>
      </c>
      <c r="D4320" t="s">
        <v>45</v>
      </c>
      <c r="E4320">
        <v>711</v>
      </c>
      <c r="F4320">
        <v>365</v>
      </c>
      <c r="G4320">
        <v>2</v>
      </c>
      <c r="H4320">
        <v>924.66</v>
      </c>
      <c r="I4320">
        <v>1986.62</v>
      </c>
      <c r="J4320">
        <v>15</v>
      </c>
      <c r="K4320">
        <v>0</v>
      </c>
      <c r="L4320">
        <v>39.7</v>
      </c>
      <c r="M4320">
        <v>19.3</v>
      </c>
      <c r="N4320" t="s">
        <v>46</v>
      </c>
      <c r="O4320" t="s">
        <v>53</v>
      </c>
      <c r="P4320" t="s">
        <v>68</v>
      </c>
      <c r="R4320">
        <f>SUMIF(A4320:A9319,"C04319",I4320:I9319)</f>
        <v>1986.62</v>
      </c>
      <c r="S4320" s="1">
        <v>29095.6</v>
      </c>
      <c r="T4320">
        <f t="shared" si="484"/>
        <v>132.441333333333</v>
      </c>
      <c r="U4320">
        <f t="shared" si="483"/>
        <v>289.5</v>
      </c>
      <c r="V4320">
        <f t="shared" si="486"/>
        <v>24.125</v>
      </c>
      <c r="W4320">
        <f t="shared" si="489"/>
        <v>970.76</v>
      </c>
      <c r="X4320">
        <f t="shared" si="487"/>
        <v>0.768931282849912</v>
      </c>
      <c r="AH4320" t="str">
        <f t="shared" si="490"/>
        <v>3rd Quality</v>
      </c>
      <c r="AJ4320">
        <f>((T4320-X4320)*2)/39.7</f>
        <v>6.63337038037698</v>
      </c>
      <c r="AK4320">
        <f t="shared" si="488"/>
        <v>94165.788</v>
      </c>
    </row>
    <row r="4321" spans="1:37">
      <c r="A4321" t="s">
        <v>4387</v>
      </c>
      <c r="B4321">
        <v>56</v>
      </c>
      <c r="C4321" t="s">
        <v>44</v>
      </c>
      <c r="D4321" t="s">
        <v>60</v>
      </c>
      <c r="E4321">
        <v>904</v>
      </c>
      <c r="F4321">
        <v>59</v>
      </c>
      <c r="G4321">
        <v>10</v>
      </c>
      <c r="H4321">
        <v>1377</v>
      </c>
      <c r="I4321">
        <v>14221.62</v>
      </c>
      <c r="J4321">
        <v>71</v>
      </c>
      <c r="K4321">
        <v>0</v>
      </c>
      <c r="L4321">
        <v>26.4</v>
      </c>
      <c r="M4321">
        <v>36.1</v>
      </c>
      <c r="N4321" t="s">
        <v>57</v>
      </c>
      <c r="O4321" t="s">
        <v>75</v>
      </c>
      <c r="P4321" t="s">
        <v>68</v>
      </c>
      <c r="R4321">
        <f>SUMIF(A4321:A9320,"C04320",I4321:I9320)</f>
        <v>14221.62</v>
      </c>
      <c r="S4321" s="1">
        <v>14093.98</v>
      </c>
      <c r="T4321">
        <f t="shared" si="484"/>
        <v>200.304507042254</v>
      </c>
      <c r="U4321">
        <f t="shared" si="483"/>
        <v>2563.1</v>
      </c>
      <c r="V4321">
        <f t="shared" si="486"/>
        <v>213.591666666667</v>
      </c>
      <c r="W4321">
        <f t="shared" si="489"/>
        <v>5199.87333333333</v>
      </c>
      <c r="X4321">
        <f t="shared" si="487"/>
        <v>0.656499636891794</v>
      </c>
      <c r="AH4321" t="str">
        <f t="shared" si="490"/>
        <v>3rd Quality</v>
      </c>
      <c r="AJ4321">
        <f>((T4321-X4321)*2)/26.4</f>
        <v>15.1248490458608</v>
      </c>
      <c r="AK4321">
        <f t="shared" si="488"/>
        <v>181075.274366197</v>
      </c>
    </row>
    <row r="4322" spans="1:37">
      <c r="A4322" t="s">
        <v>4388</v>
      </c>
      <c r="B4322">
        <v>37</v>
      </c>
      <c r="C4322" t="s">
        <v>44</v>
      </c>
      <c r="D4322" t="s">
        <v>51</v>
      </c>
      <c r="E4322">
        <v>1142</v>
      </c>
      <c r="F4322">
        <v>260</v>
      </c>
      <c r="G4322">
        <v>5</v>
      </c>
      <c r="H4322">
        <v>560.71</v>
      </c>
      <c r="I4322">
        <v>2849.66</v>
      </c>
      <c r="J4322">
        <v>30</v>
      </c>
      <c r="K4322">
        <v>1</v>
      </c>
      <c r="L4322">
        <v>28.3</v>
      </c>
      <c r="M4322">
        <v>18.3</v>
      </c>
      <c r="N4322" t="s">
        <v>46</v>
      </c>
      <c r="O4322" t="s">
        <v>75</v>
      </c>
      <c r="P4322" t="s">
        <v>58</v>
      </c>
      <c r="R4322">
        <f>SUMIF(A4322:A9321,"C04321",I4322:I9321)</f>
        <v>2849.66</v>
      </c>
      <c r="S4322" s="1">
        <v>32364.07</v>
      </c>
      <c r="T4322">
        <f t="shared" si="484"/>
        <v>94.9886666666667</v>
      </c>
      <c r="U4322">
        <f t="shared" ref="U4322:U4385" si="491">J4322*M4322</f>
        <v>549</v>
      </c>
      <c r="V4322">
        <f>U4322*1</f>
        <v>549</v>
      </c>
      <c r="W4322">
        <f t="shared" si="489"/>
        <v>1137.12333333333</v>
      </c>
      <c r="X4322">
        <f t="shared" si="487"/>
        <v>2.03670346524942</v>
      </c>
      <c r="AH4322" t="str">
        <f t="shared" si="490"/>
        <v>3rd Quality</v>
      </c>
      <c r="AJ4322">
        <f>((T4322-X4322)*2)/28.3</f>
        <v>6.56904333578921</v>
      </c>
      <c r="AK4322">
        <f t="shared" si="488"/>
        <v>108477.057333333</v>
      </c>
    </row>
    <row r="4323" spans="1:37">
      <c r="A4323" t="s">
        <v>4389</v>
      </c>
      <c r="B4323">
        <v>18</v>
      </c>
      <c r="C4323" t="s">
        <v>50</v>
      </c>
      <c r="D4323" t="s">
        <v>45</v>
      </c>
      <c r="E4323">
        <v>824</v>
      </c>
      <c r="F4323">
        <v>48</v>
      </c>
      <c r="G4323">
        <v>3</v>
      </c>
      <c r="H4323">
        <v>9783.22</v>
      </c>
      <c r="I4323">
        <v>29095.6</v>
      </c>
      <c r="J4323">
        <v>18</v>
      </c>
      <c r="K4323">
        <v>0</v>
      </c>
      <c r="L4323">
        <v>3.2</v>
      </c>
      <c r="M4323">
        <v>14</v>
      </c>
      <c r="N4323" t="s">
        <v>78</v>
      </c>
      <c r="O4323" t="s">
        <v>47</v>
      </c>
      <c r="P4323" t="s">
        <v>68</v>
      </c>
      <c r="R4323">
        <f>SUMIF(A4323:A9322,"C04322",I4323:I9322)</f>
        <v>29095.6</v>
      </c>
      <c r="S4323" s="1">
        <v>103591.9</v>
      </c>
      <c r="T4323">
        <f t="shared" si="484"/>
        <v>1616.42222222222</v>
      </c>
      <c r="U4323">
        <f t="shared" si="491"/>
        <v>252</v>
      </c>
      <c r="V4323">
        <f t="shared" si="486"/>
        <v>21</v>
      </c>
      <c r="W4323">
        <f t="shared" si="489"/>
        <v>12959.94</v>
      </c>
      <c r="X4323">
        <f t="shared" si="487"/>
        <v>0.0842258479314582</v>
      </c>
      <c r="AH4323" t="str">
        <f t="shared" si="490"/>
        <v>2nd Quality</v>
      </c>
      <c r="AJ4323">
        <f>((T4323-X4323)*2)/3.2</f>
        <v>1010.21124773393</v>
      </c>
      <c r="AK4323">
        <f t="shared" si="488"/>
        <v>1331931.91111111</v>
      </c>
    </row>
    <row r="4324" spans="1:37">
      <c r="A4324" t="s">
        <v>4390</v>
      </c>
      <c r="B4324">
        <v>33</v>
      </c>
      <c r="C4324" t="s">
        <v>44</v>
      </c>
      <c r="D4324" t="s">
        <v>45</v>
      </c>
      <c r="E4324">
        <v>1459</v>
      </c>
      <c r="F4324">
        <v>48</v>
      </c>
      <c r="G4324">
        <v>2</v>
      </c>
      <c r="H4324">
        <v>6970.99</v>
      </c>
      <c r="I4324">
        <v>14093.98</v>
      </c>
      <c r="J4324">
        <v>18</v>
      </c>
      <c r="K4324">
        <v>1</v>
      </c>
      <c r="L4324">
        <v>14.4</v>
      </c>
      <c r="M4324">
        <v>36.2</v>
      </c>
      <c r="N4324" t="s">
        <v>81</v>
      </c>
      <c r="O4324" t="s">
        <v>53</v>
      </c>
      <c r="P4324" t="s">
        <v>68</v>
      </c>
      <c r="R4324">
        <f>SUMIF(A4324:A9323,"C04323",I4324:I9323)</f>
        <v>14093.98</v>
      </c>
      <c r="S4324" s="1">
        <v>30840.41</v>
      </c>
      <c r="T4324">
        <f t="shared" si="484"/>
        <v>782.998888888889</v>
      </c>
      <c r="U4324">
        <f t="shared" si="491"/>
        <v>651.6</v>
      </c>
      <c r="V4324">
        <f>U4324*1</f>
        <v>651.6</v>
      </c>
      <c r="W4324">
        <f t="shared" si="489"/>
        <v>7021.99</v>
      </c>
      <c r="X4324">
        <f t="shared" si="487"/>
        <v>0.20929595365938</v>
      </c>
      <c r="AH4324" t="str">
        <f t="shared" si="490"/>
        <v>2nd Quality</v>
      </c>
      <c r="AJ4324">
        <f>((T4324-X4324)*2)/14.4</f>
        <v>108.72077679656</v>
      </c>
      <c r="AK4324">
        <f t="shared" si="488"/>
        <v>1142395.37888889</v>
      </c>
    </row>
    <row r="4325" spans="1:37">
      <c r="A4325" t="s">
        <v>4391</v>
      </c>
      <c r="B4325">
        <v>27</v>
      </c>
      <c r="C4325" t="s">
        <v>44</v>
      </c>
      <c r="D4325" t="s">
        <v>60</v>
      </c>
      <c r="E4325">
        <v>1263</v>
      </c>
      <c r="F4325">
        <v>13</v>
      </c>
      <c r="G4325">
        <v>22</v>
      </c>
      <c r="H4325">
        <v>1571.18</v>
      </c>
      <c r="I4325">
        <v>32364.07</v>
      </c>
      <c r="J4325">
        <v>124</v>
      </c>
      <c r="K4325">
        <v>0</v>
      </c>
      <c r="L4325">
        <v>3.5</v>
      </c>
      <c r="M4325">
        <v>27.2</v>
      </c>
      <c r="N4325" t="s">
        <v>61</v>
      </c>
      <c r="O4325" t="s">
        <v>75</v>
      </c>
      <c r="P4325" t="s">
        <v>58</v>
      </c>
      <c r="R4325">
        <f>SUMIF(A4325:A9324,"C04324",I4325:I9324)</f>
        <v>32364.07</v>
      </c>
      <c r="S4325" s="1">
        <v>85650.65</v>
      </c>
      <c r="T4325">
        <f t="shared" si="484"/>
        <v>261.000564516129</v>
      </c>
      <c r="U4325">
        <f t="shared" si="491"/>
        <v>3372.8</v>
      </c>
      <c r="V4325">
        <f t="shared" si="486"/>
        <v>281.066666666667</v>
      </c>
      <c r="W4325">
        <f t="shared" si="489"/>
        <v>11312.0833333333</v>
      </c>
      <c r="X4325">
        <f t="shared" si="487"/>
        <v>0.803854427882229</v>
      </c>
      <c r="AH4325" t="str">
        <f t="shared" si="490"/>
        <v>2nd Quality</v>
      </c>
      <c r="AJ4325">
        <f>((T4325-X4325)*2)/3.5</f>
        <v>148.683834336141</v>
      </c>
      <c r="AK4325">
        <f t="shared" si="488"/>
        <v>329643.712983871</v>
      </c>
    </row>
    <row r="4326" spans="1:37">
      <c r="A4326" t="s">
        <v>4392</v>
      </c>
      <c r="B4326">
        <v>39</v>
      </c>
      <c r="C4326" t="s">
        <v>44</v>
      </c>
      <c r="D4326" t="s">
        <v>60</v>
      </c>
      <c r="E4326">
        <v>393</v>
      </c>
      <c r="F4326">
        <v>12</v>
      </c>
      <c r="G4326">
        <v>25</v>
      </c>
      <c r="H4326">
        <v>4145.6</v>
      </c>
      <c r="I4326">
        <v>103591.9</v>
      </c>
      <c r="J4326">
        <v>84</v>
      </c>
      <c r="K4326">
        <v>2</v>
      </c>
      <c r="L4326">
        <v>0.8</v>
      </c>
      <c r="M4326">
        <v>44.6</v>
      </c>
      <c r="N4326" t="s">
        <v>81</v>
      </c>
      <c r="O4326" t="s">
        <v>47</v>
      </c>
      <c r="P4326" t="s">
        <v>58</v>
      </c>
      <c r="R4326">
        <f>SUMIF(A4326:A9325,"C04325",I4326:I9325)</f>
        <v>103591.9</v>
      </c>
      <c r="S4326" s="1">
        <v>2022.29</v>
      </c>
      <c r="T4326">
        <f t="shared" si="484"/>
        <v>1233.2369047619</v>
      </c>
      <c r="U4326">
        <f t="shared" si="491"/>
        <v>3746.4</v>
      </c>
      <c r="V4326">
        <f>U4326*2</f>
        <v>7492.8</v>
      </c>
      <c r="W4326">
        <f t="shared" si="489"/>
        <v>35912.8333333333</v>
      </c>
      <c r="X4326">
        <f t="shared" si="487"/>
        <v>0.0947993052875338</v>
      </c>
      <c r="AH4326" t="str">
        <f t="shared" si="490"/>
        <v>3rd Quality</v>
      </c>
      <c r="AJ4326">
        <f>((T4326-X4326)*2)/0.8</f>
        <v>3082.85526364153</v>
      </c>
      <c r="AK4326">
        <f t="shared" si="488"/>
        <v>484662.103571429</v>
      </c>
    </row>
    <row r="4327" spans="1:37">
      <c r="A4327" t="s">
        <v>4393</v>
      </c>
      <c r="B4327">
        <v>18</v>
      </c>
      <c r="C4327" t="s">
        <v>44</v>
      </c>
      <c r="D4327" t="s">
        <v>60</v>
      </c>
      <c r="E4327">
        <v>800</v>
      </c>
      <c r="F4327">
        <v>14</v>
      </c>
      <c r="G4327">
        <v>3</v>
      </c>
      <c r="H4327">
        <v>10019.22</v>
      </c>
      <c r="I4327">
        <v>30840.41</v>
      </c>
      <c r="J4327">
        <v>21</v>
      </c>
      <c r="K4327">
        <v>0</v>
      </c>
      <c r="L4327">
        <v>0</v>
      </c>
      <c r="M4327">
        <v>66.8</v>
      </c>
      <c r="N4327" t="s">
        <v>52</v>
      </c>
      <c r="O4327" t="s">
        <v>47</v>
      </c>
      <c r="P4327" t="s">
        <v>68</v>
      </c>
      <c r="R4327">
        <f>SUMIF(A4327:A9326,"C04326",I4327:I9326)</f>
        <v>30840.41</v>
      </c>
      <c r="S4327" s="1">
        <v>2078.01</v>
      </c>
      <c r="T4327">
        <f t="shared" ref="T4327:T4390" si="492">I4327/J4327</f>
        <v>1468.59095238095</v>
      </c>
      <c r="U4327">
        <f t="shared" si="491"/>
        <v>1402.8</v>
      </c>
      <c r="V4327">
        <f t="shared" si="486"/>
        <v>116.9</v>
      </c>
      <c r="W4327">
        <f t="shared" si="489"/>
        <v>13620.21</v>
      </c>
      <c r="X4327">
        <f t="shared" si="487"/>
        <v>0.0798465349598073</v>
      </c>
      <c r="AH4327" t="str">
        <f t="shared" si="490"/>
        <v>2nd Quality</v>
      </c>
      <c r="AJ4327">
        <f>((T4327-X4327)*2)</f>
        <v>2937.02221169198</v>
      </c>
      <c r="AK4327">
        <f t="shared" si="488"/>
        <v>1174872.76190476</v>
      </c>
    </row>
    <row r="4328" spans="1:37">
      <c r="A4328" t="s">
        <v>4394</v>
      </c>
      <c r="B4328">
        <v>33</v>
      </c>
      <c r="C4328" t="s">
        <v>44</v>
      </c>
      <c r="D4328" t="s">
        <v>60</v>
      </c>
      <c r="E4328">
        <v>955</v>
      </c>
      <c r="F4328">
        <v>9</v>
      </c>
      <c r="G4328">
        <v>22</v>
      </c>
      <c r="H4328">
        <v>4007.11</v>
      </c>
      <c r="I4328">
        <v>85650.65</v>
      </c>
      <c r="J4328">
        <v>69</v>
      </c>
      <c r="K4328">
        <v>2</v>
      </c>
      <c r="L4328">
        <v>10.5</v>
      </c>
      <c r="M4328">
        <v>33.6</v>
      </c>
      <c r="N4328" t="s">
        <v>57</v>
      </c>
      <c r="O4328" t="s">
        <v>75</v>
      </c>
      <c r="P4328" t="s">
        <v>66</v>
      </c>
      <c r="R4328">
        <f>SUMIF(A4328:A9327,"C04327",I4328:I9327)</f>
        <v>85650.65</v>
      </c>
      <c r="S4328" s="1">
        <v>5396.27</v>
      </c>
      <c r="T4328">
        <f t="shared" si="492"/>
        <v>1241.31376811594</v>
      </c>
      <c r="U4328">
        <f t="shared" si="491"/>
        <v>2318.4</v>
      </c>
      <c r="V4328">
        <f>U4328*2</f>
        <v>4636.8</v>
      </c>
      <c r="W4328">
        <f t="shared" si="489"/>
        <v>29886.2533333333</v>
      </c>
      <c r="X4328">
        <f t="shared" si="487"/>
        <v>0.238326374868671</v>
      </c>
      <c r="AH4328" t="str">
        <f t="shared" si="490"/>
        <v>1st Quality</v>
      </c>
      <c r="AJ4328">
        <f>((T4328-X4328)*2)/10.5</f>
        <v>236.395322236395</v>
      </c>
      <c r="AK4328">
        <f t="shared" si="488"/>
        <v>1185454.64855072</v>
      </c>
    </row>
    <row r="4329" spans="1:37">
      <c r="A4329" t="s">
        <v>4395</v>
      </c>
      <c r="B4329">
        <v>54</v>
      </c>
      <c r="C4329" t="s">
        <v>44</v>
      </c>
      <c r="D4329" t="s">
        <v>45</v>
      </c>
      <c r="E4329">
        <v>1140</v>
      </c>
      <c r="F4329">
        <v>154</v>
      </c>
      <c r="G4329">
        <v>3</v>
      </c>
      <c r="H4329">
        <v>693.77</v>
      </c>
      <c r="I4329">
        <v>2022.29</v>
      </c>
      <c r="J4329">
        <v>23</v>
      </c>
      <c r="K4329">
        <v>0</v>
      </c>
      <c r="L4329">
        <v>24.1</v>
      </c>
      <c r="M4329">
        <v>33.1</v>
      </c>
      <c r="N4329" t="s">
        <v>78</v>
      </c>
      <c r="O4329" t="s">
        <v>47</v>
      </c>
      <c r="P4329" t="s">
        <v>58</v>
      </c>
      <c r="R4329">
        <f>SUMIF(A4329:A9328,"C04328",I4329:I9328)</f>
        <v>2022.29</v>
      </c>
      <c r="S4329" s="1">
        <v>139356.48</v>
      </c>
      <c r="T4329">
        <f t="shared" si="492"/>
        <v>87.925652173913</v>
      </c>
      <c r="U4329">
        <f t="shared" si="491"/>
        <v>761.3</v>
      </c>
      <c r="V4329">
        <f t="shared" si="486"/>
        <v>63.4416666666667</v>
      </c>
      <c r="W4329">
        <f t="shared" si="489"/>
        <v>905.686666666667</v>
      </c>
      <c r="X4329">
        <f t="shared" si="487"/>
        <v>1.64319587183072</v>
      </c>
      <c r="AH4329" t="str">
        <f t="shared" si="490"/>
        <v>3rd Quality</v>
      </c>
      <c r="AJ4329">
        <f>((T4329-X4329)*2)/24.1</f>
        <v>7.16036981760019</v>
      </c>
      <c r="AK4329">
        <f t="shared" si="488"/>
        <v>100235.243478261</v>
      </c>
    </row>
    <row r="4330" spans="1:37">
      <c r="A4330" t="s">
        <v>4396</v>
      </c>
      <c r="B4330">
        <v>37</v>
      </c>
      <c r="C4330" t="s">
        <v>50</v>
      </c>
      <c r="D4330" t="s">
        <v>60</v>
      </c>
      <c r="E4330">
        <v>958</v>
      </c>
      <c r="F4330">
        <v>112</v>
      </c>
      <c r="G4330">
        <v>2</v>
      </c>
      <c r="H4330">
        <v>1078.5</v>
      </c>
      <c r="I4330">
        <v>2078.01</v>
      </c>
      <c r="J4330">
        <v>23</v>
      </c>
      <c r="K4330">
        <v>0</v>
      </c>
      <c r="L4330">
        <v>36.8</v>
      </c>
      <c r="M4330">
        <v>9.8</v>
      </c>
      <c r="N4330" t="s">
        <v>46</v>
      </c>
      <c r="O4330" t="s">
        <v>47</v>
      </c>
      <c r="P4330" t="s">
        <v>68</v>
      </c>
      <c r="R4330">
        <f>SUMIF(A4330:A9329,"C04329",I4330:I9329)</f>
        <v>2078.01</v>
      </c>
      <c r="S4330" s="1">
        <v>2360.77</v>
      </c>
      <c r="T4330">
        <f t="shared" si="492"/>
        <v>90.3482608695652</v>
      </c>
      <c r="U4330">
        <f t="shared" si="491"/>
        <v>225.4</v>
      </c>
      <c r="V4330">
        <f t="shared" si="486"/>
        <v>18.7833333333333</v>
      </c>
      <c r="W4330">
        <f t="shared" si="489"/>
        <v>1052.50333333333</v>
      </c>
      <c r="X4330">
        <f t="shared" si="487"/>
        <v>0.888270746407047</v>
      </c>
      <c r="AH4330" t="str">
        <f t="shared" si="490"/>
        <v>3rd Quality</v>
      </c>
      <c r="AJ4330">
        <f>((T4330-X4330)*2)/36.8</f>
        <v>4.86195598495425</v>
      </c>
      <c r="AK4330">
        <f t="shared" si="488"/>
        <v>86553.6339130435</v>
      </c>
    </row>
    <row r="4331" spans="1:37">
      <c r="A4331" t="s">
        <v>4397</v>
      </c>
      <c r="B4331">
        <v>18</v>
      </c>
      <c r="C4331" t="s">
        <v>50</v>
      </c>
      <c r="D4331" t="s">
        <v>60</v>
      </c>
      <c r="E4331">
        <v>1038</v>
      </c>
      <c r="F4331">
        <v>43</v>
      </c>
      <c r="G4331">
        <v>2</v>
      </c>
      <c r="H4331">
        <v>2506.87</v>
      </c>
      <c r="I4331">
        <v>5396.27</v>
      </c>
      <c r="J4331">
        <v>9</v>
      </c>
      <c r="K4331">
        <v>0</v>
      </c>
      <c r="L4331">
        <v>17.7</v>
      </c>
      <c r="M4331">
        <v>21.9</v>
      </c>
      <c r="N4331" t="s">
        <v>57</v>
      </c>
      <c r="O4331" t="s">
        <v>47</v>
      </c>
      <c r="P4331" t="s">
        <v>58</v>
      </c>
      <c r="R4331">
        <f>SUMIF(A4331:A9330,"C04330",I4331:I9330)</f>
        <v>5396.27</v>
      </c>
      <c r="S4331" s="1">
        <v>98966.39</v>
      </c>
      <c r="T4331">
        <f t="shared" si="492"/>
        <v>599.585555555556</v>
      </c>
      <c r="U4331">
        <f t="shared" si="491"/>
        <v>197.1</v>
      </c>
      <c r="V4331">
        <f t="shared" si="486"/>
        <v>16.425</v>
      </c>
      <c r="W4331">
        <f t="shared" si="489"/>
        <v>2634.71333333333</v>
      </c>
      <c r="X4331">
        <f t="shared" si="487"/>
        <v>0.414062157192036</v>
      </c>
      <c r="AH4331" t="str">
        <f t="shared" si="490"/>
        <v>3rd Quality</v>
      </c>
      <c r="AJ4331">
        <f>((T4331-X4331)*2)/17.7</f>
        <v>67.7029936043349</v>
      </c>
      <c r="AK4331">
        <f t="shared" si="488"/>
        <v>622369.806666667</v>
      </c>
    </row>
    <row r="4332" spans="1:37">
      <c r="A4332" t="s">
        <v>4398</v>
      </c>
      <c r="B4332">
        <v>35</v>
      </c>
      <c r="C4332" t="s">
        <v>44</v>
      </c>
      <c r="D4332" t="s">
        <v>45</v>
      </c>
      <c r="E4332">
        <v>1007</v>
      </c>
      <c r="F4332">
        <v>20</v>
      </c>
      <c r="G4332">
        <v>23</v>
      </c>
      <c r="H4332">
        <v>6231.81</v>
      </c>
      <c r="I4332">
        <v>139356.48</v>
      </c>
      <c r="J4332">
        <v>143</v>
      </c>
      <c r="K4332">
        <v>1</v>
      </c>
      <c r="L4332">
        <v>0</v>
      </c>
      <c r="M4332">
        <v>48.1</v>
      </c>
      <c r="N4332" t="s">
        <v>78</v>
      </c>
      <c r="O4332" t="s">
        <v>75</v>
      </c>
      <c r="P4332" t="s">
        <v>68</v>
      </c>
      <c r="R4332">
        <f>SUMIF(A4332:A9331,"C04331",I4332:I9331)</f>
        <v>139356.48</v>
      </c>
      <c r="S4332" s="1">
        <v>6380.9</v>
      </c>
      <c r="T4332">
        <f t="shared" si="492"/>
        <v>974.520839160839</v>
      </c>
      <c r="U4332">
        <f t="shared" si="491"/>
        <v>6878.3</v>
      </c>
      <c r="V4332">
        <f>U4332*1</f>
        <v>6878.3</v>
      </c>
      <c r="W4332">
        <f t="shared" si="489"/>
        <v>48529.7633333333</v>
      </c>
      <c r="X4332">
        <f t="shared" si="487"/>
        <v>0.161590292386963</v>
      </c>
      <c r="AH4332" t="str">
        <f t="shared" si="490"/>
        <v>2nd Quality</v>
      </c>
      <c r="AJ4332">
        <f>((T4332-X4332)*2)</f>
        <v>1948.7184977369</v>
      </c>
      <c r="AK4332">
        <f t="shared" si="488"/>
        <v>981342.485034965</v>
      </c>
    </row>
    <row r="4333" spans="1:37">
      <c r="A4333" t="s">
        <v>4399</v>
      </c>
      <c r="B4333">
        <v>31</v>
      </c>
      <c r="C4333" t="s">
        <v>50</v>
      </c>
      <c r="D4333" t="s">
        <v>45</v>
      </c>
      <c r="E4333">
        <v>536</v>
      </c>
      <c r="F4333">
        <v>296</v>
      </c>
      <c r="G4333">
        <v>1</v>
      </c>
      <c r="H4333">
        <v>2316.12</v>
      </c>
      <c r="I4333">
        <v>2360.77</v>
      </c>
      <c r="J4333">
        <v>17</v>
      </c>
      <c r="K4333">
        <v>0</v>
      </c>
      <c r="L4333">
        <v>16</v>
      </c>
      <c r="M4333">
        <v>16.1</v>
      </c>
      <c r="N4333" t="s">
        <v>57</v>
      </c>
      <c r="O4333" t="s">
        <v>53</v>
      </c>
      <c r="P4333" t="s">
        <v>48</v>
      </c>
      <c r="R4333">
        <f>SUMIF(A4333:A9332,"C04332",I4333:I9332)</f>
        <v>2360.77</v>
      </c>
      <c r="S4333" s="1">
        <v>1522.81</v>
      </c>
      <c r="T4333">
        <f t="shared" si="492"/>
        <v>138.868823529412</v>
      </c>
      <c r="U4333">
        <f t="shared" si="491"/>
        <v>273.7</v>
      </c>
      <c r="V4333">
        <f t="shared" si="486"/>
        <v>22.8083333333333</v>
      </c>
      <c r="W4333">
        <f t="shared" si="489"/>
        <v>1559.29666666667</v>
      </c>
      <c r="X4333">
        <f t="shared" si="487"/>
        <v>0.231421515292817</v>
      </c>
      <c r="AH4333" t="str">
        <f t="shared" si="490"/>
        <v>3rd Quality</v>
      </c>
      <c r="AJ4333">
        <f>((T4333-X4333)*2)/16</f>
        <v>17.3296752517649</v>
      </c>
      <c r="AK4333">
        <f t="shared" si="488"/>
        <v>74433.6894117647</v>
      </c>
    </row>
    <row r="4334" spans="1:37">
      <c r="A4334" t="s">
        <v>4400</v>
      </c>
      <c r="B4334">
        <v>42</v>
      </c>
      <c r="C4334" t="s">
        <v>44</v>
      </c>
      <c r="D4334" t="s">
        <v>60</v>
      </c>
      <c r="E4334">
        <v>757</v>
      </c>
      <c r="F4334">
        <v>19</v>
      </c>
      <c r="G4334">
        <v>24</v>
      </c>
      <c r="H4334">
        <v>3703.84</v>
      </c>
      <c r="I4334">
        <v>98966.39</v>
      </c>
      <c r="J4334">
        <v>127</v>
      </c>
      <c r="K4334">
        <v>4</v>
      </c>
      <c r="L4334">
        <v>2.8</v>
      </c>
      <c r="M4334">
        <v>20.8</v>
      </c>
      <c r="N4334" t="s">
        <v>46</v>
      </c>
      <c r="O4334" t="s">
        <v>47</v>
      </c>
      <c r="P4334" t="s">
        <v>66</v>
      </c>
      <c r="R4334">
        <f>SUMIF(A4334:A9333,"C04333",I4334:I9333)</f>
        <v>98966.39</v>
      </c>
      <c r="S4334" s="1">
        <v>41076.86</v>
      </c>
      <c r="T4334">
        <f t="shared" si="492"/>
        <v>779.262913385827</v>
      </c>
      <c r="U4334">
        <f t="shared" si="491"/>
        <v>2641.6</v>
      </c>
      <c r="V4334">
        <f>U4334*4</f>
        <v>10566.4</v>
      </c>
      <c r="W4334">
        <f t="shared" si="489"/>
        <v>34223.7433333333</v>
      </c>
      <c r="X4334">
        <f t="shared" si="487"/>
        <v>0.204382478724783</v>
      </c>
      <c r="AH4334" t="str">
        <f t="shared" si="490"/>
        <v>2nd Quality</v>
      </c>
      <c r="AJ4334">
        <f>((T4334-X4334)*2)/2.8</f>
        <v>556.470379219359</v>
      </c>
      <c r="AK4334">
        <f t="shared" si="488"/>
        <v>589902.025433071</v>
      </c>
    </row>
    <row r="4335" spans="1:37">
      <c r="A4335" t="s">
        <v>4401</v>
      </c>
      <c r="B4335">
        <v>38</v>
      </c>
      <c r="C4335" t="s">
        <v>44</v>
      </c>
      <c r="D4335" t="s">
        <v>51</v>
      </c>
      <c r="E4335">
        <v>706</v>
      </c>
      <c r="F4335">
        <v>13</v>
      </c>
      <c r="G4335">
        <v>9</v>
      </c>
      <c r="H4335">
        <v>799.11</v>
      </c>
      <c r="I4335">
        <v>6380.9</v>
      </c>
      <c r="J4335">
        <v>27</v>
      </c>
      <c r="K4335">
        <v>2</v>
      </c>
      <c r="L4335">
        <v>21.7</v>
      </c>
      <c r="M4335">
        <v>33.6</v>
      </c>
      <c r="N4335" t="s">
        <v>46</v>
      </c>
      <c r="O4335" t="s">
        <v>53</v>
      </c>
      <c r="P4335" t="s">
        <v>48</v>
      </c>
      <c r="R4335">
        <f>SUMIF(A4335:A9334,"C04334",I4335:I9334)</f>
        <v>6380.9</v>
      </c>
      <c r="S4335" s="1">
        <v>64121.31</v>
      </c>
      <c r="T4335">
        <f t="shared" si="492"/>
        <v>236.32962962963</v>
      </c>
      <c r="U4335">
        <f t="shared" si="491"/>
        <v>907.2</v>
      </c>
      <c r="V4335">
        <f>U4335*2</f>
        <v>1814.4</v>
      </c>
      <c r="W4335">
        <f t="shared" si="489"/>
        <v>2393.67</v>
      </c>
      <c r="X4335">
        <f t="shared" si="487"/>
        <v>0.883482874698102</v>
      </c>
      <c r="AH4335" t="str">
        <f t="shared" si="490"/>
        <v>3rd Quality</v>
      </c>
      <c r="AJ4335">
        <f>((T4335-X4335)*2)/21.7</f>
        <v>21.7001056916988</v>
      </c>
      <c r="AK4335">
        <f t="shared" si="488"/>
        <v>166848.718518518</v>
      </c>
    </row>
    <row r="4336" spans="1:37">
      <c r="A4336" t="s">
        <v>4402</v>
      </c>
      <c r="B4336">
        <v>38</v>
      </c>
      <c r="C4336" t="s">
        <v>50</v>
      </c>
      <c r="D4336" t="s">
        <v>60</v>
      </c>
      <c r="E4336">
        <v>774</v>
      </c>
      <c r="F4336">
        <v>19</v>
      </c>
      <c r="G4336">
        <v>2</v>
      </c>
      <c r="H4336">
        <v>816.28</v>
      </c>
      <c r="I4336">
        <v>1522.81</v>
      </c>
      <c r="J4336">
        <v>12</v>
      </c>
      <c r="K4336">
        <v>0</v>
      </c>
      <c r="L4336">
        <v>37.2</v>
      </c>
      <c r="M4336">
        <v>57.7</v>
      </c>
      <c r="N4336" t="s">
        <v>81</v>
      </c>
      <c r="O4336" t="s">
        <v>53</v>
      </c>
      <c r="P4336" t="s">
        <v>58</v>
      </c>
      <c r="R4336">
        <f>SUMIF(A4336:A9335,"C04335",I4336:I9335)</f>
        <v>1522.81</v>
      </c>
      <c r="S4336" s="1">
        <v>163179.4</v>
      </c>
      <c r="T4336">
        <f t="shared" si="492"/>
        <v>126.900833333333</v>
      </c>
      <c r="U4336">
        <f t="shared" si="491"/>
        <v>692.4</v>
      </c>
      <c r="V4336">
        <f t="shared" si="486"/>
        <v>57.7</v>
      </c>
      <c r="W4336">
        <f t="shared" si="489"/>
        <v>780.03</v>
      </c>
      <c r="X4336">
        <f t="shared" si="487"/>
        <v>0.948204047630715</v>
      </c>
      <c r="AH4336" t="str">
        <f t="shared" si="490"/>
        <v>3rd Quality</v>
      </c>
      <c r="AJ4336">
        <f>((T4336-X4336)*2)/37.2</f>
        <v>6.77164673579045</v>
      </c>
      <c r="AK4336">
        <f t="shared" si="488"/>
        <v>98221.245</v>
      </c>
    </row>
    <row r="4337" spans="1:37">
      <c r="A4337" t="s">
        <v>4403</v>
      </c>
      <c r="B4337">
        <v>28</v>
      </c>
      <c r="C4337" t="s">
        <v>44</v>
      </c>
      <c r="D4337" t="s">
        <v>45</v>
      </c>
      <c r="E4337">
        <v>601</v>
      </c>
      <c r="F4337">
        <v>7</v>
      </c>
      <c r="G4337">
        <v>20</v>
      </c>
      <c r="H4337">
        <v>1863.65</v>
      </c>
      <c r="I4337">
        <v>41076.86</v>
      </c>
      <c r="J4337">
        <v>126</v>
      </c>
      <c r="K4337">
        <v>1</v>
      </c>
      <c r="L4337">
        <v>8.5</v>
      </c>
      <c r="M4337">
        <v>73.8</v>
      </c>
      <c r="N4337" t="s">
        <v>52</v>
      </c>
      <c r="O4337" t="s">
        <v>75</v>
      </c>
      <c r="P4337" t="s">
        <v>68</v>
      </c>
      <c r="R4337">
        <f>SUMIF(A4337:A9336,"C04336",I4337:I9336)</f>
        <v>41076.86</v>
      </c>
      <c r="S4337" s="1">
        <v>46448.09</v>
      </c>
      <c r="T4337">
        <f t="shared" si="492"/>
        <v>326.006825396825</v>
      </c>
      <c r="U4337">
        <f t="shared" si="491"/>
        <v>9298.8</v>
      </c>
      <c r="V4337">
        <f>U4337*1</f>
        <v>9298.8</v>
      </c>
      <c r="W4337">
        <f t="shared" si="489"/>
        <v>14313.8366666667</v>
      </c>
      <c r="X4337">
        <f t="shared" si="487"/>
        <v>0.32248544522845</v>
      </c>
      <c r="AH4337" t="str">
        <f t="shared" si="490"/>
        <v>2nd Quality</v>
      </c>
      <c r="AJ4337">
        <f>((T4337-X4337)*2)/8.5</f>
        <v>76.6316094003757</v>
      </c>
      <c r="AK4337">
        <f t="shared" si="488"/>
        <v>195930.102063492</v>
      </c>
    </row>
    <row r="4338" spans="1:37">
      <c r="A4338" t="s">
        <v>4404</v>
      </c>
      <c r="B4338">
        <v>18</v>
      </c>
      <c r="C4338" t="s">
        <v>50</v>
      </c>
      <c r="D4338" t="s">
        <v>60</v>
      </c>
      <c r="E4338">
        <v>1412</v>
      </c>
      <c r="F4338">
        <v>12</v>
      </c>
      <c r="G4338">
        <v>26</v>
      </c>
      <c r="H4338">
        <v>2344.28</v>
      </c>
      <c r="I4338">
        <v>64121.31</v>
      </c>
      <c r="J4338">
        <v>213</v>
      </c>
      <c r="K4338">
        <v>0</v>
      </c>
      <c r="L4338">
        <v>4.9</v>
      </c>
      <c r="M4338">
        <v>47.4</v>
      </c>
      <c r="N4338" t="s">
        <v>78</v>
      </c>
      <c r="O4338" t="s">
        <v>47</v>
      </c>
      <c r="P4338" t="s">
        <v>58</v>
      </c>
      <c r="R4338">
        <f>SUMIF(A4338:A9337,"C04337",I4338:I9337)</f>
        <v>64121.31</v>
      </c>
      <c r="S4338" s="1">
        <v>1750.79</v>
      </c>
      <c r="T4338">
        <f t="shared" si="492"/>
        <v>301.039014084507</v>
      </c>
      <c r="U4338">
        <f t="shared" si="491"/>
        <v>10096.2</v>
      </c>
      <c r="V4338">
        <f t="shared" si="486"/>
        <v>841.35</v>
      </c>
      <c r="W4338">
        <f t="shared" si="489"/>
        <v>22155.53</v>
      </c>
      <c r="X4338">
        <f t="shared" si="487"/>
        <v>0.602317129353149</v>
      </c>
      <c r="AH4338" t="str">
        <f t="shared" si="490"/>
        <v>1st Quality</v>
      </c>
      <c r="AJ4338">
        <f>((T4338-X4338)*2)/4.9</f>
        <v>122.627223247002</v>
      </c>
      <c r="AK4338">
        <f t="shared" si="488"/>
        <v>425067.087887324</v>
      </c>
    </row>
    <row r="4339" spans="1:37">
      <c r="A4339" t="s">
        <v>4405</v>
      </c>
      <c r="B4339">
        <v>36</v>
      </c>
      <c r="C4339" t="s">
        <v>50</v>
      </c>
      <c r="D4339" t="s">
        <v>60</v>
      </c>
      <c r="E4339">
        <v>506</v>
      </c>
      <c r="F4339">
        <v>25</v>
      </c>
      <c r="G4339">
        <v>25</v>
      </c>
      <c r="H4339">
        <v>6726.62</v>
      </c>
      <c r="I4339">
        <v>163179.4</v>
      </c>
      <c r="J4339">
        <v>182</v>
      </c>
      <c r="K4339">
        <v>1</v>
      </c>
      <c r="L4339">
        <v>12.6</v>
      </c>
      <c r="M4339">
        <v>65.2</v>
      </c>
      <c r="N4339" t="s">
        <v>57</v>
      </c>
      <c r="O4339" t="s">
        <v>47</v>
      </c>
      <c r="P4339" t="s">
        <v>58</v>
      </c>
      <c r="R4339">
        <f>SUMIF(A4339:A9338,"C04338",I4339:I9338)</f>
        <v>163179.4</v>
      </c>
      <c r="S4339" s="1">
        <v>162944.5</v>
      </c>
      <c r="T4339">
        <f t="shared" si="492"/>
        <v>896.59010989011</v>
      </c>
      <c r="U4339">
        <f t="shared" si="491"/>
        <v>11866.4</v>
      </c>
      <c r="V4339">
        <f>U4339*1</f>
        <v>11866.4</v>
      </c>
      <c r="W4339">
        <f t="shared" si="489"/>
        <v>56635.6733333333</v>
      </c>
      <c r="X4339">
        <f t="shared" si="487"/>
        <v>0.0752235149302324</v>
      </c>
      <c r="AH4339" t="str">
        <f t="shared" si="490"/>
        <v>2nd Quality</v>
      </c>
      <c r="AJ4339">
        <f>((T4339-X4339)*2)/12.6</f>
        <v>142.303950218283</v>
      </c>
      <c r="AK4339">
        <f t="shared" si="488"/>
        <v>453674.595604396</v>
      </c>
    </row>
    <row r="4340" spans="1:37">
      <c r="A4340" t="s">
        <v>4406</v>
      </c>
      <c r="B4340">
        <v>22</v>
      </c>
      <c r="C4340" t="s">
        <v>50</v>
      </c>
      <c r="D4340" t="s">
        <v>45</v>
      </c>
      <c r="E4340">
        <v>732</v>
      </c>
      <c r="F4340">
        <v>33</v>
      </c>
      <c r="G4340">
        <v>8</v>
      </c>
      <c r="H4340">
        <v>6440.07</v>
      </c>
      <c r="I4340">
        <v>46448.09</v>
      </c>
      <c r="J4340">
        <v>71</v>
      </c>
      <c r="K4340">
        <v>2</v>
      </c>
      <c r="L4340">
        <v>3.5</v>
      </c>
      <c r="M4340">
        <v>9.8</v>
      </c>
      <c r="N4340" t="s">
        <v>57</v>
      </c>
      <c r="O4340" t="s">
        <v>47</v>
      </c>
      <c r="P4340" t="s">
        <v>58</v>
      </c>
      <c r="R4340">
        <f>SUMIF(A4340:A9339,"C04339",I4340:I9339)</f>
        <v>46448.09</v>
      </c>
      <c r="S4340" s="1">
        <v>55935.63</v>
      </c>
      <c r="T4340">
        <f t="shared" si="492"/>
        <v>654.198450704225</v>
      </c>
      <c r="U4340">
        <f t="shared" si="491"/>
        <v>695.8</v>
      </c>
      <c r="V4340">
        <f>U4340*2</f>
        <v>1391.6</v>
      </c>
      <c r="W4340">
        <f t="shared" si="489"/>
        <v>17629.72</v>
      </c>
      <c r="X4340">
        <f t="shared" si="487"/>
        <v>0.113663360801979</v>
      </c>
      <c r="AH4340" t="str">
        <f t="shared" si="490"/>
        <v>2nd Quality</v>
      </c>
      <c r="AJ4340">
        <f>((T4340-X4340)*2)/3.5</f>
        <v>373.762735624813</v>
      </c>
      <c r="AK4340">
        <f t="shared" si="488"/>
        <v>478873.265915493</v>
      </c>
    </row>
    <row r="4341" spans="1:37">
      <c r="A4341" t="s">
        <v>4407</v>
      </c>
      <c r="B4341">
        <v>43</v>
      </c>
      <c r="C4341" t="s">
        <v>44</v>
      </c>
      <c r="D4341" t="s">
        <v>45</v>
      </c>
      <c r="E4341">
        <v>828</v>
      </c>
      <c r="F4341">
        <v>303</v>
      </c>
      <c r="G4341">
        <v>5</v>
      </c>
      <c r="H4341">
        <v>348.99</v>
      </c>
      <c r="I4341">
        <v>1750.79</v>
      </c>
      <c r="J4341">
        <v>47</v>
      </c>
      <c r="K4341">
        <v>0</v>
      </c>
      <c r="L4341">
        <v>33.2</v>
      </c>
      <c r="M4341">
        <v>34</v>
      </c>
      <c r="N4341" t="s">
        <v>81</v>
      </c>
      <c r="O4341" t="s">
        <v>47</v>
      </c>
      <c r="P4341" t="s">
        <v>58</v>
      </c>
      <c r="R4341">
        <f>SUMIF(A4341:A9340,"C04340",I4341:I9340)</f>
        <v>1750.79</v>
      </c>
      <c r="S4341" s="1">
        <v>27539.08</v>
      </c>
      <c r="T4341">
        <f t="shared" si="492"/>
        <v>37.2508510638298</v>
      </c>
      <c r="U4341">
        <f t="shared" si="491"/>
        <v>1598</v>
      </c>
      <c r="V4341">
        <f t="shared" si="486"/>
        <v>133.166666666667</v>
      </c>
      <c r="W4341">
        <f t="shared" si="489"/>
        <v>700.26</v>
      </c>
      <c r="X4341">
        <f t="shared" si="487"/>
        <v>2.37256081836156</v>
      </c>
      <c r="AH4341" t="str">
        <f t="shared" si="490"/>
        <v>3rd Quality</v>
      </c>
      <c r="AJ4341">
        <f>((T4341-X4341)*2)/33.2</f>
        <v>2.10110182201616</v>
      </c>
      <c r="AK4341">
        <f t="shared" si="488"/>
        <v>30843.7046808511</v>
      </c>
    </row>
    <row r="4342" spans="1:37">
      <c r="A4342" t="s">
        <v>4408</v>
      </c>
      <c r="B4342">
        <v>22</v>
      </c>
      <c r="C4342" t="s">
        <v>44</v>
      </c>
      <c r="D4342" t="s">
        <v>60</v>
      </c>
      <c r="E4342">
        <v>1049</v>
      </c>
      <c r="F4342">
        <v>6</v>
      </c>
      <c r="G4342">
        <v>35</v>
      </c>
      <c r="H4342">
        <v>4358.61</v>
      </c>
      <c r="I4342">
        <v>162944.5</v>
      </c>
      <c r="J4342">
        <v>184</v>
      </c>
      <c r="K4342">
        <v>8</v>
      </c>
      <c r="L4342">
        <v>11.8</v>
      </c>
      <c r="M4342">
        <v>4</v>
      </c>
      <c r="N4342" t="s">
        <v>61</v>
      </c>
      <c r="O4342" t="s">
        <v>47</v>
      </c>
      <c r="P4342" t="s">
        <v>58</v>
      </c>
      <c r="R4342">
        <f>SUMIF(A4342:A9341,"C04341",I4342:I9341)</f>
        <v>162944.5</v>
      </c>
      <c r="S4342" s="1">
        <v>13972.37</v>
      </c>
      <c r="T4342">
        <f t="shared" si="492"/>
        <v>885.567934782609</v>
      </c>
      <c r="U4342">
        <f t="shared" si="491"/>
        <v>736</v>
      </c>
      <c r="V4342">
        <f>U4342*8</f>
        <v>5888</v>
      </c>
      <c r="W4342">
        <f t="shared" si="489"/>
        <v>55768.0366666667</v>
      </c>
      <c r="X4342">
        <f t="shared" si="487"/>
        <v>0.240673058612723</v>
      </c>
      <c r="AH4342" t="str">
        <f t="shared" si="490"/>
        <v>1st Quality</v>
      </c>
      <c r="AJ4342">
        <f>((T4342-X4342)*2)/11.8</f>
        <v>150.055468088813</v>
      </c>
      <c r="AK4342">
        <f t="shared" si="488"/>
        <v>928960.763586957</v>
      </c>
    </row>
    <row r="4343" spans="1:37">
      <c r="A4343" t="s">
        <v>4409</v>
      </c>
      <c r="B4343">
        <v>64</v>
      </c>
      <c r="C4343" t="s">
        <v>44</v>
      </c>
      <c r="D4343" t="s">
        <v>60</v>
      </c>
      <c r="E4343">
        <v>586</v>
      </c>
      <c r="F4343">
        <v>13</v>
      </c>
      <c r="G4343">
        <v>23</v>
      </c>
      <c r="H4343">
        <v>2477.84</v>
      </c>
      <c r="I4343">
        <v>55935.63</v>
      </c>
      <c r="J4343">
        <v>146</v>
      </c>
      <c r="K4343">
        <v>3</v>
      </c>
      <c r="L4343">
        <v>2.1</v>
      </c>
      <c r="M4343">
        <v>46.7</v>
      </c>
      <c r="N4343" t="s">
        <v>78</v>
      </c>
      <c r="O4343" t="s">
        <v>47</v>
      </c>
      <c r="P4343" t="s">
        <v>68</v>
      </c>
      <c r="R4343">
        <f>SUMIF(A4343:A9342,"C04342",I4343:I9342)</f>
        <v>55935.63</v>
      </c>
      <c r="S4343" s="1">
        <v>722.15</v>
      </c>
      <c r="T4343">
        <f t="shared" si="492"/>
        <v>383.120753424657</v>
      </c>
      <c r="U4343">
        <f t="shared" si="491"/>
        <v>6818.2</v>
      </c>
      <c r="V4343">
        <f>U4343*3</f>
        <v>20454.6</v>
      </c>
      <c r="W4343">
        <f t="shared" si="489"/>
        <v>19471.49</v>
      </c>
      <c r="X4343">
        <f t="shared" si="487"/>
        <v>0.236496303231847</v>
      </c>
      <c r="AH4343" t="str">
        <f t="shared" si="490"/>
        <v>3rd Quality</v>
      </c>
      <c r="AJ4343">
        <f>((T4343-X4343)*2)/2.1</f>
        <v>364.651673448976</v>
      </c>
      <c r="AK4343">
        <f t="shared" si="488"/>
        <v>224508.761506849</v>
      </c>
    </row>
    <row r="4344" spans="1:37">
      <c r="A4344" t="s">
        <v>4410</v>
      </c>
      <c r="B4344">
        <v>21</v>
      </c>
      <c r="C4344" t="s">
        <v>50</v>
      </c>
      <c r="D4344" t="s">
        <v>45</v>
      </c>
      <c r="E4344">
        <v>1142</v>
      </c>
      <c r="F4344">
        <v>4</v>
      </c>
      <c r="G4344">
        <v>2</v>
      </c>
      <c r="H4344">
        <v>12719.48</v>
      </c>
      <c r="I4344">
        <v>27539.08</v>
      </c>
      <c r="J4344">
        <v>12</v>
      </c>
      <c r="K4344">
        <v>0</v>
      </c>
      <c r="L4344">
        <v>0</v>
      </c>
      <c r="M4344">
        <v>12.2</v>
      </c>
      <c r="N4344" t="s">
        <v>63</v>
      </c>
      <c r="O4344" t="s">
        <v>47</v>
      </c>
      <c r="P4344" t="s">
        <v>66</v>
      </c>
      <c r="R4344">
        <f>SUMIF(A4344:A9343,"C04343",I4344:I9343)</f>
        <v>27539.08</v>
      </c>
      <c r="S4344" s="1">
        <v>2414.58</v>
      </c>
      <c r="T4344">
        <f t="shared" si="492"/>
        <v>2294.92333333333</v>
      </c>
      <c r="U4344">
        <f t="shared" si="491"/>
        <v>146.4</v>
      </c>
      <c r="V4344">
        <f t="shared" ref="V4342:V4405" si="493">U4344/12</f>
        <v>12.2</v>
      </c>
      <c r="W4344">
        <f t="shared" si="489"/>
        <v>13419.8533333333</v>
      </c>
      <c r="X4344">
        <f t="shared" ref="X4344:X4407" si="494">E4344/H4344</f>
        <v>0.0897835446103143</v>
      </c>
      <c r="AH4344" t="str">
        <f t="shared" si="490"/>
        <v>1st Quality</v>
      </c>
      <c r="AJ4344">
        <f>((T4344-X4344)*2)</f>
        <v>4589.66709957744</v>
      </c>
      <c r="AK4344">
        <f t="shared" si="488"/>
        <v>2620802.44666667</v>
      </c>
    </row>
    <row r="4345" spans="1:37">
      <c r="A4345" t="s">
        <v>4411</v>
      </c>
      <c r="B4345">
        <v>36</v>
      </c>
      <c r="C4345" t="s">
        <v>44</v>
      </c>
      <c r="D4345" t="s">
        <v>60</v>
      </c>
      <c r="E4345">
        <v>447</v>
      </c>
      <c r="F4345">
        <v>62</v>
      </c>
      <c r="G4345">
        <v>17</v>
      </c>
      <c r="H4345">
        <v>865.42</v>
      </c>
      <c r="I4345">
        <v>13972.37</v>
      </c>
      <c r="J4345">
        <v>147</v>
      </c>
      <c r="K4345">
        <v>0</v>
      </c>
      <c r="L4345">
        <v>19.9</v>
      </c>
      <c r="M4345">
        <v>60.5</v>
      </c>
      <c r="N4345" t="s">
        <v>61</v>
      </c>
      <c r="O4345" t="s">
        <v>53</v>
      </c>
      <c r="P4345" t="s">
        <v>58</v>
      </c>
      <c r="R4345">
        <f>SUMIF(A4345:A9344,"C04344",I4345:I9344)</f>
        <v>13972.37</v>
      </c>
      <c r="S4345" s="1">
        <v>4139.89</v>
      </c>
      <c r="T4345">
        <f t="shared" si="492"/>
        <v>95.0501360544218</v>
      </c>
      <c r="U4345">
        <f t="shared" si="491"/>
        <v>8893.5</v>
      </c>
      <c r="V4345">
        <f t="shared" si="493"/>
        <v>741.125</v>
      </c>
      <c r="W4345">
        <f t="shared" si="489"/>
        <v>4946.26333333333</v>
      </c>
      <c r="X4345">
        <f t="shared" si="494"/>
        <v>0.516512213722817</v>
      </c>
      <c r="AH4345" t="str">
        <f t="shared" si="490"/>
        <v>3rd Quality</v>
      </c>
      <c r="AJ4345">
        <f>((T4345-X4345)*2)/19.9</f>
        <v>9.50086671765819</v>
      </c>
      <c r="AK4345">
        <f t="shared" si="488"/>
        <v>42487.4108163265</v>
      </c>
    </row>
    <row r="4346" spans="1:37">
      <c r="A4346" t="s">
        <v>4412</v>
      </c>
      <c r="B4346">
        <v>18</v>
      </c>
      <c r="C4346" t="s">
        <v>44</v>
      </c>
      <c r="D4346" t="s">
        <v>51</v>
      </c>
      <c r="E4346">
        <v>433</v>
      </c>
      <c r="F4346">
        <v>224</v>
      </c>
      <c r="G4346">
        <v>1</v>
      </c>
      <c r="H4346">
        <v>722.99</v>
      </c>
      <c r="I4346">
        <v>722.15</v>
      </c>
      <c r="J4346">
        <v>11</v>
      </c>
      <c r="K4346">
        <v>0</v>
      </c>
      <c r="L4346">
        <v>32.3</v>
      </c>
      <c r="M4346">
        <v>67.4</v>
      </c>
      <c r="N4346" t="s">
        <v>46</v>
      </c>
      <c r="O4346" t="s">
        <v>47</v>
      </c>
      <c r="P4346" t="s">
        <v>58</v>
      </c>
      <c r="R4346">
        <f>SUMIF(A4346:A9345,"C04345",I4346:I9345)</f>
        <v>722.15</v>
      </c>
      <c r="S4346" s="1">
        <v>1732.23</v>
      </c>
      <c r="T4346">
        <f t="shared" si="492"/>
        <v>65.65</v>
      </c>
      <c r="U4346">
        <f t="shared" si="491"/>
        <v>741.4</v>
      </c>
      <c r="V4346">
        <f t="shared" si="493"/>
        <v>61.7833333333333</v>
      </c>
      <c r="W4346">
        <f t="shared" si="489"/>
        <v>482.046666666667</v>
      </c>
      <c r="X4346">
        <f t="shared" si="494"/>
        <v>0.598901782873899</v>
      </c>
      <c r="AH4346" t="str">
        <f t="shared" si="490"/>
        <v>3rd Quality</v>
      </c>
      <c r="AJ4346">
        <f>((T4346-X4346)*2)/32.3</f>
        <v>4.02793177815022</v>
      </c>
      <c r="AK4346">
        <f t="shared" si="488"/>
        <v>28426.45</v>
      </c>
    </row>
    <row r="4347" spans="1:37">
      <c r="A4347" t="s">
        <v>4413</v>
      </c>
      <c r="B4347">
        <v>55</v>
      </c>
      <c r="C4347" t="s">
        <v>50</v>
      </c>
      <c r="D4347" t="s">
        <v>45</v>
      </c>
      <c r="E4347">
        <v>595</v>
      </c>
      <c r="F4347">
        <v>248</v>
      </c>
      <c r="G4347">
        <v>1</v>
      </c>
      <c r="H4347">
        <v>2677.98</v>
      </c>
      <c r="I4347">
        <v>2414.58</v>
      </c>
      <c r="J4347">
        <v>16</v>
      </c>
      <c r="K4347">
        <v>0</v>
      </c>
      <c r="L4347">
        <v>29.6</v>
      </c>
      <c r="M4347">
        <v>20.6</v>
      </c>
      <c r="N4347" t="s">
        <v>46</v>
      </c>
      <c r="O4347" t="s">
        <v>47</v>
      </c>
      <c r="P4347" t="s">
        <v>58</v>
      </c>
      <c r="R4347">
        <f>SUMIF(A4347:A9346,"C04346",I4347:I9346)</f>
        <v>2414.58</v>
      </c>
      <c r="S4347" s="1">
        <v>48631.1</v>
      </c>
      <c r="T4347">
        <f t="shared" si="492"/>
        <v>150.91125</v>
      </c>
      <c r="U4347">
        <f t="shared" si="491"/>
        <v>329.6</v>
      </c>
      <c r="V4347">
        <f t="shared" si="493"/>
        <v>27.4666666666667</v>
      </c>
      <c r="W4347">
        <f t="shared" si="489"/>
        <v>1697.85333333333</v>
      </c>
      <c r="X4347">
        <f t="shared" si="494"/>
        <v>0.222182391205311</v>
      </c>
      <c r="AH4347" t="str">
        <f t="shared" si="490"/>
        <v>3rd Quality</v>
      </c>
      <c r="AJ4347">
        <f>((T4347-X4347)*2)/29.6</f>
        <v>10.181693757351</v>
      </c>
      <c r="AK4347">
        <f t="shared" si="488"/>
        <v>89792.19375</v>
      </c>
    </row>
    <row r="4348" spans="1:37">
      <c r="A4348" t="s">
        <v>4414</v>
      </c>
      <c r="B4348">
        <v>23</v>
      </c>
      <c r="C4348" t="s">
        <v>44</v>
      </c>
      <c r="D4348" t="s">
        <v>60</v>
      </c>
      <c r="E4348">
        <v>610</v>
      </c>
      <c r="F4348">
        <v>29</v>
      </c>
      <c r="G4348">
        <v>8</v>
      </c>
      <c r="H4348">
        <v>514.33</v>
      </c>
      <c r="I4348">
        <v>4139.89</v>
      </c>
      <c r="J4348">
        <v>76</v>
      </c>
      <c r="K4348">
        <v>0</v>
      </c>
      <c r="L4348">
        <v>21.5</v>
      </c>
      <c r="M4348">
        <v>53.2</v>
      </c>
      <c r="N4348" t="s">
        <v>78</v>
      </c>
      <c r="O4348" t="s">
        <v>47</v>
      </c>
      <c r="P4348" t="s">
        <v>48</v>
      </c>
      <c r="R4348">
        <f>SUMIF(A4348:A9347,"C04347",I4348:I9347)</f>
        <v>4139.89</v>
      </c>
      <c r="S4348" s="1">
        <v>4646.16</v>
      </c>
      <c r="T4348">
        <f t="shared" si="492"/>
        <v>54.4722368421053</v>
      </c>
      <c r="U4348">
        <f t="shared" si="491"/>
        <v>4043.2</v>
      </c>
      <c r="V4348">
        <f t="shared" si="493"/>
        <v>336.933333333333</v>
      </c>
      <c r="W4348">
        <f t="shared" si="489"/>
        <v>1551.74</v>
      </c>
      <c r="X4348">
        <f t="shared" si="494"/>
        <v>1.18600898255984</v>
      </c>
      <c r="AH4348" t="str">
        <f t="shared" si="490"/>
        <v>3rd Quality</v>
      </c>
      <c r="AJ4348">
        <f>((T4348-X4348)*2)/21.5</f>
        <v>4.95685840553911</v>
      </c>
      <c r="AK4348">
        <f t="shared" si="488"/>
        <v>33228.0644736842</v>
      </c>
    </row>
    <row r="4349" spans="1:37">
      <c r="A4349" t="s">
        <v>4415</v>
      </c>
      <c r="B4349">
        <v>37</v>
      </c>
      <c r="C4349" t="s">
        <v>44</v>
      </c>
      <c r="D4349" t="s">
        <v>60</v>
      </c>
      <c r="E4349">
        <v>1045</v>
      </c>
      <c r="F4349">
        <v>194</v>
      </c>
      <c r="G4349">
        <v>1</v>
      </c>
      <c r="H4349">
        <v>1594.1</v>
      </c>
      <c r="I4349">
        <v>1732.23</v>
      </c>
      <c r="J4349">
        <v>12</v>
      </c>
      <c r="K4349">
        <v>0</v>
      </c>
      <c r="L4349">
        <v>10.4</v>
      </c>
      <c r="M4349">
        <v>12.5</v>
      </c>
      <c r="N4349" t="s">
        <v>46</v>
      </c>
      <c r="O4349" t="s">
        <v>47</v>
      </c>
      <c r="P4349" t="s">
        <v>58</v>
      </c>
      <c r="R4349">
        <f>SUMIF(A4349:A9348,"C04348",I4349:I9348)</f>
        <v>1732.23</v>
      </c>
      <c r="S4349" s="1">
        <v>127368.48</v>
      </c>
      <c r="T4349">
        <f t="shared" si="492"/>
        <v>144.3525</v>
      </c>
      <c r="U4349">
        <f t="shared" si="491"/>
        <v>150</v>
      </c>
      <c r="V4349">
        <f t="shared" si="493"/>
        <v>12.5</v>
      </c>
      <c r="W4349">
        <f t="shared" si="489"/>
        <v>1109.11</v>
      </c>
      <c r="X4349">
        <f t="shared" si="494"/>
        <v>0.65554231227652</v>
      </c>
      <c r="AH4349" t="str">
        <f t="shared" si="490"/>
        <v>3rd Quality</v>
      </c>
      <c r="AJ4349">
        <f>((T4349-X4349)*2)/10.4</f>
        <v>27.6340303245622</v>
      </c>
      <c r="AK4349">
        <f t="shared" si="488"/>
        <v>150848.3625</v>
      </c>
    </row>
    <row r="4350" spans="1:37">
      <c r="A4350" t="s">
        <v>4416</v>
      </c>
      <c r="B4350">
        <v>39</v>
      </c>
      <c r="C4350" t="s">
        <v>44</v>
      </c>
      <c r="D4350" t="s">
        <v>45</v>
      </c>
      <c r="E4350">
        <v>1249</v>
      </c>
      <c r="F4350">
        <v>18</v>
      </c>
      <c r="G4350">
        <v>5</v>
      </c>
      <c r="H4350">
        <v>10612.02</v>
      </c>
      <c r="I4350">
        <v>48631.1</v>
      </c>
      <c r="J4350">
        <v>12</v>
      </c>
      <c r="K4350">
        <v>0</v>
      </c>
      <c r="L4350">
        <v>13.2</v>
      </c>
      <c r="M4350">
        <v>29.5</v>
      </c>
      <c r="N4350" t="s">
        <v>52</v>
      </c>
      <c r="O4350" t="s">
        <v>47</v>
      </c>
      <c r="P4350" t="s">
        <v>48</v>
      </c>
      <c r="R4350">
        <f>SUMIF(A4350:A9349,"C04349",I4350:I9349)</f>
        <v>48631.1</v>
      </c>
      <c r="S4350" s="1">
        <v>93174.95</v>
      </c>
      <c r="T4350">
        <f t="shared" si="492"/>
        <v>4052.59166666667</v>
      </c>
      <c r="U4350">
        <f t="shared" si="491"/>
        <v>354</v>
      </c>
      <c r="V4350">
        <f t="shared" si="493"/>
        <v>29.5</v>
      </c>
      <c r="W4350">
        <f t="shared" si="489"/>
        <v>19748.04</v>
      </c>
      <c r="X4350">
        <f t="shared" si="494"/>
        <v>0.117696725034442</v>
      </c>
      <c r="AH4350" t="str">
        <f t="shared" si="490"/>
        <v>2nd Quality</v>
      </c>
      <c r="AJ4350">
        <f>((T4350-X4350)*2)/13.2</f>
        <v>614.011207566915</v>
      </c>
      <c r="AK4350">
        <f t="shared" si="488"/>
        <v>5061686.99166667</v>
      </c>
    </row>
    <row r="4351" spans="1:37">
      <c r="A4351" t="s">
        <v>4417</v>
      </c>
      <c r="B4351">
        <v>42</v>
      </c>
      <c r="C4351" t="s">
        <v>44</v>
      </c>
      <c r="D4351" t="s">
        <v>60</v>
      </c>
      <c r="E4351">
        <v>1251</v>
      </c>
      <c r="F4351">
        <v>64</v>
      </c>
      <c r="G4351">
        <v>7</v>
      </c>
      <c r="H4351">
        <v>646.73</v>
      </c>
      <c r="I4351">
        <v>4646.16</v>
      </c>
      <c r="J4351">
        <v>23</v>
      </c>
      <c r="K4351">
        <v>0</v>
      </c>
      <c r="L4351">
        <v>30.7</v>
      </c>
      <c r="M4351">
        <v>30.1</v>
      </c>
      <c r="N4351" t="s">
        <v>81</v>
      </c>
      <c r="O4351" t="s">
        <v>47</v>
      </c>
      <c r="P4351" t="s">
        <v>66</v>
      </c>
      <c r="R4351">
        <f>SUMIF(A4351:A9350,"C04350",I4351:I9350)</f>
        <v>4646.16</v>
      </c>
      <c r="S4351" s="1">
        <v>20533.75</v>
      </c>
      <c r="T4351">
        <f t="shared" si="492"/>
        <v>202.006956521739</v>
      </c>
      <c r="U4351">
        <f t="shared" si="491"/>
        <v>692.3</v>
      </c>
      <c r="V4351">
        <f t="shared" si="493"/>
        <v>57.6916666666667</v>
      </c>
      <c r="W4351">
        <f t="shared" si="489"/>
        <v>1764.63</v>
      </c>
      <c r="X4351">
        <f t="shared" si="494"/>
        <v>1.93434663615419</v>
      </c>
      <c r="AH4351" t="str">
        <f t="shared" si="490"/>
        <v>3rd Quality</v>
      </c>
      <c r="AJ4351">
        <f>((T4351-X4351)*2)/30.7</f>
        <v>13.0340462466179</v>
      </c>
      <c r="AK4351">
        <f t="shared" si="488"/>
        <v>252710.702608696</v>
      </c>
    </row>
    <row r="4352" spans="1:37">
      <c r="A4352" t="s">
        <v>4418</v>
      </c>
      <c r="B4352">
        <v>39</v>
      </c>
      <c r="C4352" t="s">
        <v>44</v>
      </c>
      <c r="D4352" t="s">
        <v>60</v>
      </c>
      <c r="E4352">
        <v>566</v>
      </c>
      <c r="F4352">
        <v>9</v>
      </c>
      <c r="G4352">
        <v>38</v>
      </c>
      <c r="H4352">
        <v>3508.19</v>
      </c>
      <c r="I4352">
        <v>127368.48</v>
      </c>
      <c r="J4352">
        <v>272</v>
      </c>
      <c r="K4352">
        <v>4</v>
      </c>
      <c r="L4352">
        <v>8.1</v>
      </c>
      <c r="M4352">
        <v>13.2</v>
      </c>
      <c r="N4352" t="s">
        <v>78</v>
      </c>
      <c r="O4352" t="s">
        <v>75</v>
      </c>
      <c r="P4352" t="s">
        <v>58</v>
      </c>
      <c r="R4352">
        <f>SUMIF(A4352:A9351,"C04351",I4352:I9351)</f>
        <v>127368.48</v>
      </c>
      <c r="S4352" s="1">
        <v>155886.14</v>
      </c>
      <c r="T4352">
        <f t="shared" si="492"/>
        <v>468.266470588235</v>
      </c>
      <c r="U4352">
        <f t="shared" si="491"/>
        <v>3590.4</v>
      </c>
      <c r="V4352">
        <f>U4352*4</f>
        <v>14361.6</v>
      </c>
      <c r="W4352">
        <f t="shared" si="489"/>
        <v>43625.89</v>
      </c>
      <c r="X4352">
        <f t="shared" si="494"/>
        <v>0.161336757701265</v>
      </c>
      <c r="AH4352" t="str">
        <f t="shared" si="490"/>
        <v>2nd Quality</v>
      </c>
      <c r="AJ4352">
        <f>((T4352-X4352)*2)/8.1</f>
        <v>115.581514526058</v>
      </c>
      <c r="AK4352">
        <f t="shared" si="488"/>
        <v>265038.822352941</v>
      </c>
    </row>
    <row r="4353" spans="1:37">
      <c r="A4353" t="s">
        <v>4419</v>
      </c>
      <c r="B4353">
        <v>32</v>
      </c>
      <c r="C4353" t="s">
        <v>44</v>
      </c>
      <c r="D4353" t="s">
        <v>45</v>
      </c>
      <c r="E4353">
        <v>875</v>
      </c>
      <c r="F4353">
        <v>3</v>
      </c>
      <c r="G4353">
        <v>30</v>
      </c>
      <c r="H4353">
        <v>3219.08</v>
      </c>
      <c r="I4353">
        <v>93174.95</v>
      </c>
      <c r="J4353">
        <v>156</v>
      </c>
      <c r="K4353">
        <v>0</v>
      </c>
      <c r="L4353">
        <v>14</v>
      </c>
      <c r="M4353">
        <v>28.8</v>
      </c>
      <c r="N4353" t="s">
        <v>52</v>
      </c>
      <c r="O4353" t="s">
        <v>47</v>
      </c>
      <c r="P4353" t="s">
        <v>66</v>
      </c>
      <c r="R4353">
        <f>SUMIF(A4353:A9352,"C04352",I4353:I9352)</f>
        <v>93174.95</v>
      </c>
      <c r="S4353" s="1">
        <v>10491.2</v>
      </c>
      <c r="T4353">
        <f t="shared" si="492"/>
        <v>597.27532051282</v>
      </c>
      <c r="U4353">
        <f t="shared" si="491"/>
        <v>4492.8</v>
      </c>
      <c r="V4353">
        <f t="shared" si="493"/>
        <v>374.4</v>
      </c>
      <c r="W4353">
        <f t="shared" si="489"/>
        <v>32131.6766666667</v>
      </c>
      <c r="X4353">
        <f t="shared" si="494"/>
        <v>0.271816792375461</v>
      </c>
      <c r="AH4353" t="str">
        <f t="shared" si="490"/>
        <v>2nd Quality</v>
      </c>
      <c r="AJ4353">
        <f>((T4353-X4353)*2)/14</f>
        <v>85.2862148172064</v>
      </c>
      <c r="AK4353">
        <f t="shared" si="488"/>
        <v>522615.905448718</v>
      </c>
    </row>
    <row r="4354" spans="1:37">
      <c r="A4354" t="s">
        <v>4420</v>
      </c>
      <c r="B4354">
        <v>43</v>
      </c>
      <c r="C4354" t="s">
        <v>44</v>
      </c>
      <c r="D4354" t="s">
        <v>51</v>
      </c>
      <c r="E4354">
        <v>559</v>
      </c>
      <c r="F4354">
        <v>33</v>
      </c>
      <c r="G4354">
        <v>2</v>
      </c>
      <c r="H4354">
        <v>11639.66</v>
      </c>
      <c r="I4354">
        <v>20533.75</v>
      </c>
      <c r="J4354">
        <v>26</v>
      </c>
      <c r="K4354">
        <v>0</v>
      </c>
      <c r="L4354">
        <v>15</v>
      </c>
      <c r="M4354">
        <v>44</v>
      </c>
      <c r="N4354" t="s">
        <v>52</v>
      </c>
      <c r="O4354" t="s">
        <v>75</v>
      </c>
      <c r="P4354" t="s">
        <v>66</v>
      </c>
      <c r="R4354">
        <f>SUMIF(A4354:A9353,"C04353",I4354:I9353)</f>
        <v>20533.75</v>
      </c>
      <c r="S4354" s="1">
        <v>3710.92</v>
      </c>
      <c r="T4354">
        <f t="shared" si="492"/>
        <v>789.759615384615</v>
      </c>
      <c r="U4354">
        <f t="shared" si="491"/>
        <v>1144</v>
      </c>
      <c r="V4354">
        <f t="shared" si="493"/>
        <v>95.3333333333333</v>
      </c>
      <c r="W4354">
        <f t="shared" si="489"/>
        <v>10724.8033333333</v>
      </c>
      <c r="X4354">
        <f t="shared" si="494"/>
        <v>0.0480254577882859</v>
      </c>
      <c r="AH4354" t="str">
        <f t="shared" si="490"/>
        <v>2nd Quality</v>
      </c>
      <c r="AJ4354">
        <f>((T4354-X4354)*2)/15</f>
        <v>105.29487865691</v>
      </c>
      <c r="AK4354">
        <f t="shared" si="488"/>
        <v>441475.625</v>
      </c>
    </row>
    <row r="4355" spans="1:37">
      <c r="A4355" t="s">
        <v>4421</v>
      </c>
      <c r="B4355">
        <v>34</v>
      </c>
      <c r="C4355" t="s">
        <v>50</v>
      </c>
      <c r="D4355" t="s">
        <v>51</v>
      </c>
      <c r="E4355">
        <v>1034</v>
      </c>
      <c r="F4355">
        <v>6</v>
      </c>
      <c r="G4355">
        <v>24</v>
      </c>
      <c r="H4355">
        <v>6444.23</v>
      </c>
      <c r="I4355">
        <v>155886.14</v>
      </c>
      <c r="J4355">
        <v>101</v>
      </c>
      <c r="K4355">
        <v>2</v>
      </c>
      <c r="L4355">
        <v>16.6</v>
      </c>
      <c r="M4355">
        <v>48.9</v>
      </c>
      <c r="N4355" t="s">
        <v>78</v>
      </c>
      <c r="O4355" t="s">
        <v>47</v>
      </c>
      <c r="P4355" t="s">
        <v>66</v>
      </c>
      <c r="R4355">
        <f>SUMIF(A4355:A9354,"C04354",I4355:I9354)</f>
        <v>155886.14</v>
      </c>
      <c r="S4355" s="1">
        <v>1526.19</v>
      </c>
      <c r="T4355">
        <f t="shared" si="492"/>
        <v>1543.42712871287</v>
      </c>
      <c r="U4355">
        <f t="shared" si="491"/>
        <v>4938.9</v>
      </c>
      <c r="V4355">
        <f>U4355*2</f>
        <v>9877.8</v>
      </c>
      <c r="W4355">
        <f t="shared" si="489"/>
        <v>54110.4566666667</v>
      </c>
      <c r="X4355">
        <f t="shared" si="494"/>
        <v>0.160453615094433</v>
      </c>
      <c r="AH4355" t="str">
        <f t="shared" si="490"/>
        <v>2nd Quality</v>
      </c>
      <c r="AJ4355">
        <f>((T4355-X4355)*2)/16.6</f>
        <v>185.935743987684</v>
      </c>
      <c r="AK4355">
        <f t="shared" ref="AK4355:AK4418" si="495">I4355/J4355*E4355</f>
        <v>1595903.65108911</v>
      </c>
    </row>
    <row r="4356" spans="1:37">
      <c r="A4356" t="s">
        <v>4422</v>
      </c>
      <c r="B4356">
        <v>18</v>
      </c>
      <c r="C4356" t="s">
        <v>44</v>
      </c>
      <c r="D4356" t="s">
        <v>60</v>
      </c>
      <c r="E4356">
        <v>644</v>
      </c>
      <c r="F4356">
        <v>268</v>
      </c>
      <c r="G4356">
        <v>2</v>
      </c>
      <c r="H4356">
        <v>4698.34</v>
      </c>
      <c r="I4356">
        <v>10491.2</v>
      </c>
      <c r="J4356">
        <v>22</v>
      </c>
      <c r="K4356">
        <v>0</v>
      </c>
      <c r="L4356">
        <v>12.4</v>
      </c>
      <c r="M4356">
        <v>10.4</v>
      </c>
      <c r="N4356" t="s">
        <v>61</v>
      </c>
      <c r="O4356" t="s">
        <v>47</v>
      </c>
      <c r="P4356" t="s">
        <v>58</v>
      </c>
      <c r="R4356">
        <f>SUMIF(A4356:A9355,"C04355",I4356:I9355)</f>
        <v>10491.2</v>
      </c>
      <c r="S4356" s="1">
        <v>16405.25</v>
      </c>
      <c r="T4356">
        <f t="shared" si="492"/>
        <v>476.872727272727</v>
      </c>
      <c r="U4356">
        <f t="shared" si="491"/>
        <v>228.8</v>
      </c>
      <c r="V4356">
        <f t="shared" si="493"/>
        <v>19.0666666666667</v>
      </c>
      <c r="W4356">
        <f t="shared" si="489"/>
        <v>5063.51333333333</v>
      </c>
      <c r="X4356">
        <f t="shared" si="494"/>
        <v>0.137069688443152</v>
      </c>
      <c r="AH4356" t="str">
        <f t="shared" si="490"/>
        <v>3rd Quality</v>
      </c>
      <c r="AJ4356">
        <f>((T4356-X4356)*2)/12.4</f>
        <v>76.8928479974651</v>
      </c>
      <c r="AK4356">
        <f t="shared" si="495"/>
        <v>307106.036363636</v>
      </c>
    </row>
    <row r="4357" spans="1:37">
      <c r="A4357" t="s">
        <v>4423</v>
      </c>
      <c r="B4357">
        <v>23</v>
      </c>
      <c r="C4357" t="s">
        <v>50</v>
      </c>
      <c r="D4357" t="s">
        <v>60</v>
      </c>
      <c r="E4357">
        <v>1079</v>
      </c>
      <c r="F4357">
        <v>120</v>
      </c>
      <c r="G4357">
        <v>4</v>
      </c>
      <c r="H4357">
        <v>1013.64</v>
      </c>
      <c r="I4357">
        <v>3710.92</v>
      </c>
      <c r="J4357">
        <v>30</v>
      </c>
      <c r="K4357">
        <v>0</v>
      </c>
      <c r="L4357">
        <v>32.4</v>
      </c>
      <c r="M4357">
        <v>15.3</v>
      </c>
      <c r="N4357" t="s">
        <v>61</v>
      </c>
      <c r="O4357" t="s">
        <v>75</v>
      </c>
      <c r="P4357" t="s">
        <v>58</v>
      </c>
      <c r="R4357">
        <f>SUMIF(A4357:A9356,"C04356",I4357:I9356)</f>
        <v>3710.92</v>
      </c>
      <c r="S4357" s="1">
        <v>10035.2</v>
      </c>
      <c r="T4357">
        <f t="shared" si="492"/>
        <v>123.697333333333</v>
      </c>
      <c r="U4357">
        <f t="shared" si="491"/>
        <v>459</v>
      </c>
      <c r="V4357">
        <f t="shared" si="493"/>
        <v>38.25</v>
      </c>
      <c r="W4357">
        <f t="shared" si="489"/>
        <v>1575.18666666667</v>
      </c>
      <c r="X4357">
        <f t="shared" si="494"/>
        <v>1.06448048616866</v>
      </c>
      <c r="AH4357" t="str">
        <f t="shared" si="490"/>
        <v>3rd Quality</v>
      </c>
      <c r="AJ4357">
        <f>((T4357-X4357)*2)/32.4</f>
        <v>7.56992918809657</v>
      </c>
      <c r="AK4357">
        <f t="shared" si="495"/>
        <v>133469.422666667</v>
      </c>
    </row>
    <row r="4358" spans="1:37">
      <c r="A4358" t="s">
        <v>4424</v>
      </c>
      <c r="B4358">
        <v>45</v>
      </c>
      <c r="C4358" t="s">
        <v>44</v>
      </c>
      <c r="D4358" t="s">
        <v>51</v>
      </c>
      <c r="E4358">
        <v>1214</v>
      </c>
      <c r="F4358">
        <v>81</v>
      </c>
      <c r="G4358">
        <v>1</v>
      </c>
      <c r="H4358">
        <v>1630.16</v>
      </c>
      <c r="I4358">
        <v>1526.19</v>
      </c>
      <c r="J4358">
        <v>15</v>
      </c>
      <c r="K4358">
        <v>0</v>
      </c>
      <c r="L4358">
        <v>25.2</v>
      </c>
      <c r="M4358">
        <v>12.3</v>
      </c>
      <c r="N4358" t="s">
        <v>57</v>
      </c>
      <c r="O4358" t="s">
        <v>47</v>
      </c>
      <c r="P4358" t="s">
        <v>58</v>
      </c>
      <c r="R4358">
        <f>SUMIF(A4358:A9357,"C04357",I4358:I9357)</f>
        <v>1526.19</v>
      </c>
      <c r="S4358" s="1">
        <v>2151.97</v>
      </c>
      <c r="T4358">
        <f t="shared" si="492"/>
        <v>101.746</v>
      </c>
      <c r="U4358">
        <f t="shared" si="491"/>
        <v>184.5</v>
      </c>
      <c r="V4358">
        <f t="shared" si="493"/>
        <v>15.375</v>
      </c>
      <c r="W4358">
        <f t="shared" si="489"/>
        <v>1052.45</v>
      </c>
      <c r="X4358">
        <f t="shared" si="494"/>
        <v>0.744712175491976</v>
      </c>
      <c r="AH4358" t="str">
        <f t="shared" si="490"/>
        <v>3rd Quality</v>
      </c>
      <c r="AJ4358">
        <f>((T4358-X4358)*2)/25.2</f>
        <v>8.0159752241673</v>
      </c>
      <c r="AK4358">
        <f t="shared" si="495"/>
        <v>123519.644</v>
      </c>
    </row>
    <row r="4359" spans="1:37">
      <c r="A4359" t="s">
        <v>4425</v>
      </c>
      <c r="B4359">
        <v>42</v>
      </c>
      <c r="C4359" t="s">
        <v>44</v>
      </c>
      <c r="D4359" t="s">
        <v>60</v>
      </c>
      <c r="E4359">
        <v>1080</v>
      </c>
      <c r="F4359">
        <v>26</v>
      </c>
      <c r="G4359">
        <v>11</v>
      </c>
      <c r="H4359">
        <v>1596.24</v>
      </c>
      <c r="I4359">
        <v>16405.25</v>
      </c>
      <c r="J4359">
        <v>77</v>
      </c>
      <c r="K4359">
        <v>2</v>
      </c>
      <c r="L4359">
        <v>20.3</v>
      </c>
      <c r="M4359">
        <v>30.5</v>
      </c>
      <c r="N4359" t="s">
        <v>78</v>
      </c>
      <c r="O4359" t="s">
        <v>75</v>
      </c>
      <c r="P4359" t="s">
        <v>68</v>
      </c>
      <c r="R4359">
        <f>SUMIF(A4359:A9358,"C04358",I4359:I9358)</f>
        <v>16405.25</v>
      </c>
      <c r="S4359" s="1">
        <v>13230.7</v>
      </c>
      <c r="T4359">
        <f t="shared" si="492"/>
        <v>213.055194805195</v>
      </c>
      <c r="U4359">
        <f t="shared" si="491"/>
        <v>2348.5</v>
      </c>
      <c r="V4359">
        <f>U4359*2</f>
        <v>4697</v>
      </c>
      <c r="W4359">
        <f t="shared" si="489"/>
        <v>6000.83</v>
      </c>
      <c r="X4359">
        <f t="shared" si="494"/>
        <v>0.6765899864682</v>
      </c>
      <c r="AH4359" t="str">
        <f t="shared" si="490"/>
        <v>3rd Quality</v>
      </c>
      <c r="AJ4359">
        <f>((T4359-X4359)*2)/20.3</f>
        <v>20.9240004747514</v>
      </c>
      <c r="AK4359">
        <f t="shared" si="495"/>
        <v>230099.61038961</v>
      </c>
    </row>
    <row r="4360" spans="1:37">
      <c r="A4360" t="s">
        <v>4426</v>
      </c>
      <c r="B4360">
        <v>18</v>
      </c>
      <c r="C4360" t="s">
        <v>44</v>
      </c>
      <c r="D4360" t="s">
        <v>60</v>
      </c>
      <c r="E4360">
        <v>378</v>
      </c>
      <c r="F4360">
        <v>25</v>
      </c>
      <c r="G4360">
        <v>8</v>
      </c>
      <c r="H4360">
        <v>1235.97</v>
      </c>
      <c r="I4360">
        <v>10035.2</v>
      </c>
      <c r="J4360">
        <v>25</v>
      </c>
      <c r="K4360">
        <v>1</v>
      </c>
      <c r="L4360">
        <v>24.9</v>
      </c>
      <c r="M4360">
        <v>51.4</v>
      </c>
      <c r="N4360" t="s">
        <v>63</v>
      </c>
      <c r="O4360" t="s">
        <v>47</v>
      </c>
      <c r="P4360" t="s">
        <v>68</v>
      </c>
      <c r="R4360">
        <f>SUMIF(A4360:A9359,"C04359",I4360:I9359)</f>
        <v>10035.2</v>
      </c>
      <c r="S4360" s="1">
        <v>45021.93</v>
      </c>
      <c r="T4360">
        <f t="shared" si="492"/>
        <v>401.408</v>
      </c>
      <c r="U4360">
        <f t="shared" si="491"/>
        <v>1285</v>
      </c>
      <c r="V4360">
        <f>U4360*1</f>
        <v>1285</v>
      </c>
      <c r="W4360">
        <f t="shared" si="489"/>
        <v>3757.39</v>
      </c>
      <c r="X4360">
        <f t="shared" si="494"/>
        <v>0.305832665841404</v>
      </c>
      <c r="AH4360" t="str">
        <f t="shared" si="490"/>
        <v>3rd Quality</v>
      </c>
      <c r="AJ4360">
        <f>((T4360-X4360)*2)/24.9</f>
        <v>32.2170415529445</v>
      </c>
      <c r="AK4360">
        <f t="shared" si="495"/>
        <v>151732.224</v>
      </c>
    </row>
    <row r="4361" spans="1:37">
      <c r="A4361" t="s">
        <v>4427</v>
      </c>
      <c r="B4361">
        <v>28</v>
      </c>
      <c r="C4361" t="s">
        <v>101</v>
      </c>
      <c r="D4361" t="s">
        <v>60</v>
      </c>
      <c r="E4361">
        <v>1446</v>
      </c>
      <c r="F4361">
        <v>84</v>
      </c>
      <c r="G4361">
        <v>5</v>
      </c>
      <c r="H4361">
        <v>465</v>
      </c>
      <c r="I4361">
        <v>2151.97</v>
      </c>
      <c r="J4361">
        <v>46</v>
      </c>
      <c r="K4361">
        <v>0</v>
      </c>
      <c r="L4361">
        <v>25.2</v>
      </c>
      <c r="M4361">
        <v>14.7</v>
      </c>
      <c r="N4361" t="s">
        <v>46</v>
      </c>
      <c r="O4361" t="s">
        <v>53</v>
      </c>
      <c r="P4361" t="s">
        <v>58</v>
      </c>
      <c r="R4361">
        <f>SUMIF(A4361:A9360,"C04360",I4361:I9360)</f>
        <v>2151.97</v>
      </c>
      <c r="S4361" s="1">
        <v>33652.11</v>
      </c>
      <c r="T4361">
        <f t="shared" si="492"/>
        <v>46.7819565217391</v>
      </c>
      <c r="U4361">
        <f t="shared" si="491"/>
        <v>676.2</v>
      </c>
      <c r="V4361">
        <f t="shared" si="493"/>
        <v>56.35</v>
      </c>
      <c r="W4361">
        <f t="shared" ref="W4361:W4424" si="496">(H4361+I4361+1)/3</f>
        <v>872.656666666667</v>
      </c>
      <c r="X4361">
        <f t="shared" si="494"/>
        <v>3.10967741935484</v>
      </c>
      <c r="AH4361" t="str">
        <f t="shared" si="490"/>
        <v>3rd Quality</v>
      </c>
      <c r="AJ4361">
        <f>((T4361-X4361)*2)/25.2</f>
        <v>3.46605389701462</v>
      </c>
      <c r="AK4361">
        <f t="shared" si="495"/>
        <v>67646.7091304348</v>
      </c>
    </row>
    <row r="4362" spans="1:37">
      <c r="A4362" t="s">
        <v>4428</v>
      </c>
      <c r="B4362">
        <v>22</v>
      </c>
      <c r="C4362" t="s">
        <v>50</v>
      </c>
      <c r="D4362" t="s">
        <v>45</v>
      </c>
      <c r="E4362">
        <v>864</v>
      </c>
      <c r="F4362">
        <v>78</v>
      </c>
      <c r="G4362">
        <v>9</v>
      </c>
      <c r="H4362">
        <v>1326.31</v>
      </c>
      <c r="I4362">
        <v>13230.7</v>
      </c>
      <c r="J4362">
        <v>62</v>
      </c>
      <c r="K4362">
        <v>0</v>
      </c>
      <c r="L4362">
        <v>15.7</v>
      </c>
      <c r="M4362">
        <v>14.5</v>
      </c>
      <c r="N4362" t="s">
        <v>61</v>
      </c>
      <c r="O4362" t="s">
        <v>47</v>
      </c>
      <c r="P4362" t="s">
        <v>58</v>
      </c>
      <c r="R4362">
        <f>SUMIF(A4362:A9361,"C04361",I4362:I9361)</f>
        <v>13230.7</v>
      </c>
      <c r="S4362" s="1">
        <v>1030.18</v>
      </c>
      <c r="T4362">
        <f t="shared" si="492"/>
        <v>213.398387096774</v>
      </c>
      <c r="U4362">
        <f t="shared" si="491"/>
        <v>899</v>
      </c>
      <c r="V4362">
        <f t="shared" si="493"/>
        <v>74.9166666666667</v>
      </c>
      <c r="W4362">
        <f t="shared" si="496"/>
        <v>4852.67</v>
      </c>
      <c r="X4362">
        <f t="shared" si="494"/>
        <v>0.651431414978399</v>
      </c>
      <c r="AH4362" t="str">
        <f t="shared" si="490"/>
        <v>3rd Quality</v>
      </c>
      <c r="AJ4362">
        <f>((T4362-X4362)*2)/15.7</f>
        <v>27.1015230167893</v>
      </c>
      <c r="AK4362">
        <f t="shared" si="495"/>
        <v>184376.206451613</v>
      </c>
    </row>
    <row r="4363" spans="1:37">
      <c r="A4363" t="s">
        <v>4429</v>
      </c>
      <c r="B4363">
        <v>32</v>
      </c>
      <c r="C4363" t="s">
        <v>44</v>
      </c>
      <c r="D4363" t="s">
        <v>60</v>
      </c>
      <c r="E4363">
        <v>1034</v>
      </c>
      <c r="F4363">
        <v>16</v>
      </c>
      <c r="G4363">
        <v>3</v>
      </c>
      <c r="H4363">
        <v>14332.02</v>
      </c>
      <c r="I4363">
        <v>45021.93</v>
      </c>
      <c r="J4363">
        <v>16</v>
      </c>
      <c r="K4363">
        <v>1</v>
      </c>
      <c r="L4363">
        <v>9.2</v>
      </c>
      <c r="M4363">
        <v>49.2</v>
      </c>
      <c r="N4363" t="s">
        <v>57</v>
      </c>
      <c r="O4363" t="s">
        <v>75</v>
      </c>
      <c r="P4363" t="s">
        <v>66</v>
      </c>
      <c r="R4363">
        <f>SUMIF(A4363:A9362,"C04362",I4363:I9362)</f>
        <v>45021.93</v>
      </c>
      <c r="S4363" s="1">
        <v>2029.65</v>
      </c>
      <c r="T4363">
        <f t="shared" si="492"/>
        <v>2813.870625</v>
      </c>
      <c r="U4363">
        <f t="shared" si="491"/>
        <v>787.2</v>
      </c>
      <c r="V4363">
        <f>U4363*1</f>
        <v>787.2</v>
      </c>
      <c r="W4363">
        <f t="shared" si="496"/>
        <v>19784.9833333333</v>
      </c>
      <c r="X4363">
        <f t="shared" si="494"/>
        <v>0.0721461454840281</v>
      </c>
      <c r="AH4363" t="str">
        <f t="shared" si="490"/>
        <v>1st Quality</v>
      </c>
      <c r="AJ4363">
        <f>((T4363-X4363)*2)/9.2</f>
        <v>611.695321490112</v>
      </c>
      <c r="AK4363">
        <f t="shared" si="495"/>
        <v>2909542.22625</v>
      </c>
    </row>
    <row r="4364" spans="1:37">
      <c r="A4364" t="s">
        <v>4430</v>
      </c>
      <c r="B4364">
        <v>30</v>
      </c>
      <c r="C4364" t="s">
        <v>50</v>
      </c>
      <c r="D4364" t="s">
        <v>51</v>
      </c>
      <c r="E4364">
        <v>1118</v>
      </c>
      <c r="F4364">
        <v>22</v>
      </c>
      <c r="G4364">
        <v>6</v>
      </c>
      <c r="H4364">
        <v>5444.95</v>
      </c>
      <c r="I4364">
        <v>33652.11</v>
      </c>
      <c r="J4364">
        <v>20</v>
      </c>
      <c r="K4364">
        <v>0</v>
      </c>
      <c r="L4364">
        <v>12.8</v>
      </c>
      <c r="M4364">
        <v>25.8</v>
      </c>
      <c r="N4364" t="s">
        <v>78</v>
      </c>
      <c r="O4364" t="s">
        <v>47</v>
      </c>
      <c r="P4364" t="s">
        <v>58</v>
      </c>
      <c r="R4364">
        <f>SUMIF(A4364:A9363,"C04363",I4364:I9363)</f>
        <v>33652.11</v>
      </c>
      <c r="S4364" s="1">
        <v>71282.45</v>
      </c>
      <c r="T4364">
        <f t="shared" si="492"/>
        <v>1682.6055</v>
      </c>
      <c r="U4364">
        <f t="shared" si="491"/>
        <v>516</v>
      </c>
      <c r="V4364">
        <f t="shared" si="493"/>
        <v>43</v>
      </c>
      <c r="W4364">
        <f t="shared" si="496"/>
        <v>13032.6866666667</v>
      </c>
      <c r="X4364">
        <f t="shared" si="494"/>
        <v>0.20532787261591</v>
      </c>
      <c r="AH4364" t="str">
        <f t="shared" si="490"/>
        <v>1st Quality</v>
      </c>
      <c r="AJ4364">
        <f>((T4364-X4364)*2)/12.8</f>
        <v>262.875026894904</v>
      </c>
      <c r="AK4364">
        <f t="shared" si="495"/>
        <v>1881152.949</v>
      </c>
    </row>
    <row r="4365" spans="1:37">
      <c r="A4365" t="s">
        <v>4431</v>
      </c>
      <c r="B4365">
        <v>34</v>
      </c>
      <c r="C4365" t="s">
        <v>44</v>
      </c>
      <c r="D4365" t="s">
        <v>45</v>
      </c>
      <c r="E4365">
        <v>965</v>
      </c>
      <c r="F4365">
        <v>270</v>
      </c>
      <c r="G4365">
        <v>1</v>
      </c>
      <c r="H4365">
        <v>1169.39</v>
      </c>
      <c r="I4365">
        <v>1030.18</v>
      </c>
      <c r="J4365">
        <v>17</v>
      </c>
      <c r="K4365">
        <v>0</v>
      </c>
      <c r="L4365">
        <v>22.7</v>
      </c>
      <c r="M4365">
        <v>25.7</v>
      </c>
      <c r="N4365" t="s">
        <v>52</v>
      </c>
      <c r="O4365" t="s">
        <v>75</v>
      </c>
      <c r="P4365" t="s">
        <v>68</v>
      </c>
      <c r="R4365">
        <f>SUMIF(A4365:A9364,"C04364",I4365:I9364)</f>
        <v>1030.18</v>
      </c>
      <c r="S4365" s="1">
        <v>20021.41</v>
      </c>
      <c r="T4365">
        <f t="shared" si="492"/>
        <v>60.5988235294118</v>
      </c>
      <c r="U4365">
        <f t="shared" si="491"/>
        <v>436.9</v>
      </c>
      <c r="V4365">
        <f t="shared" si="493"/>
        <v>36.4083333333333</v>
      </c>
      <c r="W4365">
        <f t="shared" si="496"/>
        <v>733.523333333333</v>
      </c>
      <c r="X4365">
        <f t="shared" si="494"/>
        <v>0.82521656590188</v>
      </c>
      <c r="AH4365" t="str">
        <f t="shared" si="490"/>
        <v>3rd Quality</v>
      </c>
      <c r="AJ4365">
        <f>((T4365-X4365)*2)/22.7</f>
        <v>5.26639708929603</v>
      </c>
      <c r="AK4365">
        <f t="shared" si="495"/>
        <v>58477.8647058824</v>
      </c>
    </row>
    <row r="4366" spans="1:37">
      <c r="A4366" t="s">
        <v>4432</v>
      </c>
      <c r="B4366">
        <v>44</v>
      </c>
      <c r="C4366" t="s">
        <v>50</v>
      </c>
      <c r="D4366" t="s">
        <v>60</v>
      </c>
      <c r="E4366">
        <v>1414</v>
      </c>
      <c r="F4366">
        <v>91</v>
      </c>
      <c r="G4366">
        <v>3</v>
      </c>
      <c r="H4366">
        <v>681.36</v>
      </c>
      <c r="I4366">
        <v>2029.65</v>
      </c>
      <c r="J4366">
        <v>27</v>
      </c>
      <c r="K4366">
        <v>0</v>
      </c>
      <c r="L4366">
        <v>20</v>
      </c>
      <c r="M4366">
        <v>17.7</v>
      </c>
      <c r="N4366" t="s">
        <v>57</v>
      </c>
      <c r="O4366" t="s">
        <v>53</v>
      </c>
      <c r="P4366" t="s">
        <v>66</v>
      </c>
      <c r="R4366">
        <f>SUMIF(A4366:A9365,"C04365",I4366:I9365)</f>
        <v>2029.65</v>
      </c>
      <c r="S4366" s="1">
        <v>14768.71</v>
      </c>
      <c r="T4366">
        <f t="shared" si="492"/>
        <v>75.1722222222222</v>
      </c>
      <c r="U4366">
        <f t="shared" si="491"/>
        <v>477.9</v>
      </c>
      <c r="V4366">
        <f t="shared" si="493"/>
        <v>39.825</v>
      </c>
      <c r="W4366">
        <f t="shared" si="496"/>
        <v>904.003333333333</v>
      </c>
      <c r="X4366">
        <f t="shared" si="494"/>
        <v>2.07526124222144</v>
      </c>
      <c r="AH4366" t="str">
        <f t="shared" ref="AH4366:AH4429" si="497">IF(AND(W4366&gt;=12550,B4366&lt;=33,E4366&gt;=915),"1st Quality",IF(AND(W4366&gt;=6275,B4366&lt;=43,E4366&gt;=457),"2nd Quality","3rd Quality"))</f>
        <v>3rd Quality</v>
      </c>
      <c r="AJ4366">
        <f>((T4366-X4366)*2)/20</f>
        <v>7.30969609800008</v>
      </c>
      <c r="AK4366">
        <f t="shared" si="495"/>
        <v>106293.522222222</v>
      </c>
    </row>
    <row r="4367" spans="1:37">
      <c r="A4367" t="s">
        <v>4433</v>
      </c>
      <c r="B4367">
        <v>34</v>
      </c>
      <c r="C4367" t="s">
        <v>50</v>
      </c>
      <c r="D4367" t="s">
        <v>60</v>
      </c>
      <c r="E4367">
        <v>1315</v>
      </c>
      <c r="F4367">
        <v>17</v>
      </c>
      <c r="G4367">
        <v>18</v>
      </c>
      <c r="H4367">
        <v>3686.37</v>
      </c>
      <c r="I4367">
        <v>71282.45</v>
      </c>
      <c r="J4367">
        <v>82</v>
      </c>
      <c r="K4367">
        <v>0</v>
      </c>
      <c r="L4367">
        <v>18.5</v>
      </c>
      <c r="M4367">
        <v>45.9</v>
      </c>
      <c r="N4367" t="s">
        <v>57</v>
      </c>
      <c r="O4367" t="s">
        <v>75</v>
      </c>
      <c r="P4367" t="s">
        <v>58</v>
      </c>
      <c r="R4367">
        <f>SUMIF(A4367:A9366,"C04366",I4367:I9366)</f>
        <v>71282.45</v>
      </c>
      <c r="S4367" s="1">
        <v>82982.68</v>
      </c>
      <c r="T4367">
        <f t="shared" si="492"/>
        <v>869.298170731707</v>
      </c>
      <c r="U4367">
        <f t="shared" si="491"/>
        <v>3763.8</v>
      </c>
      <c r="V4367">
        <f t="shared" si="493"/>
        <v>313.65</v>
      </c>
      <c r="W4367">
        <f t="shared" si="496"/>
        <v>24989.94</v>
      </c>
      <c r="X4367">
        <f t="shared" si="494"/>
        <v>0.356719482851694</v>
      </c>
      <c r="AH4367" t="str">
        <f t="shared" si="497"/>
        <v>2nd Quality</v>
      </c>
      <c r="AJ4367">
        <f>((T4367-X4367)*2)/18.5</f>
        <v>93.9396163512276</v>
      </c>
      <c r="AK4367">
        <f t="shared" si="495"/>
        <v>1143127.0945122</v>
      </c>
    </row>
    <row r="4368" spans="1:37">
      <c r="A4368" t="s">
        <v>4434</v>
      </c>
      <c r="B4368">
        <v>27</v>
      </c>
      <c r="C4368" t="s">
        <v>50</v>
      </c>
      <c r="D4368" t="s">
        <v>45</v>
      </c>
      <c r="E4368">
        <v>1086</v>
      </c>
      <c r="F4368">
        <v>45</v>
      </c>
      <c r="G4368">
        <v>6</v>
      </c>
      <c r="H4368">
        <v>3331.31</v>
      </c>
      <c r="I4368">
        <v>20021.41</v>
      </c>
      <c r="J4368">
        <v>54</v>
      </c>
      <c r="K4368">
        <v>0</v>
      </c>
      <c r="L4368">
        <v>26.4</v>
      </c>
      <c r="M4368">
        <v>10.9</v>
      </c>
      <c r="N4368" t="s">
        <v>61</v>
      </c>
      <c r="O4368" t="s">
        <v>47</v>
      </c>
      <c r="P4368" t="s">
        <v>58</v>
      </c>
      <c r="R4368">
        <f>SUMIF(A4368:A9367,"C04367",I4368:I9367)</f>
        <v>20021.41</v>
      </c>
      <c r="S4368" s="1">
        <v>8954.54</v>
      </c>
      <c r="T4368">
        <f t="shared" si="492"/>
        <v>370.766851851852</v>
      </c>
      <c r="U4368">
        <f t="shared" si="491"/>
        <v>588.6</v>
      </c>
      <c r="V4368">
        <f t="shared" si="493"/>
        <v>49.05</v>
      </c>
      <c r="W4368">
        <f t="shared" si="496"/>
        <v>7784.57333333333</v>
      </c>
      <c r="X4368">
        <f t="shared" si="494"/>
        <v>0.325997880713593</v>
      </c>
      <c r="AH4368" t="str">
        <f t="shared" si="497"/>
        <v>2nd Quality</v>
      </c>
      <c r="AJ4368">
        <f>((T4368-X4368)*2)/26.4</f>
        <v>28.0637010584196</v>
      </c>
      <c r="AK4368">
        <f t="shared" si="495"/>
        <v>402652.801111111</v>
      </c>
    </row>
    <row r="4369" spans="1:37">
      <c r="A4369" t="s">
        <v>4435</v>
      </c>
      <c r="B4369">
        <v>41</v>
      </c>
      <c r="C4369" t="s">
        <v>44</v>
      </c>
      <c r="D4369" t="s">
        <v>45</v>
      </c>
      <c r="E4369">
        <v>1047</v>
      </c>
      <c r="F4369">
        <v>21</v>
      </c>
      <c r="G4369">
        <v>2</v>
      </c>
      <c r="H4369">
        <v>6984.91</v>
      </c>
      <c r="I4369">
        <v>14768.71</v>
      </c>
      <c r="J4369">
        <v>10</v>
      </c>
      <c r="K4369">
        <v>2</v>
      </c>
      <c r="L4369">
        <v>14.3</v>
      </c>
      <c r="M4369">
        <v>16.9</v>
      </c>
      <c r="N4369" t="s">
        <v>81</v>
      </c>
      <c r="O4369" t="s">
        <v>47</v>
      </c>
      <c r="P4369" t="s">
        <v>58</v>
      </c>
      <c r="R4369">
        <f>SUMIF(A4369:A9368,"C04368",I4369:I9368)</f>
        <v>14768.71</v>
      </c>
      <c r="S4369" s="1">
        <v>11654.46</v>
      </c>
      <c r="T4369">
        <f t="shared" si="492"/>
        <v>1476.871</v>
      </c>
      <c r="U4369">
        <f t="shared" si="491"/>
        <v>169</v>
      </c>
      <c r="V4369">
        <f>U4369*2</f>
        <v>338</v>
      </c>
      <c r="W4369">
        <f t="shared" si="496"/>
        <v>7251.54</v>
      </c>
      <c r="X4369">
        <f t="shared" si="494"/>
        <v>0.149894558412349</v>
      </c>
      <c r="AH4369" t="str">
        <f t="shared" si="497"/>
        <v>2nd Quality</v>
      </c>
      <c r="AJ4369">
        <f>((T4369-X4369)*2)/14.3</f>
        <v>206.534420341481</v>
      </c>
      <c r="AK4369">
        <f t="shared" si="495"/>
        <v>1546283.937</v>
      </c>
    </row>
    <row r="4370" spans="1:37">
      <c r="A4370" t="s">
        <v>4436</v>
      </c>
      <c r="B4370">
        <v>36</v>
      </c>
      <c r="C4370" t="s">
        <v>44</v>
      </c>
      <c r="D4370" t="s">
        <v>60</v>
      </c>
      <c r="E4370">
        <v>751</v>
      </c>
      <c r="F4370">
        <v>10</v>
      </c>
      <c r="G4370">
        <v>24</v>
      </c>
      <c r="H4370">
        <v>3312.86</v>
      </c>
      <c r="I4370">
        <v>82982.68</v>
      </c>
      <c r="J4370">
        <v>199</v>
      </c>
      <c r="K4370">
        <v>2</v>
      </c>
      <c r="L4370">
        <v>2.9</v>
      </c>
      <c r="M4370">
        <v>37.5</v>
      </c>
      <c r="N4370" t="s">
        <v>61</v>
      </c>
      <c r="O4370" t="s">
        <v>47</v>
      </c>
      <c r="P4370" t="s">
        <v>58</v>
      </c>
      <c r="R4370">
        <f>SUMIF(A4370:A9369,"C04369",I4370:I9369)</f>
        <v>82982.68</v>
      </c>
      <c r="S4370" s="1">
        <v>88085.74</v>
      </c>
      <c r="T4370">
        <f t="shared" si="492"/>
        <v>416.998391959799</v>
      </c>
      <c r="U4370">
        <f t="shared" si="491"/>
        <v>7462.5</v>
      </c>
      <c r="V4370">
        <f>U4370*2</f>
        <v>14925</v>
      </c>
      <c r="W4370">
        <f t="shared" si="496"/>
        <v>28765.5133333333</v>
      </c>
      <c r="X4370">
        <f t="shared" si="494"/>
        <v>0.226692344379177</v>
      </c>
      <c r="AH4370" t="str">
        <f t="shared" si="497"/>
        <v>2nd Quality</v>
      </c>
      <c r="AJ4370">
        <f>((T4370-X4370)*2)/2.9</f>
        <v>287.428758355462</v>
      </c>
      <c r="AK4370">
        <f t="shared" si="495"/>
        <v>313165.792361809</v>
      </c>
    </row>
    <row r="4371" spans="1:37">
      <c r="A4371" t="s">
        <v>4437</v>
      </c>
      <c r="B4371">
        <v>25</v>
      </c>
      <c r="C4371" t="s">
        <v>44</v>
      </c>
      <c r="D4371" t="s">
        <v>51</v>
      </c>
      <c r="E4371">
        <v>869</v>
      </c>
      <c r="F4371">
        <v>71</v>
      </c>
      <c r="G4371">
        <v>6</v>
      </c>
      <c r="H4371">
        <v>1352.97</v>
      </c>
      <c r="I4371">
        <v>8954.54</v>
      </c>
      <c r="J4371">
        <v>33</v>
      </c>
      <c r="K4371">
        <v>0</v>
      </c>
      <c r="L4371">
        <v>28.3</v>
      </c>
      <c r="M4371">
        <v>61.4</v>
      </c>
      <c r="N4371" t="s">
        <v>57</v>
      </c>
      <c r="O4371" t="s">
        <v>47</v>
      </c>
      <c r="P4371" t="s">
        <v>68</v>
      </c>
      <c r="R4371">
        <f>SUMIF(A4371:A9370,"C04370",I4371:I9370)</f>
        <v>8954.54</v>
      </c>
      <c r="S4371" s="1">
        <v>37521.49</v>
      </c>
      <c r="T4371">
        <f t="shared" si="492"/>
        <v>271.349696969697</v>
      </c>
      <c r="U4371">
        <f t="shared" si="491"/>
        <v>2026.2</v>
      </c>
      <c r="V4371">
        <f t="shared" si="493"/>
        <v>168.85</v>
      </c>
      <c r="W4371">
        <f t="shared" si="496"/>
        <v>3436.17</v>
      </c>
      <c r="X4371">
        <f t="shared" si="494"/>
        <v>0.64229066424237</v>
      </c>
      <c r="AH4371" t="str">
        <f t="shared" si="497"/>
        <v>3rd Quality</v>
      </c>
      <c r="AJ4371">
        <f>((T4371-X4371)*2)/28.3</f>
        <v>19.131265463283</v>
      </c>
      <c r="AK4371">
        <f t="shared" si="495"/>
        <v>235802.886666667</v>
      </c>
    </row>
    <row r="4372" spans="1:37">
      <c r="A4372" t="s">
        <v>4438</v>
      </c>
      <c r="B4372">
        <v>24</v>
      </c>
      <c r="C4372" t="s">
        <v>50</v>
      </c>
      <c r="D4372" t="s">
        <v>51</v>
      </c>
      <c r="E4372">
        <v>376</v>
      </c>
      <c r="F4372">
        <v>11</v>
      </c>
      <c r="G4372">
        <v>10</v>
      </c>
      <c r="H4372">
        <v>1203.98</v>
      </c>
      <c r="I4372">
        <v>11654.46</v>
      </c>
      <c r="J4372">
        <v>78</v>
      </c>
      <c r="K4372">
        <v>2</v>
      </c>
      <c r="L4372">
        <v>26.9</v>
      </c>
      <c r="M4372">
        <v>25.7</v>
      </c>
      <c r="N4372" t="s">
        <v>57</v>
      </c>
      <c r="O4372" t="s">
        <v>47</v>
      </c>
      <c r="P4372" t="s">
        <v>68</v>
      </c>
      <c r="R4372">
        <f>SUMIF(A4372:A9371,"C04371",I4372:I9371)</f>
        <v>11654.46</v>
      </c>
      <c r="S4372" s="1">
        <v>220798.3</v>
      </c>
      <c r="T4372">
        <f t="shared" si="492"/>
        <v>149.416153846154</v>
      </c>
      <c r="U4372">
        <f t="shared" si="491"/>
        <v>2004.6</v>
      </c>
      <c r="V4372">
        <f>U4372*2</f>
        <v>4009.2</v>
      </c>
      <c r="W4372">
        <f t="shared" si="496"/>
        <v>4286.48</v>
      </c>
      <c r="X4372">
        <f t="shared" si="494"/>
        <v>0.312297546470872</v>
      </c>
      <c r="AH4372" t="str">
        <f t="shared" si="497"/>
        <v>3rd Quality</v>
      </c>
      <c r="AJ4372">
        <f>((T4372-X4372)*2)/26.9</f>
        <v>11.0857885724671</v>
      </c>
      <c r="AK4372">
        <f t="shared" si="495"/>
        <v>56180.4738461538</v>
      </c>
    </row>
    <row r="4373" spans="1:37">
      <c r="A4373" t="s">
        <v>4439</v>
      </c>
      <c r="B4373">
        <v>32</v>
      </c>
      <c r="C4373" t="s">
        <v>50</v>
      </c>
      <c r="D4373" t="s">
        <v>60</v>
      </c>
      <c r="E4373">
        <v>1179</v>
      </c>
      <c r="F4373">
        <v>3</v>
      </c>
      <c r="G4373">
        <v>26</v>
      </c>
      <c r="H4373">
        <v>3142.52</v>
      </c>
      <c r="I4373">
        <v>88085.74</v>
      </c>
      <c r="J4373">
        <v>58</v>
      </c>
      <c r="K4373">
        <v>2</v>
      </c>
      <c r="L4373">
        <v>0.6</v>
      </c>
      <c r="M4373">
        <v>32.1</v>
      </c>
      <c r="N4373" t="s">
        <v>57</v>
      </c>
      <c r="O4373" t="s">
        <v>53</v>
      </c>
      <c r="P4373" t="s">
        <v>68</v>
      </c>
      <c r="R4373">
        <f>SUMIF(A4373:A9372,"C04372",I4373:I9372)</f>
        <v>88085.74</v>
      </c>
      <c r="S4373" s="1">
        <v>90921.08</v>
      </c>
      <c r="T4373">
        <f t="shared" si="492"/>
        <v>1518.71965517241</v>
      </c>
      <c r="U4373">
        <f t="shared" si="491"/>
        <v>1861.8</v>
      </c>
      <c r="V4373">
        <f>U4373*2</f>
        <v>3723.6</v>
      </c>
      <c r="W4373">
        <f t="shared" si="496"/>
        <v>30409.7533333333</v>
      </c>
      <c r="X4373">
        <f t="shared" si="494"/>
        <v>0.375176609854512</v>
      </c>
      <c r="AH4373" t="str">
        <f t="shared" si="497"/>
        <v>1st Quality</v>
      </c>
      <c r="AJ4373">
        <f>((T4373-X4373)*2)/0.6</f>
        <v>5061.14826187519</v>
      </c>
      <c r="AK4373">
        <f t="shared" si="495"/>
        <v>1790570.47344828</v>
      </c>
    </row>
    <row r="4374" spans="1:37">
      <c r="A4374" t="s">
        <v>4440</v>
      </c>
      <c r="B4374">
        <v>25</v>
      </c>
      <c r="C4374" t="s">
        <v>44</v>
      </c>
      <c r="D4374" t="s">
        <v>60</v>
      </c>
      <c r="E4374">
        <v>513</v>
      </c>
      <c r="F4374">
        <v>12</v>
      </c>
      <c r="G4374">
        <v>5</v>
      </c>
      <c r="H4374">
        <v>7962.09</v>
      </c>
      <c r="I4374">
        <v>37521.49</v>
      </c>
      <c r="J4374">
        <v>42</v>
      </c>
      <c r="K4374">
        <v>0</v>
      </c>
      <c r="L4374">
        <v>9.5</v>
      </c>
      <c r="M4374">
        <v>9.8</v>
      </c>
      <c r="N4374" t="s">
        <v>57</v>
      </c>
      <c r="O4374" t="s">
        <v>75</v>
      </c>
      <c r="P4374" t="s">
        <v>48</v>
      </c>
      <c r="R4374">
        <f>SUMIF(A4374:A9373,"C04373",I4374:I9373)</f>
        <v>37521.49</v>
      </c>
      <c r="S4374" s="1">
        <v>87573.7</v>
      </c>
      <c r="T4374">
        <f t="shared" si="492"/>
        <v>893.368809523809</v>
      </c>
      <c r="U4374">
        <f t="shared" si="491"/>
        <v>411.6</v>
      </c>
      <c r="V4374">
        <f t="shared" si="493"/>
        <v>34.3</v>
      </c>
      <c r="W4374">
        <f t="shared" si="496"/>
        <v>15161.5266666667</v>
      </c>
      <c r="X4374">
        <f t="shared" si="494"/>
        <v>0.0644303191749905</v>
      </c>
      <c r="AH4374" t="str">
        <f t="shared" si="497"/>
        <v>2nd Quality</v>
      </c>
      <c r="AJ4374">
        <f>((T4374-X4374)*2)/9.5</f>
        <v>188.064079832555</v>
      </c>
      <c r="AK4374">
        <f t="shared" si="495"/>
        <v>458298.199285714</v>
      </c>
    </row>
    <row r="4375" spans="1:37">
      <c r="A4375" t="s">
        <v>4441</v>
      </c>
      <c r="B4375">
        <v>22</v>
      </c>
      <c r="C4375" t="s">
        <v>50</v>
      </c>
      <c r="D4375" t="s">
        <v>60</v>
      </c>
      <c r="E4375">
        <v>614</v>
      </c>
      <c r="F4375">
        <v>7</v>
      </c>
      <c r="G4375">
        <v>24</v>
      </c>
      <c r="H4375">
        <v>9074.63</v>
      </c>
      <c r="I4375">
        <v>220798.3</v>
      </c>
      <c r="J4375">
        <v>149</v>
      </c>
      <c r="K4375">
        <v>2</v>
      </c>
      <c r="L4375">
        <v>2.2</v>
      </c>
      <c r="M4375">
        <v>45.8</v>
      </c>
      <c r="N4375" t="s">
        <v>78</v>
      </c>
      <c r="O4375" t="s">
        <v>53</v>
      </c>
      <c r="P4375" t="s">
        <v>58</v>
      </c>
      <c r="R4375">
        <f>SUMIF(A4375:A9374,"C04374",I4375:I9374)</f>
        <v>220798.3</v>
      </c>
      <c r="S4375" s="1">
        <v>2411.13</v>
      </c>
      <c r="T4375">
        <f t="shared" si="492"/>
        <v>1481.8677852349</v>
      </c>
      <c r="U4375">
        <f t="shared" si="491"/>
        <v>6824.2</v>
      </c>
      <c r="V4375">
        <f>U4375*2</f>
        <v>13648.4</v>
      </c>
      <c r="W4375">
        <f t="shared" si="496"/>
        <v>76624.6433333333</v>
      </c>
      <c r="X4375">
        <f t="shared" si="494"/>
        <v>0.0676611608407175</v>
      </c>
      <c r="AH4375" t="str">
        <f t="shared" si="497"/>
        <v>2nd Quality</v>
      </c>
      <c r="AJ4375">
        <f>((T4375-X4375)*2)/2.2</f>
        <v>1347.09102188551</v>
      </c>
      <c r="AK4375">
        <f t="shared" si="495"/>
        <v>909866.820134228</v>
      </c>
    </row>
    <row r="4376" spans="1:37">
      <c r="A4376" t="s">
        <v>4442</v>
      </c>
      <c r="B4376">
        <v>43</v>
      </c>
      <c r="C4376" t="s">
        <v>50</v>
      </c>
      <c r="D4376" t="s">
        <v>45</v>
      </c>
      <c r="E4376">
        <v>998</v>
      </c>
      <c r="F4376">
        <v>24</v>
      </c>
      <c r="G4376">
        <v>7</v>
      </c>
      <c r="H4376">
        <v>12631.18</v>
      </c>
      <c r="I4376">
        <v>90921.08</v>
      </c>
      <c r="J4376">
        <v>67</v>
      </c>
      <c r="K4376">
        <v>0</v>
      </c>
      <c r="L4376">
        <v>6.6</v>
      </c>
      <c r="M4376">
        <v>39</v>
      </c>
      <c r="N4376" t="s">
        <v>61</v>
      </c>
      <c r="O4376" t="s">
        <v>47</v>
      </c>
      <c r="P4376" t="s">
        <v>58</v>
      </c>
      <c r="R4376">
        <f>SUMIF(A4376:A9375,"C04375",I4376:I9375)</f>
        <v>90921.08</v>
      </c>
      <c r="S4376" s="1">
        <v>90276.16</v>
      </c>
      <c r="T4376">
        <f t="shared" si="492"/>
        <v>1357.03104477612</v>
      </c>
      <c r="U4376">
        <f t="shared" si="491"/>
        <v>2613</v>
      </c>
      <c r="V4376">
        <f t="shared" si="493"/>
        <v>217.75</v>
      </c>
      <c r="W4376">
        <f t="shared" si="496"/>
        <v>34517.7533333333</v>
      </c>
      <c r="X4376">
        <f t="shared" si="494"/>
        <v>0.079010828758675</v>
      </c>
      <c r="AH4376" t="str">
        <f t="shared" si="497"/>
        <v>2nd Quality</v>
      </c>
      <c r="AJ4376">
        <f>((T4376-X4376)*2)/6.6</f>
        <v>411.197586044655</v>
      </c>
      <c r="AK4376">
        <f t="shared" si="495"/>
        <v>1354316.98268657</v>
      </c>
    </row>
    <row r="4377" spans="1:37">
      <c r="A4377" t="s">
        <v>4443</v>
      </c>
      <c r="B4377">
        <v>50</v>
      </c>
      <c r="C4377" t="s">
        <v>44</v>
      </c>
      <c r="D4377" t="s">
        <v>45</v>
      </c>
      <c r="E4377">
        <v>1103</v>
      </c>
      <c r="F4377">
        <v>22</v>
      </c>
      <c r="G4377">
        <v>33</v>
      </c>
      <c r="H4377">
        <v>2690.74</v>
      </c>
      <c r="I4377">
        <v>87573.7</v>
      </c>
      <c r="J4377">
        <v>106</v>
      </c>
      <c r="K4377">
        <v>0</v>
      </c>
      <c r="L4377">
        <v>25.7</v>
      </c>
      <c r="M4377">
        <v>43.2</v>
      </c>
      <c r="N4377" t="s">
        <v>61</v>
      </c>
      <c r="O4377" t="s">
        <v>47</v>
      </c>
      <c r="P4377" t="s">
        <v>58</v>
      </c>
      <c r="R4377">
        <f>SUMIF(A4377:A9376,"C04376",I4377:I9376)</f>
        <v>87573.7</v>
      </c>
      <c r="S4377" s="1">
        <v>3222.94</v>
      </c>
      <c r="T4377">
        <f t="shared" si="492"/>
        <v>826.166981132075</v>
      </c>
      <c r="U4377">
        <f t="shared" si="491"/>
        <v>4579.2</v>
      </c>
      <c r="V4377">
        <f t="shared" si="493"/>
        <v>381.6</v>
      </c>
      <c r="W4377">
        <f t="shared" si="496"/>
        <v>30088.48</v>
      </c>
      <c r="X4377">
        <f t="shared" si="494"/>
        <v>0.409924407412087</v>
      </c>
      <c r="AH4377" t="str">
        <f t="shared" si="497"/>
        <v>3rd Quality</v>
      </c>
      <c r="AJ4377">
        <f>((T4377-X4377)*2)/25.7</f>
        <v>64.2612495505574</v>
      </c>
      <c r="AK4377">
        <f t="shared" si="495"/>
        <v>911262.180188679</v>
      </c>
    </row>
    <row r="4378" spans="1:37">
      <c r="A4378" t="s">
        <v>4444</v>
      </c>
      <c r="B4378">
        <v>53</v>
      </c>
      <c r="C4378" t="s">
        <v>50</v>
      </c>
      <c r="D4378" t="s">
        <v>45</v>
      </c>
      <c r="E4378">
        <v>406</v>
      </c>
      <c r="F4378">
        <v>58</v>
      </c>
      <c r="G4378">
        <v>2</v>
      </c>
      <c r="H4378">
        <v>1332.75</v>
      </c>
      <c r="I4378">
        <v>2411.13</v>
      </c>
      <c r="J4378">
        <v>11</v>
      </c>
      <c r="K4378">
        <v>1</v>
      </c>
      <c r="L4378">
        <v>31.5</v>
      </c>
      <c r="M4378">
        <v>18.9</v>
      </c>
      <c r="N4378" t="s">
        <v>52</v>
      </c>
      <c r="O4378" t="s">
        <v>47</v>
      </c>
      <c r="P4378" t="s">
        <v>58</v>
      </c>
      <c r="R4378">
        <f>SUMIF(A4378:A9377,"C04377",I4378:I9377)</f>
        <v>2411.13</v>
      </c>
      <c r="S4378" s="1">
        <v>74426.46</v>
      </c>
      <c r="T4378">
        <f t="shared" si="492"/>
        <v>219.193636363636</v>
      </c>
      <c r="U4378">
        <f t="shared" si="491"/>
        <v>207.9</v>
      </c>
      <c r="V4378">
        <f>U4378*1</f>
        <v>207.9</v>
      </c>
      <c r="W4378">
        <f t="shared" si="496"/>
        <v>1248.29333333333</v>
      </c>
      <c r="X4378">
        <f t="shared" si="494"/>
        <v>0.304633277058713</v>
      </c>
      <c r="AH4378" t="str">
        <f t="shared" si="497"/>
        <v>3rd Quality</v>
      </c>
      <c r="AJ4378">
        <f>((T4378-X4378)*2)/31.5</f>
        <v>13.8977144816874</v>
      </c>
      <c r="AK4378">
        <f t="shared" si="495"/>
        <v>88992.6163636364</v>
      </c>
    </row>
    <row r="4379" spans="1:37">
      <c r="A4379" t="s">
        <v>4445</v>
      </c>
      <c r="B4379">
        <v>32</v>
      </c>
      <c r="C4379" t="s">
        <v>44</v>
      </c>
      <c r="D4379" t="s">
        <v>45</v>
      </c>
      <c r="E4379">
        <v>1207</v>
      </c>
      <c r="F4379">
        <v>2</v>
      </c>
      <c r="G4379">
        <v>26</v>
      </c>
      <c r="H4379">
        <v>3527.87</v>
      </c>
      <c r="I4379">
        <v>90276.16</v>
      </c>
      <c r="J4379">
        <v>194</v>
      </c>
      <c r="K4379">
        <v>1</v>
      </c>
      <c r="L4379">
        <v>8.7</v>
      </c>
      <c r="M4379">
        <v>66.9</v>
      </c>
      <c r="N4379" t="s">
        <v>78</v>
      </c>
      <c r="O4379" t="s">
        <v>47</v>
      </c>
      <c r="P4379" t="s">
        <v>68</v>
      </c>
      <c r="R4379">
        <f>SUMIF(A4379:A9378,"C04378",I4379:I9378)</f>
        <v>90276.16</v>
      </c>
      <c r="S4379" s="1">
        <v>15290.04</v>
      </c>
      <c r="T4379">
        <f t="shared" si="492"/>
        <v>465.341030927835</v>
      </c>
      <c r="U4379">
        <f t="shared" si="491"/>
        <v>12978.6</v>
      </c>
      <c r="V4379">
        <f>U4379*1</f>
        <v>12978.6</v>
      </c>
      <c r="W4379">
        <f t="shared" si="496"/>
        <v>31268.3433333333</v>
      </c>
      <c r="X4379">
        <f t="shared" si="494"/>
        <v>0.342132788339706</v>
      </c>
      <c r="AH4379" t="str">
        <f t="shared" si="497"/>
        <v>1st Quality</v>
      </c>
      <c r="AJ4379">
        <f>((T4379-X4379)*2)/8.7</f>
        <v>106.896298422872</v>
      </c>
      <c r="AK4379">
        <f t="shared" si="495"/>
        <v>561666.624329897</v>
      </c>
    </row>
    <row r="4380" spans="1:37">
      <c r="A4380" t="s">
        <v>4446</v>
      </c>
      <c r="B4380">
        <v>38</v>
      </c>
      <c r="C4380" t="s">
        <v>44</v>
      </c>
      <c r="D4380" t="s">
        <v>60</v>
      </c>
      <c r="E4380">
        <v>521</v>
      </c>
      <c r="F4380">
        <v>365</v>
      </c>
      <c r="G4380">
        <v>2</v>
      </c>
      <c r="H4380">
        <v>1737.85</v>
      </c>
      <c r="I4380">
        <v>3222.94</v>
      </c>
      <c r="J4380">
        <v>22</v>
      </c>
      <c r="K4380">
        <v>0</v>
      </c>
      <c r="L4380">
        <v>7.1</v>
      </c>
      <c r="M4380">
        <v>24.9</v>
      </c>
      <c r="N4380" t="s">
        <v>57</v>
      </c>
      <c r="O4380" t="s">
        <v>47</v>
      </c>
      <c r="P4380" t="s">
        <v>58</v>
      </c>
      <c r="R4380">
        <f>SUMIF(A4380:A9379,"C04379",I4380:I9379)</f>
        <v>3222.94</v>
      </c>
      <c r="S4380" s="1">
        <v>4229</v>
      </c>
      <c r="T4380">
        <f t="shared" si="492"/>
        <v>146.497272727273</v>
      </c>
      <c r="U4380">
        <f t="shared" si="491"/>
        <v>547.8</v>
      </c>
      <c r="V4380">
        <f t="shared" si="493"/>
        <v>45.65</v>
      </c>
      <c r="W4380">
        <f t="shared" si="496"/>
        <v>1653.93</v>
      </c>
      <c r="X4380">
        <f t="shared" si="494"/>
        <v>0.299795724602238</v>
      </c>
      <c r="AH4380" t="str">
        <f t="shared" si="497"/>
        <v>3rd Quality</v>
      </c>
      <c r="AJ4380">
        <f>((T4380-X4380)*2)/7.1</f>
        <v>41.1823878880763</v>
      </c>
      <c r="AK4380">
        <f t="shared" si="495"/>
        <v>76325.0790909091</v>
      </c>
    </row>
    <row r="4381" spans="1:37">
      <c r="A4381" t="s">
        <v>4447</v>
      </c>
      <c r="B4381">
        <v>27</v>
      </c>
      <c r="C4381" t="s">
        <v>50</v>
      </c>
      <c r="D4381" t="s">
        <v>51</v>
      </c>
      <c r="E4381">
        <v>1066</v>
      </c>
      <c r="F4381">
        <v>6</v>
      </c>
      <c r="G4381">
        <v>25</v>
      </c>
      <c r="H4381">
        <v>2986.15</v>
      </c>
      <c r="I4381">
        <v>74426.46</v>
      </c>
      <c r="J4381">
        <v>208</v>
      </c>
      <c r="K4381">
        <v>0</v>
      </c>
      <c r="L4381">
        <v>11.5</v>
      </c>
      <c r="M4381">
        <v>19.5</v>
      </c>
      <c r="N4381" t="s">
        <v>61</v>
      </c>
      <c r="O4381" t="s">
        <v>75</v>
      </c>
      <c r="P4381" t="s">
        <v>58</v>
      </c>
      <c r="R4381">
        <f>SUMIF(A4381:A9380,"C04380",I4381:I9380)</f>
        <v>74426.46</v>
      </c>
      <c r="S4381" s="1">
        <v>4855.61</v>
      </c>
      <c r="T4381">
        <f t="shared" si="492"/>
        <v>357.819519230769</v>
      </c>
      <c r="U4381">
        <f t="shared" si="491"/>
        <v>4056</v>
      </c>
      <c r="V4381">
        <f t="shared" si="493"/>
        <v>338</v>
      </c>
      <c r="W4381">
        <f t="shared" si="496"/>
        <v>25804.5366666667</v>
      </c>
      <c r="X4381">
        <f t="shared" si="494"/>
        <v>0.356981397451568</v>
      </c>
      <c r="AH4381" t="str">
        <f t="shared" si="497"/>
        <v>1st Quality</v>
      </c>
      <c r="AJ4381">
        <f>((T4381-X4381)*2)/11.5</f>
        <v>62.1673978840552</v>
      </c>
      <c r="AK4381">
        <f t="shared" si="495"/>
        <v>381435.6075</v>
      </c>
    </row>
    <row r="4382" spans="1:37">
      <c r="A4382" t="s">
        <v>4448</v>
      </c>
      <c r="B4382">
        <v>32</v>
      </c>
      <c r="C4382" t="s">
        <v>50</v>
      </c>
      <c r="D4382" t="s">
        <v>51</v>
      </c>
      <c r="E4382">
        <v>1219</v>
      </c>
      <c r="F4382">
        <v>45</v>
      </c>
      <c r="G4382">
        <v>2</v>
      </c>
      <c r="H4382">
        <v>8638.93</v>
      </c>
      <c r="I4382">
        <v>15290.04</v>
      </c>
      <c r="J4382">
        <v>22</v>
      </c>
      <c r="K4382">
        <v>0</v>
      </c>
      <c r="L4382">
        <v>5.4</v>
      </c>
      <c r="M4382">
        <v>31.1</v>
      </c>
      <c r="N4382" t="s">
        <v>46</v>
      </c>
      <c r="O4382" t="s">
        <v>47</v>
      </c>
      <c r="P4382" t="s">
        <v>58</v>
      </c>
      <c r="R4382">
        <f>SUMIF(A4382:A9381,"C04381",I4382:I9381)</f>
        <v>15290.04</v>
      </c>
      <c r="S4382" s="1">
        <v>6863.85</v>
      </c>
      <c r="T4382">
        <f t="shared" si="492"/>
        <v>695.001818181818</v>
      </c>
      <c r="U4382">
        <f t="shared" si="491"/>
        <v>684.2</v>
      </c>
      <c r="V4382">
        <f t="shared" si="493"/>
        <v>57.0166666666667</v>
      </c>
      <c r="W4382">
        <f t="shared" si="496"/>
        <v>7976.65666666667</v>
      </c>
      <c r="X4382">
        <f t="shared" si="494"/>
        <v>0.141105437826212</v>
      </c>
      <c r="AH4382" t="str">
        <f t="shared" si="497"/>
        <v>2nd Quality</v>
      </c>
      <c r="AJ4382">
        <f>((T4382-X4382)*2)/5.4</f>
        <v>257.355819534812</v>
      </c>
      <c r="AK4382">
        <f t="shared" si="495"/>
        <v>847207.216363636</v>
      </c>
    </row>
    <row r="4383" spans="1:37">
      <c r="A4383" t="s">
        <v>4449</v>
      </c>
      <c r="B4383">
        <v>24</v>
      </c>
      <c r="C4383" t="s">
        <v>50</v>
      </c>
      <c r="D4383" t="s">
        <v>60</v>
      </c>
      <c r="E4383">
        <v>574</v>
      </c>
      <c r="F4383">
        <v>63</v>
      </c>
      <c r="G4383">
        <v>5</v>
      </c>
      <c r="H4383">
        <v>849.18</v>
      </c>
      <c r="I4383">
        <v>4229</v>
      </c>
      <c r="J4383">
        <v>42</v>
      </c>
      <c r="K4383">
        <v>1</v>
      </c>
      <c r="L4383">
        <v>8.4</v>
      </c>
      <c r="M4383">
        <v>28.4</v>
      </c>
      <c r="N4383" t="s">
        <v>46</v>
      </c>
      <c r="O4383" t="s">
        <v>47</v>
      </c>
      <c r="P4383" t="s">
        <v>68</v>
      </c>
      <c r="R4383">
        <f>SUMIF(A4383:A9382,"C04382",I4383:I9382)</f>
        <v>4229</v>
      </c>
      <c r="S4383" s="1">
        <v>2440.35</v>
      </c>
      <c r="T4383">
        <f t="shared" si="492"/>
        <v>100.690476190476</v>
      </c>
      <c r="U4383">
        <f t="shared" si="491"/>
        <v>1192.8</v>
      </c>
      <c r="V4383">
        <f>U4383*1</f>
        <v>1192.8</v>
      </c>
      <c r="W4383">
        <f t="shared" si="496"/>
        <v>1693.06</v>
      </c>
      <c r="X4383">
        <f t="shared" si="494"/>
        <v>0.675946206929038</v>
      </c>
      <c r="AH4383" t="str">
        <f t="shared" si="497"/>
        <v>3rd Quality</v>
      </c>
      <c r="AJ4383">
        <f>((T4383-X4383)*2)/8.4</f>
        <v>23.8129833294159</v>
      </c>
      <c r="AK4383">
        <f t="shared" si="495"/>
        <v>57796.3333333333</v>
      </c>
    </row>
    <row r="4384" spans="1:37">
      <c r="A4384" t="s">
        <v>4450</v>
      </c>
      <c r="B4384">
        <v>45</v>
      </c>
      <c r="C4384" t="s">
        <v>44</v>
      </c>
      <c r="D4384" t="s">
        <v>60</v>
      </c>
      <c r="E4384">
        <v>806</v>
      </c>
      <c r="F4384">
        <v>39</v>
      </c>
      <c r="G4384">
        <v>7</v>
      </c>
      <c r="H4384">
        <v>714.7</v>
      </c>
      <c r="I4384">
        <v>4855.61</v>
      </c>
      <c r="J4384">
        <v>58</v>
      </c>
      <c r="K4384">
        <v>1</v>
      </c>
      <c r="L4384">
        <v>14.8</v>
      </c>
      <c r="M4384">
        <v>18.2</v>
      </c>
      <c r="N4384" t="s">
        <v>63</v>
      </c>
      <c r="O4384" t="s">
        <v>53</v>
      </c>
      <c r="P4384" t="s">
        <v>58</v>
      </c>
      <c r="R4384">
        <f>SUMIF(A4384:A9383,"C04383",I4384:I9383)</f>
        <v>4855.61</v>
      </c>
      <c r="S4384" s="1">
        <v>2266.27</v>
      </c>
      <c r="T4384">
        <f t="shared" si="492"/>
        <v>83.7174137931034</v>
      </c>
      <c r="U4384">
        <f t="shared" si="491"/>
        <v>1055.6</v>
      </c>
      <c r="V4384">
        <f>U4384*1</f>
        <v>1055.6</v>
      </c>
      <c r="W4384">
        <f t="shared" si="496"/>
        <v>1857.10333333333</v>
      </c>
      <c r="X4384">
        <f t="shared" si="494"/>
        <v>1.12774590737372</v>
      </c>
      <c r="AH4384" t="str">
        <f t="shared" si="497"/>
        <v>3rd Quality</v>
      </c>
      <c r="AJ4384">
        <f>((T4384-X4384)*2)/14.8</f>
        <v>11.160765930504</v>
      </c>
      <c r="AK4384">
        <f t="shared" si="495"/>
        <v>67476.2355172414</v>
      </c>
    </row>
    <row r="4385" spans="1:37">
      <c r="A4385" t="s">
        <v>4451</v>
      </c>
      <c r="B4385">
        <v>31</v>
      </c>
      <c r="C4385" t="s">
        <v>56</v>
      </c>
      <c r="D4385" t="s">
        <v>45</v>
      </c>
      <c r="E4385">
        <v>931</v>
      </c>
      <c r="F4385">
        <v>32</v>
      </c>
      <c r="G4385">
        <v>5</v>
      </c>
      <c r="H4385">
        <v>1554.24</v>
      </c>
      <c r="I4385">
        <v>6863.85</v>
      </c>
      <c r="J4385">
        <v>33</v>
      </c>
      <c r="K4385">
        <v>0</v>
      </c>
      <c r="L4385">
        <v>28.7</v>
      </c>
      <c r="M4385">
        <v>59</v>
      </c>
      <c r="N4385" t="s">
        <v>57</v>
      </c>
      <c r="O4385" t="s">
        <v>53</v>
      </c>
      <c r="P4385" t="s">
        <v>58</v>
      </c>
      <c r="R4385">
        <f>SUMIF(A4385:A9384,"C04384",I4385:I9384)</f>
        <v>6863.85</v>
      </c>
      <c r="S4385" s="1">
        <v>9816.92</v>
      </c>
      <c r="T4385">
        <f t="shared" si="492"/>
        <v>207.995454545455</v>
      </c>
      <c r="U4385">
        <f t="shared" si="491"/>
        <v>1947</v>
      </c>
      <c r="V4385">
        <f t="shared" si="493"/>
        <v>162.25</v>
      </c>
      <c r="W4385">
        <f t="shared" si="496"/>
        <v>2806.36333333333</v>
      </c>
      <c r="X4385">
        <f t="shared" si="494"/>
        <v>0.599006588429071</v>
      </c>
      <c r="AH4385" t="str">
        <f t="shared" si="497"/>
        <v>3rd Quality</v>
      </c>
      <c r="AJ4385">
        <f>((T4385-X4385)*2)/28.7</f>
        <v>14.4527141433468</v>
      </c>
      <c r="AK4385">
        <f t="shared" si="495"/>
        <v>193643.768181818</v>
      </c>
    </row>
    <row r="4386" spans="1:37">
      <c r="A4386" t="s">
        <v>4452</v>
      </c>
      <c r="B4386">
        <v>44</v>
      </c>
      <c r="C4386" t="s">
        <v>44</v>
      </c>
      <c r="D4386" t="s">
        <v>60</v>
      </c>
      <c r="E4386">
        <v>970</v>
      </c>
      <c r="F4386">
        <v>45</v>
      </c>
      <c r="G4386">
        <v>3</v>
      </c>
      <c r="H4386">
        <v>790.17</v>
      </c>
      <c r="I4386">
        <v>2440.35</v>
      </c>
      <c r="J4386">
        <v>20</v>
      </c>
      <c r="K4386">
        <v>0</v>
      </c>
      <c r="L4386">
        <v>38.5</v>
      </c>
      <c r="M4386">
        <v>20.3</v>
      </c>
      <c r="N4386" t="s">
        <v>57</v>
      </c>
      <c r="O4386" t="s">
        <v>75</v>
      </c>
      <c r="P4386" t="s">
        <v>48</v>
      </c>
      <c r="R4386">
        <f>SUMIF(A4386:A9385,"C04385",I4386:I9385)</f>
        <v>2440.35</v>
      </c>
      <c r="S4386" s="1">
        <v>50681.22</v>
      </c>
      <c r="T4386">
        <f t="shared" si="492"/>
        <v>122.0175</v>
      </c>
      <c r="U4386">
        <f t="shared" ref="U4386:U4449" si="498">J4386*M4386</f>
        <v>406</v>
      </c>
      <c r="V4386">
        <f t="shared" si="493"/>
        <v>33.8333333333333</v>
      </c>
      <c r="W4386">
        <f t="shared" si="496"/>
        <v>1077.17333333333</v>
      </c>
      <c r="X4386">
        <f t="shared" si="494"/>
        <v>1.22758393763367</v>
      </c>
      <c r="AH4386" t="str">
        <f t="shared" si="497"/>
        <v>3rd Quality</v>
      </c>
      <c r="AJ4386">
        <f>((T4386-X4386)*2)/38.5</f>
        <v>6.27480083440864</v>
      </c>
      <c r="AK4386">
        <f t="shared" si="495"/>
        <v>118356.975</v>
      </c>
    </row>
    <row r="4387" spans="1:37">
      <c r="A4387" t="s">
        <v>4453</v>
      </c>
      <c r="B4387">
        <v>42</v>
      </c>
      <c r="C4387" t="s">
        <v>44</v>
      </c>
      <c r="D4387" t="s">
        <v>60</v>
      </c>
      <c r="E4387">
        <v>1253</v>
      </c>
      <c r="F4387">
        <v>99</v>
      </c>
      <c r="G4387">
        <v>1</v>
      </c>
      <c r="H4387">
        <v>2372.76</v>
      </c>
      <c r="I4387">
        <v>2266.27</v>
      </c>
      <c r="J4387">
        <v>16</v>
      </c>
      <c r="K4387">
        <v>0</v>
      </c>
      <c r="L4387">
        <v>18</v>
      </c>
      <c r="M4387">
        <v>14.4</v>
      </c>
      <c r="N4387" t="s">
        <v>63</v>
      </c>
      <c r="O4387" t="s">
        <v>47</v>
      </c>
      <c r="P4387" t="s">
        <v>68</v>
      </c>
      <c r="R4387">
        <f>SUMIF(A4387:A9386,"C04386",I4387:I9386)</f>
        <v>2266.27</v>
      </c>
      <c r="S4387" s="1">
        <v>3724.33</v>
      </c>
      <c r="T4387">
        <f t="shared" si="492"/>
        <v>141.641875</v>
      </c>
      <c r="U4387">
        <f t="shared" si="498"/>
        <v>230.4</v>
      </c>
      <c r="V4387">
        <f t="shared" si="493"/>
        <v>19.2</v>
      </c>
      <c r="W4387">
        <f t="shared" si="496"/>
        <v>1546.67666666667</v>
      </c>
      <c r="X4387">
        <f t="shared" si="494"/>
        <v>0.528077007366948</v>
      </c>
      <c r="AH4387" t="str">
        <f t="shared" si="497"/>
        <v>3rd Quality</v>
      </c>
      <c r="AJ4387">
        <f>((T4387-X4387)*2)/18</f>
        <v>15.6793108880703</v>
      </c>
      <c r="AK4387">
        <f t="shared" si="495"/>
        <v>177477.269375</v>
      </c>
    </row>
    <row r="4388" spans="1:37">
      <c r="A4388" t="s">
        <v>4454</v>
      </c>
      <c r="B4388">
        <v>37</v>
      </c>
      <c r="C4388" t="s">
        <v>44</v>
      </c>
      <c r="D4388" t="s">
        <v>45</v>
      </c>
      <c r="E4388">
        <v>1411</v>
      </c>
      <c r="F4388">
        <v>65</v>
      </c>
      <c r="G4388">
        <v>10</v>
      </c>
      <c r="H4388">
        <v>962.66</v>
      </c>
      <c r="I4388">
        <v>9816.92</v>
      </c>
      <c r="J4388">
        <v>36</v>
      </c>
      <c r="K4388">
        <v>0</v>
      </c>
      <c r="L4388">
        <v>29.5</v>
      </c>
      <c r="M4388">
        <v>36.1</v>
      </c>
      <c r="N4388" t="s">
        <v>57</v>
      </c>
      <c r="O4388" t="s">
        <v>47</v>
      </c>
      <c r="P4388" t="s">
        <v>58</v>
      </c>
      <c r="R4388">
        <f>SUMIF(A4388:A9387,"C04387",I4388:I9387)</f>
        <v>9816.92</v>
      </c>
      <c r="S4388" s="1">
        <v>59491.28</v>
      </c>
      <c r="T4388">
        <f t="shared" si="492"/>
        <v>272.692222222222</v>
      </c>
      <c r="U4388">
        <f t="shared" si="498"/>
        <v>1299.6</v>
      </c>
      <c r="V4388">
        <f t="shared" si="493"/>
        <v>108.3</v>
      </c>
      <c r="W4388">
        <f t="shared" si="496"/>
        <v>3593.52666666667</v>
      </c>
      <c r="X4388">
        <f t="shared" si="494"/>
        <v>1.46573037209399</v>
      </c>
      <c r="AH4388" t="str">
        <f t="shared" si="497"/>
        <v>3rd Quality</v>
      </c>
      <c r="AJ4388">
        <f>((T4388-X4388)*2)/29.5</f>
        <v>18.3882367356019</v>
      </c>
      <c r="AK4388">
        <f t="shared" si="495"/>
        <v>384768.725555556</v>
      </c>
    </row>
    <row r="4389" spans="1:37">
      <c r="A4389" t="s">
        <v>4455</v>
      </c>
      <c r="B4389">
        <v>37</v>
      </c>
      <c r="C4389" t="s">
        <v>50</v>
      </c>
      <c r="D4389" t="s">
        <v>51</v>
      </c>
      <c r="E4389">
        <v>809</v>
      </c>
      <c r="F4389">
        <v>12</v>
      </c>
      <c r="G4389">
        <v>22</v>
      </c>
      <c r="H4389">
        <v>2108.41</v>
      </c>
      <c r="I4389">
        <v>50681.22</v>
      </c>
      <c r="J4389">
        <v>53</v>
      </c>
      <c r="K4389">
        <v>1</v>
      </c>
      <c r="L4389">
        <v>9.7</v>
      </c>
      <c r="M4389">
        <v>24</v>
      </c>
      <c r="N4389" t="s">
        <v>81</v>
      </c>
      <c r="O4389" t="s">
        <v>47</v>
      </c>
      <c r="P4389" t="s">
        <v>66</v>
      </c>
      <c r="R4389">
        <f>SUMIF(A4389:A9388,"C04388",I4389:I9388)</f>
        <v>50681.22</v>
      </c>
      <c r="S4389" s="1">
        <v>109978.38</v>
      </c>
      <c r="T4389">
        <f t="shared" si="492"/>
        <v>956.249433962264</v>
      </c>
      <c r="U4389">
        <f t="shared" si="498"/>
        <v>1272</v>
      </c>
      <c r="V4389">
        <f>U4389*1</f>
        <v>1272</v>
      </c>
      <c r="W4389">
        <f t="shared" si="496"/>
        <v>17596.8766666667</v>
      </c>
      <c r="X4389">
        <f t="shared" si="494"/>
        <v>0.383701462239318</v>
      </c>
      <c r="AH4389" t="str">
        <f t="shared" si="497"/>
        <v>2nd Quality</v>
      </c>
      <c r="AJ4389">
        <f>((T4389-X4389)*2)/9.7</f>
        <v>197.085718041242</v>
      </c>
      <c r="AK4389">
        <f t="shared" si="495"/>
        <v>773605.792075472</v>
      </c>
    </row>
    <row r="4390" spans="1:37">
      <c r="A4390" t="s">
        <v>4456</v>
      </c>
      <c r="B4390">
        <v>23</v>
      </c>
      <c r="C4390" t="s">
        <v>44</v>
      </c>
      <c r="D4390" t="s">
        <v>60</v>
      </c>
      <c r="E4390">
        <v>1019</v>
      </c>
      <c r="F4390">
        <v>172</v>
      </c>
      <c r="G4390">
        <v>3</v>
      </c>
      <c r="H4390">
        <v>1141.6</v>
      </c>
      <c r="I4390">
        <v>3724.33</v>
      </c>
      <c r="J4390">
        <v>17</v>
      </c>
      <c r="K4390">
        <v>0</v>
      </c>
      <c r="L4390">
        <v>24.2</v>
      </c>
      <c r="M4390">
        <v>17.8</v>
      </c>
      <c r="N4390" t="s">
        <v>81</v>
      </c>
      <c r="O4390" t="s">
        <v>47</v>
      </c>
      <c r="P4390" t="s">
        <v>68</v>
      </c>
      <c r="R4390">
        <f>SUMIF(A4390:A9389,"C04389",I4390:I9389)</f>
        <v>3724.33</v>
      </c>
      <c r="S4390" s="1">
        <v>3471.05</v>
      </c>
      <c r="T4390">
        <f t="shared" si="492"/>
        <v>219.078235294118</v>
      </c>
      <c r="U4390">
        <f t="shared" si="498"/>
        <v>302.6</v>
      </c>
      <c r="V4390">
        <f t="shared" si="493"/>
        <v>25.2166666666667</v>
      </c>
      <c r="W4390">
        <f t="shared" si="496"/>
        <v>1622.31</v>
      </c>
      <c r="X4390">
        <f t="shared" si="494"/>
        <v>0.89260686755431</v>
      </c>
      <c r="AH4390" t="str">
        <f t="shared" si="497"/>
        <v>3rd Quality</v>
      </c>
      <c r="AJ4390">
        <f>((T4390-X4390)*2)/24.2</f>
        <v>18.0318701178978</v>
      </c>
      <c r="AK4390">
        <f t="shared" si="495"/>
        <v>223240.721764706</v>
      </c>
    </row>
    <row r="4391" spans="1:37">
      <c r="A4391" t="s">
        <v>4457</v>
      </c>
      <c r="B4391">
        <v>23</v>
      </c>
      <c r="C4391" t="s">
        <v>50</v>
      </c>
      <c r="D4391" t="s">
        <v>45</v>
      </c>
      <c r="E4391">
        <v>1382</v>
      </c>
      <c r="F4391">
        <v>18</v>
      </c>
      <c r="G4391">
        <v>7</v>
      </c>
      <c r="H4391">
        <v>8491.48</v>
      </c>
      <c r="I4391">
        <v>59491.28</v>
      </c>
      <c r="J4391">
        <v>42</v>
      </c>
      <c r="K4391">
        <v>0</v>
      </c>
      <c r="L4391">
        <v>21.9</v>
      </c>
      <c r="M4391">
        <v>11.7</v>
      </c>
      <c r="N4391" t="s">
        <v>57</v>
      </c>
      <c r="O4391" t="s">
        <v>47</v>
      </c>
      <c r="P4391" t="s">
        <v>66</v>
      </c>
      <c r="R4391">
        <f>SUMIF(A4391:A9390,"C04390",I4391:I9390)</f>
        <v>59491.28</v>
      </c>
      <c r="S4391" s="1">
        <v>113276.8</v>
      </c>
      <c r="T4391">
        <f t="shared" ref="T4391:T4454" si="499">I4391/J4391</f>
        <v>1416.45904761905</v>
      </c>
      <c r="U4391">
        <f t="shared" si="498"/>
        <v>491.4</v>
      </c>
      <c r="V4391">
        <f t="shared" si="493"/>
        <v>40.95</v>
      </c>
      <c r="W4391">
        <f t="shared" si="496"/>
        <v>22661.2533333333</v>
      </c>
      <c r="X4391">
        <f t="shared" si="494"/>
        <v>0.162751369608125</v>
      </c>
      <c r="AH4391" t="str">
        <f t="shared" si="497"/>
        <v>1st Quality</v>
      </c>
      <c r="AJ4391">
        <f>((T4391-X4391)*2)/21.9</f>
        <v>129.342127511365</v>
      </c>
      <c r="AK4391">
        <f t="shared" si="495"/>
        <v>1957546.40380952</v>
      </c>
    </row>
    <row r="4392" spans="1:37">
      <c r="A4392" t="s">
        <v>4458</v>
      </c>
      <c r="B4392">
        <v>18</v>
      </c>
      <c r="C4392" t="s">
        <v>50</v>
      </c>
      <c r="D4392" t="s">
        <v>45</v>
      </c>
      <c r="E4392">
        <v>1030</v>
      </c>
      <c r="F4392">
        <v>21</v>
      </c>
      <c r="G4392">
        <v>25</v>
      </c>
      <c r="H4392">
        <v>4429.69</v>
      </c>
      <c r="I4392">
        <v>109978.38</v>
      </c>
      <c r="J4392">
        <v>135</v>
      </c>
      <c r="K4392">
        <v>0</v>
      </c>
      <c r="L4392">
        <v>0</v>
      </c>
      <c r="M4392">
        <v>35.8</v>
      </c>
      <c r="N4392" t="s">
        <v>57</v>
      </c>
      <c r="O4392" t="s">
        <v>53</v>
      </c>
      <c r="P4392" t="s">
        <v>66</v>
      </c>
      <c r="R4392">
        <f>SUMIF(A4392:A9391,"C04391",I4392:I9391)</f>
        <v>109978.38</v>
      </c>
      <c r="S4392" s="1">
        <v>72226.4</v>
      </c>
      <c r="T4392">
        <f t="shared" si="499"/>
        <v>814.654666666667</v>
      </c>
      <c r="U4392">
        <f t="shared" si="498"/>
        <v>4833</v>
      </c>
      <c r="V4392">
        <f t="shared" si="493"/>
        <v>402.75</v>
      </c>
      <c r="W4392">
        <f t="shared" si="496"/>
        <v>38136.3566666667</v>
      </c>
      <c r="X4392">
        <f t="shared" si="494"/>
        <v>0.23252191462608</v>
      </c>
      <c r="AH4392" t="str">
        <f t="shared" si="497"/>
        <v>1st Quality</v>
      </c>
      <c r="AJ4392">
        <f>((T4392-X4392)*2)</f>
        <v>1628.84428950408</v>
      </c>
      <c r="AK4392">
        <f t="shared" si="495"/>
        <v>839094.306666667</v>
      </c>
    </row>
    <row r="4393" spans="1:37">
      <c r="A4393" t="s">
        <v>4459</v>
      </c>
      <c r="B4393">
        <v>25</v>
      </c>
      <c r="C4393" t="s">
        <v>44</v>
      </c>
      <c r="D4393" t="s">
        <v>51</v>
      </c>
      <c r="E4393">
        <v>422</v>
      </c>
      <c r="F4393">
        <v>246</v>
      </c>
      <c r="G4393">
        <v>4</v>
      </c>
      <c r="H4393">
        <v>860.88</v>
      </c>
      <c r="I4393">
        <v>3471.05</v>
      </c>
      <c r="J4393">
        <v>20</v>
      </c>
      <c r="K4393">
        <v>0</v>
      </c>
      <c r="L4393">
        <v>32.4</v>
      </c>
      <c r="M4393">
        <v>38.4</v>
      </c>
      <c r="N4393" t="s">
        <v>46</v>
      </c>
      <c r="O4393" t="s">
        <v>47</v>
      </c>
      <c r="P4393" t="s">
        <v>58</v>
      </c>
      <c r="R4393">
        <f>SUMIF(A4393:A9392,"C04392",I4393:I9392)</f>
        <v>3471.05</v>
      </c>
      <c r="S4393" s="1">
        <v>7239.17</v>
      </c>
      <c r="T4393">
        <f t="shared" si="499"/>
        <v>173.5525</v>
      </c>
      <c r="U4393">
        <f t="shared" si="498"/>
        <v>768</v>
      </c>
      <c r="V4393">
        <f t="shared" si="493"/>
        <v>64</v>
      </c>
      <c r="W4393">
        <f t="shared" si="496"/>
        <v>1444.31</v>
      </c>
      <c r="X4393">
        <f t="shared" si="494"/>
        <v>0.490196078431373</v>
      </c>
      <c r="AH4393" t="str">
        <f t="shared" si="497"/>
        <v>3rd Quality</v>
      </c>
      <c r="AJ4393">
        <f>((T4393-X4393)*2)/32.4</f>
        <v>10.6828582667635</v>
      </c>
      <c r="AK4393">
        <f t="shared" si="495"/>
        <v>73239.155</v>
      </c>
    </row>
    <row r="4394" spans="1:37">
      <c r="A4394" t="s">
        <v>4460</v>
      </c>
      <c r="B4394">
        <v>24</v>
      </c>
      <c r="C4394" t="s">
        <v>50</v>
      </c>
      <c r="D4394" t="s">
        <v>60</v>
      </c>
      <c r="E4394">
        <v>707</v>
      </c>
      <c r="F4394">
        <v>9</v>
      </c>
      <c r="G4394">
        <v>6</v>
      </c>
      <c r="H4394">
        <v>19389.86</v>
      </c>
      <c r="I4394">
        <v>113276.8</v>
      </c>
      <c r="J4394">
        <v>55</v>
      </c>
      <c r="K4394">
        <v>0</v>
      </c>
      <c r="L4394">
        <v>1.9</v>
      </c>
      <c r="M4394">
        <v>40</v>
      </c>
      <c r="N4394" t="s">
        <v>78</v>
      </c>
      <c r="O4394" t="s">
        <v>47</v>
      </c>
      <c r="P4394" t="s">
        <v>48</v>
      </c>
      <c r="R4394">
        <f>SUMIF(A4394:A9393,"C04393",I4394:I9393)</f>
        <v>113276.8</v>
      </c>
      <c r="S4394" s="1">
        <v>8047.29</v>
      </c>
      <c r="T4394">
        <f t="shared" si="499"/>
        <v>2059.57818181818</v>
      </c>
      <c r="U4394">
        <f t="shared" si="498"/>
        <v>2200</v>
      </c>
      <c r="V4394">
        <f t="shared" si="493"/>
        <v>183.333333333333</v>
      </c>
      <c r="W4394">
        <f t="shared" si="496"/>
        <v>44222.5533333333</v>
      </c>
      <c r="X4394">
        <f t="shared" si="494"/>
        <v>0.0364623571289323</v>
      </c>
      <c r="AH4394" t="str">
        <f t="shared" si="497"/>
        <v>2nd Quality</v>
      </c>
      <c r="AJ4394">
        <f>((T4394-X4394)*2)/1.9</f>
        <v>2167.93865206426</v>
      </c>
      <c r="AK4394">
        <f t="shared" si="495"/>
        <v>1456121.77454545</v>
      </c>
    </row>
    <row r="4395" spans="1:37">
      <c r="A4395" t="s">
        <v>4461</v>
      </c>
      <c r="B4395">
        <v>42</v>
      </c>
      <c r="C4395" t="s">
        <v>44</v>
      </c>
      <c r="D4395" t="s">
        <v>45</v>
      </c>
      <c r="E4395">
        <v>1095</v>
      </c>
      <c r="F4395">
        <v>9</v>
      </c>
      <c r="G4395">
        <v>6</v>
      </c>
      <c r="H4395">
        <v>12660.33</v>
      </c>
      <c r="I4395">
        <v>72226.4</v>
      </c>
      <c r="J4395">
        <v>32</v>
      </c>
      <c r="K4395">
        <v>0</v>
      </c>
      <c r="L4395">
        <v>5</v>
      </c>
      <c r="M4395">
        <v>7.3</v>
      </c>
      <c r="N4395" t="s">
        <v>61</v>
      </c>
      <c r="O4395" t="s">
        <v>47</v>
      </c>
      <c r="P4395" t="s">
        <v>58</v>
      </c>
      <c r="R4395">
        <f>SUMIF(A4395:A9394,"C04394",I4395:I9394)</f>
        <v>72226.4</v>
      </c>
      <c r="S4395" s="1">
        <v>77438.53</v>
      </c>
      <c r="T4395">
        <f t="shared" si="499"/>
        <v>2257.075</v>
      </c>
      <c r="U4395">
        <f t="shared" si="498"/>
        <v>233.6</v>
      </c>
      <c r="V4395">
        <f t="shared" si="493"/>
        <v>19.4666666666667</v>
      </c>
      <c r="W4395">
        <f t="shared" si="496"/>
        <v>28295.91</v>
      </c>
      <c r="X4395">
        <f t="shared" si="494"/>
        <v>0.0864906364999964</v>
      </c>
      <c r="AH4395" t="str">
        <f t="shared" si="497"/>
        <v>2nd Quality</v>
      </c>
      <c r="AJ4395">
        <f>((T4395-X4395)*2)/5</f>
        <v>902.7954037454</v>
      </c>
      <c r="AK4395">
        <f t="shared" si="495"/>
        <v>2471497.125</v>
      </c>
    </row>
    <row r="4396" spans="1:37">
      <c r="A4396" t="s">
        <v>4462</v>
      </c>
      <c r="B4396">
        <v>43</v>
      </c>
      <c r="C4396" t="s">
        <v>50</v>
      </c>
      <c r="D4396" t="s">
        <v>45</v>
      </c>
      <c r="E4396">
        <v>1445</v>
      </c>
      <c r="F4396">
        <v>56</v>
      </c>
      <c r="G4396">
        <v>5</v>
      </c>
      <c r="H4396">
        <v>1577.45</v>
      </c>
      <c r="I4396">
        <v>7239.17</v>
      </c>
      <c r="J4396">
        <v>33</v>
      </c>
      <c r="K4396">
        <v>0</v>
      </c>
      <c r="L4396">
        <v>33.6</v>
      </c>
      <c r="M4396">
        <v>19</v>
      </c>
      <c r="N4396" t="s">
        <v>81</v>
      </c>
      <c r="O4396" t="s">
        <v>47</v>
      </c>
      <c r="P4396" t="s">
        <v>66</v>
      </c>
      <c r="R4396">
        <f>SUMIF(A4396:A9395,"C04395",I4396:I9395)</f>
        <v>7239.17</v>
      </c>
      <c r="S4396" s="1">
        <v>438.37</v>
      </c>
      <c r="T4396">
        <f t="shared" si="499"/>
        <v>219.368787878788</v>
      </c>
      <c r="U4396">
        <f t="shared" si="498"/>
        <v>627</v>
      </c>
      <c r="V4396">
        <f t="shared" si="493"/>
        <v>52.25</v>
      </c>
      <c r="W4396">
        <f t="shared" si="496"/>
        <v>2939.20666666667</v>
      </c>
      <c r="X4396">
        <f t="shared" si="494"/>
        <v>0.916035373545913</v>
      </c>
      <c r="AH4396" t="str">
        <f t="shared" si="497"/>
        <v>3rd Quality</v>
      </c>
      <c r="AJ4396">
        <f>((T4396-X4396)*2)/33.6</f>
        <v>13.0031400300739</v>
      </c>
      <c r="AK4396">
        <f t="shared" si="495"/>
        <v>316987.898484848</v>
      </c>
    </row>
    <row r="4397" spans="1:37">
      <c r="A4397" t="s">
        <v>4463</v>
      </c>
      <c r="B4397">
        <v>32</v>
      </c>
      <c r="C4397" t="s">
        <v>50</v>
      </c>
      <c r="D4397" t="s">
        <v>60</v>
      </c>
      <c r="E4397">
        <v>624</v>
      </c>
      <c r="F4397">
        <v>37</v>
      </c>
      <c r="G4397">
        <v>4</v>
      </c>
      <c r="H4397">
        <v>1829.56</v>
      </c>
      <c r="I4397">
        <v>8047.29</v>
      </c>
      <c r="J4397">
        <v>28</v>
      </c>
      <c r="K4397">
        <v>0</v>
      </c>
      <c r="L4397">
        <v>22.8</v>
      </c>
      <c r="M4397">
        <v>5.6</v>
      </c>
      <c r="N4397" t="s">
        <v>57</v>
      </c>
      <c r="O4397" t="s">
        <v>47</v>
      </c>
      <c r="P4397" t="s">
        <v>54</v>
      </c>
      <c r="R4397">
        <f>SUMIF(A4397:A9396,"C04396",I4397:I9396)</f>
        <v>8047.29</v>
      </c>
      <c r="S4397" s="1">
        <v>77661.29</v>
      </c>
      <c r="T4397">
        <f t="shared" si="499"/>
        <v>287.403214285714</v>
      </c>
      <c r="U4397">
        <f t="shared" si="498"/>
        <v>156.8</v>
      </c>
      <c r="V4397">
        <f t="shared" si="493"/>
        <v>13.0666666666667</v>
      </c>
      <c r="W4397">
        <f t="shared" si="496"/>
        <v>3292.61666666667</v>
      </c>
      <c r="X4397">
        <f t="shared" si="494"/>
        <v>0.341065611403835</v>
      </c>
      <c r="AH4397" t="str">
        <f t="shared" si="497"/>
        <v>3rd Quality</v>
      </c>
      <c r="AJ4397">
        <f>((T4397-X4397)*2)/22.8</f>
        <v>25.1808902345886</v>
      </c>
      <c r="AK4397">
        <f t="shared" si="495"/>
        <v>179339.605714286</v>
      </c>
    </row>
    <row r="4398" spans="1:37">
      <c r="A4398" t="s">
        <v>4464</v>
      </c>
      <c r="B4398">
        <v>38</v>
      </c>
      <c r="C4398" t="s">
        <v>44</v>
      </c>
      <c r="D4398" t="s">
        <v>60</v>
      </c>
      <c r="E4398">
        <v>605</v>
      </c>
      <c r="F4398">
        <v>8</v>
      </c>
      <c r="G4398">
        <v>30</v>
      </c>
      <c r="H4398">
        <v>2884.78</v>
      </c>
      <c r="I4398">
        <v>77438.53</v>
      </c>
      <c r="J4398">
        <v>97</v>
      </c>
      <c r="K4398">
        <v>0</v>
      </c>
      <c r="L4398">
        <v>7.2</v>
      </c>
      <c r="M4398">
        <v>39</v>
      </c>
      <c r="N4398" t="s">
        <v>46</v>
      </c>
      <c r="O4398" t="s">
        <v>47</v>
      </c>
      <c r="P4398" t="s">
        <v>68</v>
      </c>
      <c r="R4398">
        <f>SUMIF(A4398:A9397,"C04397",I4398:I9397)</f>
        <v>77438.53</v>
      </c>
      <c r="S4398" s="1">
        <v>3180.3</v>
      </c>
      <c r="T4398">
        <f t="shared" si="499"/>
        <v>798.335360824742</v>
      </c>
      <c r="U4398">
        <f t="shared" si="498"/>
        <v>3783</v>
      </c>
      <c r="V4398">
        <f t="shared" si="493"/>
        <v>315.25</v>
      </c>
      <c r="W4398">
        <f t="shared" si="496"/>
        <v>26774.77</v>
      </c>
      <c r="X4398">
        <f t="shared" si="494"/>
        <v>0.209721365234091</v>
      </c>
      <c r="AH4398" t="str">
        <f t="shared" si="497"/>
        <v>2nd Quality</v>
      </c>
      <c r="AJ4398">
        <f>((T4398-X4398)*2)/7.2</f>
        <v>221.70156651653</v>
      </c>
      <c r="AK4398">
        <f t="shared" si="495"/>
        <v>482992.893298969</v>
      </c>
    </row>
    <row r="4399" spans="1:37">
      <c r="A4399" t="s">
        <v>4465</v>
      </c>
      <c r="B4399">
        <v>22</v>
      </c>
      <c r="C4399" t="s">
        <v>44</v>
      </c>
      <c r="D4399" t="s">
        <v>51</v>
      </c>
      <c r="E4399">
        <v>1077</v>
      </c>
      <c r="F4399">
        <v>165</v>
      </c>
      <c r="G4399">
        <v>1</v>
      </c>
      <c r="H4399">
        <v>455.29</v>
      </c>
      <c r="I4399">
        <v>438.37</v>
      </c>
      <c r="J4399">
        <v>13</v>
      </c>
      <c r="K4399">
        <v>0</v>
      </c>
      <c r="L4399">
        <v>25.6</v>
      </c>
      <c r="M4399">
        <v>72.4</v>
      </c>
      <c r="N4399" t="s">
        <v>63</v>
      </c>
      <c r="O4399" t="s">
        <v>47</v>
      </c>
      <c r="P4399" t="s">
        <v>66</v>
      </c>
      <c r="R4399">
        <f>SUMIF(A4399:A9398,"C04398",I4399:I9398)</f>
        <v>438.37</v>
      </c>
      <c r="S4399" s="1">
        <v>1312.09</v>
      </c>
      <c r="T4399">
        <f t="shared" si="499"/>
        <v>33.7207692307692</v>
      </c>
      <c r="U4399">
        <f t="shared" si="498"/>
        <v>941.2</v>
      </c>
      <c r="V4399">
        <f t="shared" si="493"/>
        <v>78.4333333333333</v>
      </c>
      <c r="W4399">
        <f t="shared" si="496"/>
        <v>298.22</v>
      </c>
      <c r="X4399">
        <f t="shared" si="494"/>
        <v>2.36552526960838</v>
      </c>
      <c r="AH4399" t="str">
        <f t="shared" si="497"/>
        <v>3rd Quality</v>
      </c>
      <c r="AJ4399">
        <f>((T4399-X4399)*2)/25.6</f>
        <v>2.44962843446569</v>
      </c>
      <c r="AK4399">
        <f t="shared" si="495"/>
        <v>36317.2684615385</v>
      </c>
    </row>
    <row r="4400" spans="1:37">
      <c r="A4400" t="s">
        <v>4466</v>
      </c>
      <c r="B4400">
        <v>30</v>
      </c>
      <c r="C4400" t="s">
        <v>50</v>
      </c>
      <c r="D4400" t="s">
        <v>60</v>
      </c>
      <c r="E4400">
        <v>496</v>
      </c>
      <c r="F4400">
        <v>5</v>
      </c>
      <c r="G4400">
        <v>23</v>
      </c>
      <c r="H4400">
        <v>3670.41</v>
      </c>
      <c r="I4400">
        <v>77661.29</v>
      </c>
      <c r="J4400">
        <v>79</v>
      </c>
      <c r="K4400">
        <v>0</v>
      </c>
      <c r="L4400">
        <v>13.4</v>
      </c>
      <c r="M4400">
        <v>37.6</v>
      </c>
      <c r="N4400" t="s">
        <v>61</v>
      </c>
      <c r="O4400" t="s">
        <v>75</v>
      </c>
      <c r="P4400" t="s">
        <v>48</v>
      </c>
      <c r="R4400">
        <f>SUMIF(A4400:A9399,"C04399",I4400:I9399)</f>
        <v>77661.29</v>
      </c>
      <c r="S4400" s="1">
        <v>4020.58</v>
      </c>
      <c r="T4400">
        <f t="shared" si="499"/>
        <v>983.054303797468</v>
      </c>
      <c r="U4400">
        <f t="shared" si="498"/>
        <v>2970.4</v>
      </c>
      <c r="V4400">
        <f t="shared" si="493"/>
        <v>247.533333333333</v>
      </c>
      <c r="W4400">
        <f t="shared" si="496"/>
        <v>27110.9</v>
      </c>
      <c r="X4400">
        <f t="shared" si="494"/>
        <v>0.135134766960639</v>
      </c>
      <c r="AH4400" t="str">
        <f t="shared" si="497"/>
        <v>2nd Quality</v>
      </c>
      <c r="AJ4400">
        <f>((T4400-X4400)*2)/13.4</f>
        <v>146.704353586643</v>
      </c>
      <c r="AK4400">
        <f t="shared" si="495"/>
        <v>487594.934683544</v>
      </c>
    </row>
    <row r="4401" spans="1:37">
      <c r="A4401" t="s">
        <v>4467</v>
      </c>
      <c r="B4401">
        <v>18</v>
      </c>
      <c r="C4401" t="s">
        <v>50</v>
      </c>
      <c r="D4401" t="s">
        <v>51</v>
      </c>
      <c r="E4401">
        <v>1405</v>
      </c>
      <c r="F4401">
        <v>55</v>
      </c>
      <c r="G4401">
        <v>2</v>
      </c>
      <c r="H4401">
        <v>1777.64</v>
      </c>
      <c r="I4401">
        <v>3180.3</v>
      </c>
      <c r="J4401">
        <v>23</v>
      </c>
      <c r="K4401">
        <v>0</v>
      </c>
      <c r="L4401">
        <v>22.8</v>
      </c>
      <c r="M4401">
        <v>54.4</v>
      </c>
      <c r="N4401" t="s">
        <v>57</v>
      </c>
      <c r="O4401" t="s">
        <v>47</v>
      </c>
      <c r="P4401" t="s">
        <v>68</v>
      </c>
      <c r="R4401">
        <f>SUMIF(A4401:A9400,"C04400",I4401:I9400)</f>
        <v>3180.3</v>
      </c>
      <c r="S4401" s="1">
        <v>63381.57</v>
      </c>
      <c r="T4401">
        <f t="shared" si="499"/>
        <v>138.273913043478</v>
      </c>
      <c r="U4401">
        <f t="shared" si="498"/>
        <v>1251.2</v>
      </c>
      <c r="V4401">
        <f t="shared" si="493"/>
        <v>104.266666666667</v>
      </c>
      <c r="W4401">
        <f t="shared" si="496"/>
        <v>1652.98</v>
      </c>
      <c r="X4401">
        <f t="shared" si="494"/>
        <v>0.790373753965932</v>
      </c>
      <c r="AH4401" t="str">
        <f t="shared" si="497"/>
        <v>3rd Quality</v>
      </c>
      <c r="AJ4401">
        <f>((T4401-X4401)*2)/22.8</f>
        <v>12.0599595867993</v>
      </c>
      <c r="AK4401">
        <f t="shared" si="495"/>
        <v>194274.847826087</v>
      </c>
    </row>
    <row r="4402" spans="1:37">
      <c r="A4402" t="s">
        <v>4468</v>
      </c>
      <c r="B4402">
        <v>31</v>
      </c>
      <c r="C4402" t="s">
        <v>50</v>
      </c>
      <c r="D4402" t="s">
        <v>45</v>
      </c>
      <c r="E4402">
        <v>1363</v>
      </c>
      <c r="F4402">
        <v>32</v>
      </c>
      <c r="G4402">
        <v>4</v>
      </c>
      <c r="H4402">
        <v>355.98</v>
      </c>
      <c r="I4402">
        <v>1312.09</v>
      </c>
      <c r="J4402">
        <v>25</v>
      </c>
      <c r="K4402">
        <v>0</v>
      </c>
      <c r="L4402">
        <v>30.1</v>
      </c>
      <c r="M4402">
        <v>20.7</v>
      </c>
      <c r="N4402" t="s">
        <v>46</v>
      </c>
      <c r="O4402" t="s">
        <v>47</v>
      </c>
      <c r="P4402" t="s">
        <v>58</v>
      </c>
      <c r="R4402">
        <f>SUMIF(A4402:A9401,"C04401",I4402:I9401)</f>
        <v>1312.09</v>
      </c>
      <c r="S4402" s="1">
        <v>23435.96</v>
      </c>
      <c r="T4402">
        <f t="shared" si="499"/>
        <v>52.4836</v>
      </c>
      <c r="U4402">
        <f t="shared" si="498"/>
        <v>517.5</v>
      </c>
      <c r="V4402">
        <f t="shared" si="493"/>
        <v>43.125</v>
      </c>
      <c r="W4402">
        <f t="shared" si="496"/>
        <v>556.356666666667</v>
      </c>
      <c r="X4402">
        <f t="shared" si="494"/>
        <v>3.82886679026912</v>
      </c>
      <c r="AH4402" t="str">
        <f t="shared" si="497"/>
        <v>3rd Quality</v>
      </c>
      <c r="AJ4402">
        <f>((T4402-X4402)*2)/30.1</f>
        <v>3.23287263852032</v>
      </c>
      <c r="AK4402">
        <f t="shared" si="495"/>
        <v>71535.1468</v>
      </c>
    </row>
    <row r="4403" spans="1:37">
      <c r="A4403" t="s">
        <v>4469</v>
      </c>
      <c r="B4403">
        <v>31</v>
      </c>
      <c r="C4403" t="s">
        <v>56</v>
      </c>
      <c r="D4403" t="s">
        <v>60</v>
      </c>
      <c r="E4403">
        <v>997</v>
      </c>
      <c r="F4403">
        <v>180</v>
      </c>
      <c r="G4403">
        <v>4</v>
      </c>
      <c r="H4403">
        <v>1015.88</v>
      </c>
      <c r="I4403">
        <v>4020.58</v>
      </c>
      <c r="J4403">
        <v>34</v>
      </c>
      <c r="K4403">
        <v>0</v>
      </c>
      <c r="L4403">
        <v>28.5</v>
      </c>
      <c r="M4403">
        <v>21.6</v>
      </c>
      <c r="N4403" t="s">
        <v>52</v>
      </c>
      <c r="O4403" t="s">
        <v>47</v>
      </c>
      <c r="P4403" t="s">
        <v>58</v>
      </c>
      <c r="R4403">
        <f>SUMIF(A4403:A9402,"C04402",I4403:I9402)</f>
        <v>4020.58</v>
      </c>
      <c r="S4403" s="1">
        <v>21791.54</v>
      </c>
      <c r="T4403">
        <f t="shared" si="499"/>
        <v>118.252352941176</v>
      </c>
      <c r="U4403">
        <f t="shared" si="498"/>
        <v>734.4</v>
      </c>
      <c r="V4403">
        <f t="shared" si="493"/>
        <v>61.2</v>
      </c>
      <c r="W4403">
        <f t="shared" si="496"/>
        <v>1679.15333333333</v>
      </c>
      <c r="X4403">
        <f t="shared" si="494"/>
        <v>0.981415127770997</v>
      </c>
      <c r="AH4403" t="str">
        <f t="shared" si="497"/>
        <v>3rd Quality</v>
      </c>
      <c r="AJ4403">
        <f>((T4403-X4403)*2)/28.5</f>
        <v>8.22953949567754</v>
      </c>
      <c r="AK4403">
        <f t="shared" si="495"/>
        <v>117897.595882353</v>
      </c>
    </row>
    <row r="4404" spans="1:37">
      <c r="A4404" t="s">
        <v>4470</v>
      </c>
      <c r="B4404">
        <v>20</v>
      </c>
      <c r="C4404" t="s">
        <v>50</v>
      </c>
      <c r="D4404" t="s">
        <v>45</v>
      </c>
      <c r="E4404">
        <v>740</v>
      </c>
      <c r="F4404">
        <v>2</v>
      </c>
      <c r="G4404">
        <v>35</v>
      </c>
      <c r="H4404">
        <v>1785.64</v>
      </c>
      <c r="I4404">
        <v>63381.57</v>
      </c>
      <c r="J4404">
        <v>182</v>
      </c>
      <c r="K4404">
        <v>2</v>
      </c>
      <c r="L4404">
        <v>4</v>
      </c>
      <c r="M4404">
        <v>38.7</v>
      </c>
      <c r="N4404" t="s">
        <v>52</v>
      </c>
      <c r="O4404" t="s">
        <v>47</v>
      </c>
      <c r="P4404" t="s">
        <v>58</v>
      </c>
      <c r="R4404">
        <f>SUMIF(A4404:A9403,"C04403",I4404:I9403)</f>
        <v>63381.57</v>
      </c>
      <c r="S4404" s="1">
        <v>67660.28</v>
      </c>
      <c r="T4404">
        <f t="shared" si="499"/>
        <v>348.250384615385</v>
      </c>
      <c r="U4404">
        <f t="shared" si="498"/>
        <v>7043.4</v>
      </c>
      <c r="V4404">
        <f>U4404*2</f>
        <v>14086.8</v>
      </c>
      <c r="W4404">
        <f t="shared" si="496"/>
        <v>21722.7366666667</v>
      </c>
      <c r="X4404">
        <f t="shared" si="494"/>
        <v>0.414417239757174</v>
      </c>
      <c r="AH4404" t="str">
        <f t="shared" si="497"/>
        <v>2nd Quality</v>
      </c>
      <c r="AJ4404">
        <f>((T4404-X4404)*2)/4</f>
        <v>173.917983687814</v>
      </c>
      <c r="AK4404">
        <f t="shared" si="495"/>
        <v>257705.284615385</v>
      </c>
    </row>
    <row r="4405" spans="1:37">
      <c r="A4405" t="s">
        <v>4471</v>
      </c>
      <c r="B4405">
        <v>41</v>
      </c>
      <c r="C4405" t="s">
        <v>44</v>
      </c>
      <c r="D4405" t="s">
        <v>60</v>
      </c>
      <c r="E4405">
        <v>846</v>
      </c>
      <c r="F4405">
        <v>63</v>
      </c>
      <c r="G4405">
        <v>16</v>
      </c>
      <c r="H4405">
        <v>1338.1</v>
      </c>
      <c r="I4405">
        <v>23435.96</v>
      </c>
      <c r="J4405">
        <v>105</v>
      </c>
      <c r="K4405">
        <v>0</v>
      </c>
      <c r="L4405">
        <v>12.4</v>
      </c>
      <c r="M4405">
        <v>15.5</v>
      </c>
      <c r="N4405" t="s">
        <v>57</v>
      </c>
      <c r="O4405" t="s">
        <v>75</v>
      </c>
      <c r="P4405" t="s">
        <v>58</v>
      </c>
      <c r="R4405">
        <f>SUMIF(A4405:A9404,"C04404",I4405:I9404)</f>
        <v>23435.96</v>
      </c>
      <c r="S4405" s="1">
        <v>3729.77</v>
      </c>
      <c r="T4405">
        <f t="shared" si="499"/>
        <v>223.199619047619</v>
      </c>
      <c r="U4405">
        <f t="shared" si="498"/>
        <v>1627.5</v>
      </c>
      <c r="V4405">
        <f t="shared" si="493"/>
        <v>135.625</v>
      </c>
      <c r="W4405">
        <f t="shared" si="496"/>
        <v>8258.35333333333</v>
      </c>
      <c r="X4405">
        <f t="shared" si="494"/>
        <v>0.632239742919064</v>
      </c>
      <c r="AH4405" t="str">
        <f t="shared" si="497"/>
        <v>2nd Quality</v>
      </c>
      <c r="AJ4405">
        <f>((T4405-X4405)*2)/12.4</f>
        <v>35.8979644039839</v>
      </c>
      <c r="AK4405">
        <f t="shared" si="495"/>
        <v>188826.877714286</v>
      </c>
    </row>
    <row r="4406" spans="1:37">
      <c r="A4406" t="s">
        <v>4472</v>
      </c>
      <c r="B4406">
        <v>26</v>
      </c>
      <c r="C4406" t="s">
        <v>50</v>
      </c>
      <c r="D4406" t="s">
        <v>45</v>
      </c>
      <c r="E4406">
        <v>973</v>
      </c>
      <c r="F4406">
        <v>50</v>
      </c>
      <c r="G4406">
        <v>15</v>
      </c>
      <c r="H4406">
        <v>1391.38</v>
      </c>
      <c r="I4406">
        <v>21791.54</v>
      </c>
      <c r="J4406">
        <v>35</v>
      </c>
      <c r="K4406">
        <v>2</v>
      </c>
      <c r="L4406">
        <v>22.7</v>
      </c>
      <c r="M4406">
        <v>42.1</v>
      </c>
      <c r="N4406" t="s">
        <v>78</v>
      </c>
      <c r="O4406" t="s">
        <v>47</v>
      </c>
      <c r="P4406" t="s">
        <v>58</v>
      </c>
      <c r="R4406">
        <f>SUMIF(A4406:A9405,"C04405",I4406:I9405)</f>
        <v>21791.54</v>
      </c>
      <c r="S4406" s="1">
        <v>10560.11</v>
      </c>
      <c r="T4406">
        <f t="shared" si="499"/>
        <v>622.615428571429</v>
      </c>
      <c r="U4406">
        <f t="shared" si="498"/>
        <v>1473.5</v>
      </c>
      <c r="V4406">
        <f>U4406*2</f>
        <v>2947</v>
      </c>
      <c r="W4406">
        <f t="shared" si="496"/>
        <v>7727.97333333333</v>
      </c>
      <c r="X4406">
        <f t="shared" si="494"/>
        <v>0.699305725251189</v>
      </c>
      <c r="AH4406" t="str">
        <f t="shared" si="497"/>
        <v>2nd Quality</v>
      </c>
      <c r="AJ4406">
        <f>((T4406-X4406)*2)/22.7</f>
        <v>54.794372056932</v>
      </c>
      <c r="AK4406">
        <f t="shared" si="495"/>
        <v>605804.812</v>
      </c>
    </row>
    <row r="4407" spans="1:37">
      <c r="A4407" t="s">
        <v>4473</v>
      </c>
      <c r="B4407">
        <v>18</v>
      </c>
      <c r="C4407" t="s">
        <v>44</v>
      </c>
      <c r="D4407" t="s">
        <v>60</v>
      </c>
      <c r="E4407">
        <v>1306</v>
      </c>
      <c r="F4407">
        <v>54</v>
      </c>
      <c r="G4407">
        <v>5</v>
      </c>
      <c r="H4407">
        <v>12617.64</v>
      </c>
      <c r="I4407">
        <v>67660.28</v>
      </c>
      <c r="J4407">
        <v>48</v>
      </c>
      <c r="K4407">
        <v>0</v>
      </c>
      <c r="L4407">
        <v>3.9</v>
      </c>
      <c r="M4407">
        <v>8.9</v>
      </c>
      <c r="N4407" t="s">
        <v>78</v>
      </c>
      <c r="O4407" t="s">
        <v>47</v>
      </c>
      <c r="P4407" t="s">
        <v>68</v>
      </c>
      <c r="R4407">
        <f>SUMIF(A4407:A9406,"C04406",I4407:I9406)</f>
        <v>67660.28</v>
      </c>
      <c r="S4407" s="1">
        <v>5741.01</v>
      </c>
      <c r="T4407">
        <f t="shared" si="499"/>
        <v>1409.58916666667</v>
      </c>
      <c r="U4407">
        <f t="shared" si="498"/>
        <v>427.2</v>
      </c>
      <c r="V4407">
        <f t="shared" ref="V4406:V4469" si="500">U4407/12</f>
        <v>35.6</v>
      </c>
      <c r="W4407">
        <f t="shared" si="496"/>
        <v>26759.64</v>
      </c>
      <c r="X4407">
        <f t="shared" si="494"/>
        <v>0.103505885411218</v>
      </c>
      <c r="AH4407" t="str">
        <f t="shared" si="497"/>
        <v>1st Quality</v>
      </c>
      <c r="AJ4407">
        <f>((T4407-X4407)*2)/3.9</f>
        <v>722.813159375004</v>
      </c>
      <c r="AK4407">
        <f t="shared" si="495"/>
        <v>1840923.45166667</v>
      </c>
    </row>
    <row r="4408" spans="1:37">
      <c r="A4408" t="s">
        <v>4474</v>
      </c>
      <c r="B4408">
        <v>23</v>
      </c>
      <c r="C4408" t="s">
        <v>44</v>
      </c>
      <c r="D4408" t="s">
        <v>60</v>
      </c>
      <c r="E4408">
        <v>1157</v>
      </c>
      <c r="F4408">
        <v>77</v>
      </c>
      <c r="G4408">
        <v>2</v>
      </c>
      <c r="H4408">
        <v>1841.33</v>
      </c>
      <c r="I4408">
        <v>3729.77</v>
      </c>
      <c r="J4408">
        <v>17</v>
      </c>
      <c r="K4408">
        <v>0</v>
      </c>
      <c r="L4408">
        <v>19</v>
      </c>
      <c r="M4408">
        <v>59.6</v>
      </c>
      <c r="N4408" t="s">
        <v>81</v>
      </c>
      <c r="O4408" t="s">
        <v>53</v>
      </c>
      <c r="P4408" t="s">
        <v>58</v>
      </c>
      <c r="R4408">
        <f>SUMIF(A4408:A9407,"C04407",I4408:I9407)</f>
        <v>3729.77</v>
      </c>
      <c r="S4408" s="1">
        <v>97396.11</v>
      </c>
      <c r="T4408">
        <f t="shared" si="499"/>
        <v>219.398235294118</v>
      </c>
      <c r="U4408">
        <f t="shared" si="498"/>
        <v>1013.2</v>
      </c>
      <c r="V4408">
        <f t="shared" si="500"/>
        <v>84.4333333333333</v>
      </c>
      <c r="W4408">
        <f t="shared" si="496"/>
        <v>1857.36666666667</v>
      </c>
      <c r="X4408">
        <f t="shared" ref="X4408:X4471" si="501">E4408/H4408</f>
        <v>0.62835015993874</v>
      </c>
      <c r="AH4408" t="str">
        <f t="shared" si="497"/>
        <v>3rd Quality</v>
      </c>
      <c r="AJ4408">
        <f>((T4408-X4408)*2)/19</f>
        <v>23.0284089614926</v>
      </c>
      <c r="AK4408">
        <f t="shared" si="495"/>
        <v>253843.758235294</v>
      </c>
    </row>
    <row r="4409" spans="1:37">
      <c r="A4409" t="s">
        <v>4475</v>
      </c>
      <c r="B4409">
        <v>40</v>
      </c>
      <c r="C4409" t="s">
        <v>44</v>
      </c>
      <c r="D4409" t="s">
        <v>51</v>
      </c>
      <c r="E4409">
        <v>875</v>
      </c>
      <c r="F4409">
        <v>31</v>
      </c>
      <c r="G4409">
        <v>5</v>
      </c>
      <c r="H4409">
        <v>2275.14</v>
      </c>
      <c r="I4409">
        <v>10560.11</v>
      </c>
      <c r="J4409">
        <v>28</v>
      </c>
      <c r="K4409">
        <v>0</v>
      </c>
      <c r="L4409">
        <v>7.3</v>
      </c>
      <c r="M4409">
        <v>21</v>
      </c>
      <c r="N4409" t="s">
        <v>57</v>
      </c>
      <c r="O4409" t="s">
        <v>47</v>
      </c>
      <c r="P4409" t="s">
        <v>58</v>
      </c>
      <c r="R4409">
        <f>SUMIF(A4409:A9408,"C04408",I4409:I9408)</f>
        <v>10560.11</v>
      </c>
      <c r="S4409" s="1">
        <v>28332.02</v>
      </c>
      <c r="T4409">
        <f t="shared" si="499"/>
        <v>377.146785714286</v>
      </c>
      <c r="U4409">
        <f t="shared" si="498"/>
        <v>588</v>
      </c>
      <c r="V4409">
        <f t="shared" si="500"/>
        <v>49</v>
      </c>
      <c r="W4409">
        <f t="shared" si="496"/>
        <v>4278.75</v>
      </c>
      <c r="X4409">
        <f t="shared" si="501"/>
        <v>0.384591717432773</v>
      </c>
      <c r="AH4409" t="str">
        <f t="shared" si="497"/>
        <v>3rd Quality</v>
      </c>
      <c r="AJ4409">
        <f>((T4409-X4409)*2)/7.3</f>
        <v>103.222518903247</v>
      </c>
      <c r="AK4409">
        <f t="shared" si="495"/>
        <v>330003.4375</v>
      </c>
    </row>
    <row r="4410" spans="1:37">
      <c r="A4410" t="s">
        <v>4476</v>
      </c>
      <c r="B4410">
        <v>18</v>
      </c>
      <c r="C4410" t="s">
        <v>44</v>
      </c>
      <c r="D4410" t="s">
        <v>60</v>
      </c>
      <c r="E4410">
        <v>1065</v>
      </c>
      <c r="F4410">
        <v>102</v>
      </c>
      <c r="G4410">
        <v>2</v>
      </c>
      <c r="H4410">
        <v>2648.15</v>
      </c>
      <c r="I4410">
        <v>5741.01</v>
      </c>
      <c r="J4410">
        <v>21</v>
      </c>
      <c r="K4410">
        <v>0</v>
      </c>
      <c r="L4410">
        <v>14.3</v>
      </c>
      <c r="M4410">
        <v>36.6</v>
      </c>
      <c r="N4410" t="s">
        <v>63</v>
      </c>
      <c r="O4410" t="s">
        <v>47</v>
      </c>
      <c r="P4410" t="s">
        <v>66</v>
      </c>
      <c r="R4410">
        <f>SUMIF(A4410:A9409,"C04409",I4410:I9409)</f>
        <v>5741.01</v>
      </c>
      <c r="S4410" s="1">
        <v>55104.59</v>
      </c>
      <c r="T4410">
        <f t="shared" si="499"/>
        <v>273.381428571429</v>
      </c>
      <c r="U4410">
        <f t="shared" si="498"/>
        <v>768.6</v>
      </c>
      <c r="V4410">
        <f t="shared" si="500"/>
        <v>64.05</v>
      </c>
      <c r="W4410">
        <f t="shared" si="496"/>
        <v>2796.72</v>
      </c>
      <c r="X4410">
        <f t="shared" si="501"/>
        <v>0.402167550931783</v>
      </c>
      <c r="AH4410" t="str">
        <f t="shared" si="497"/>
        <v>3rd Quality</v>
      </c>
      <c r="AJ4410">
        <f>((T4410-X4410)*2)/14.3</f>
        <v>38.1789176252444</v>
      </c>
      <c r="AK4410">
        <f t="shared" si="495"/>
        <v>291151.221428571</v>
      </c>
    </row>
    <row r="4411" spans="1:37">
      <c r="A4411" t="s">
        <v>4477</v>
      </c>
      <c r="B4411">
        <v>35</v>
      </c>
      <c r="C4411" t="s">
        <v>50</v>
      </c>
      <c r="D4411" t="s">
        <v>45</v>
      </c>
      <c r="E4411">
        <v>985</v>
      </c>
      <c r="F4411">
        <v>25</v>
      </c>
      <c r="G4411">
        <v>33</v>
      </c>
      <c r="H4411">
        <v>2969.56</v>
      </c>
      <c r="I4411">
        <v>97396.11</v>
      </c>
      <c r="J4411">
        <v>270</v>
      </c>
      <c r="K4411">
        <v>2</v>
      </c>
      <c r="L4411">
        <v>15.4</v>
      </c>
      <c r="M4411">
        <v>62.9</v>
      </c>
      <c r="N4411" t="s">
        <v>46</v>
      </c>
      <c r="O4411" t="s">
        <v>47</v>
      </c>
      <c r="P4411" t="s">
        <v>68</v>
      </c>
      <c r="R4411">
        <f>SUMIF(A4411:A9410,"C04410",I4411:I9410)</f>
        <v>97396.11</v>
      </c>
      <c r="S4411" s="1">
        <v>3488.73</v>
      </c>
      <c r="T4411">
        <f t="shared" si="499"/>
        <v>360.726333333333</v>
      </c>
      <c r="U4411">
        <f t="shared" si="498"/>
        <v>16983</v>
      </c>
      <c r="V4411">
        <f>U4411*2</f>
        <v>33966</v>
      </c>
      <c r="W4411">
        <f t="shared" si="496"/>
        <v>33455.5566666667</v>
      </c>
      <c r="X4411">
        <f t="shared" si="501"/>
        <v>0.331698972238311</v>
      </c>
      <c r="AH4411" t="str">
        <f t="shared" si="497"/>
        <v>2nd Quality</v>
      </c>
      <c r="AJ4411">
        <f>((T4411-X4411)*2)/15.4</f>
        <v>46.8044979689733</v>
      </c>
      <c r="AK4411">
        <f t="shared" si="495"/>
        <v>355315.438333333</v>
      </c>
    </row>
    <row r="4412" spans="1:37">
      <c r="A4412" t="s">
        <v>4478</v>
      </c>
      <c r="B4412">
        <v>24</v>
      </c>
      <c r="C4412" t="s">
        <v>44</v>
      </c>
      <c r="D4412" t="s">
        <v>45</v>
      </c>
      <c r="E4412">
        <v>498</v>
      </c>
      <c r="F4412">
        <v>35</v>
      </c>
      <c r="G4412">
        <v>13</v>
      </c>
      <c r="H4412">
        <v>2046.18</v>
      </c>
      <c r="I4412">
        <v>28332.02</v>
      </c>
      <c r="J4412">
        <v>75</v>
      </c>
      <c r="K4412">
        <v>0</v>
      </c>
      <c r="L4412">
        <v>10.9</v>
      </c>
      <c r="M4412">
        <v>55.7</v>
      </c>
      <c r="N4412" t="s">
        <v>61</v>
      </c>
      <c r="O4412" t="s">
        <v>75</v>
      </c>
      <c r="P4412" t="s">
        <v>58</v>
      </c>
      <c r="R4412">
        <f>SUMIF(A4412:A9411,"C04411",I4412:I9411)</f>
        <v>28332.02</v>
      </c>
      <c r="S4412" s="1">
        <v>40877.19</v>
      </c>
      <c r="T4412">
        <f t="shared" si="499"/>
        <v>377.760266666667</v>
      </c>
      <c r="U4412">
        <f t="shared" si="498"/>
        <v>4177.5</v>
      </c>
      <c r="V4412">
        <f t="shared" si="500"/>
        <v>348.125</v>
      </c>
      <c r="W4412">
        <f t="shared" si="496"/>
        <v>10126.4</v>
      </c>
      <c r="X4412">
        <f t="shared" si="501"/>
        <v>0.243380347769991</v>
      </c>
      <c r="AH4412" t="str">
        <f t="shared" si="497"/>
        <v>2nd Quality</v>
      </c>
      <c r="AJ4412">
        <f>((T4412-X4412)*2)/10.9</f>
        <v>69.2691534530086</v>
      </c>
      <c r="AK4412">
        <f t="shared" si="495"/>
        <v>188124.6128</v>
      </c>
    </row>
    <row r="4413" spans="1:37">
      <c r="A4413" t="s">
        <v>4479</v>
      </c>
      <c r="B4413">
        <v>25</v>
      </c>
      <c r="C4413" t="s">
        <v>44</v>
      </c>
      <c r="D4413" t="s">
        <v>45</v>
      </c>
      <c r="E4413">
        <v>705</v>
      </c>
      <c r="F4413">
        <v>6</v>
      </c>
      <c r="G4413">
        <v>22</v>
      </c>
      <c r="H4413">
        <v>2841.39</v>
      </c>
      <c r="I4413">
        <v>55104.59</v>
      </c>
      <c r="J4413">
        <v>92</v>
      </c>
      <c r="K4413">
        <v>2</v>
      </c>
      <c r="L4413">
        <v>22.6</v>
      </c>
      <c r="M4413">
        <v>55.9</v>
      </c>
      <c r="N4413" t="s">
        <v>46</v>
      </c>
      <c r="O4413" t="s">
        <v>53</v>
      </c>
      <c r="P4413" t="s">
        <v>58</v>
      </c>
      <c r="R4413">
        <f>SUMIF(A4413:A9412,"C04412",I4413:I9412)</f>
        <v>55104.59</v>
      </c>
      <c r="S4413" s="1">
        <v>14800.56</v>
      </c>
      <c r="T4413">
        <f t="shared" si="499"/>
        <v>598.962934782609</v>
      </c>
      <c r="U4413">
        <f t="shared" si="498"/>
        <v>5142.8</v>
      </c>
      <c r="V4413">
        <f>U4413*2</f>
        <v>10285.6</v>
      </c>
      <c r="W4413">
        <f t="shared" si="496"/>
        <v>19315.66</v>
      </c>
      <c r="X4413">
        <f t="shared" si="501"/>
        <v>0.2481179985852</v>
      </c>
      <c r="AH4413" t="str">
        <f t="shared" si="497"/>
        <v>2nd Quality</v>
      </c>
      <c r="AJ4413">
        <f>((T4413-X4413)*2)/22.6</f>
        <v>52.9836121047809</v>
      </c>
      <c r="AK4413">
        <f t="shared" si="495"/>
        <v>422268.869021739</v>
      </c>
    </row>
    <row r="4414" spans="1:37">
      <c r="A4414" t="s">
        <v>4480</v>
      </c>
      <c r="B4414">
        <v>24</v>
      </c>
      <c r="C4414" t="s">
        <v>44</v>
      </c>
      <c r="D4414" t="s">
        <v>60</v>
      </c>
      <c r="E4414">
        <v>592</v>
      </c>
      <c r="F4414">
        <v>43</v>
      </c>
      <c r="G4414">
        <v>5</v>
      </c>
      <c r="H4414">
        <v>706.97</v>
      </c>
      <c r="I4414">
        <v>3488.73</v>
      </c>
      <c r="J4414">
        <v>34</v>
      </c>
      <c r="K4414">
        <v>0</v>
      </c>
      <c r="L4414">
        <v>32</v>
      </c>
      <c r="M4414">
        <v>37.7</v>
      </c>
      <c r="N4414" t="s">
        <v>63</v>
      </c>
      <c r="O4414" t="s">
        <v>47</v>
      </c>
      <c r="P4414" t="s">
        <v>68</v>
      </c>
      <c r="R4414">
        <f>SUMIF(A4414:A9413,"C04413",I4414:I9413)</f>
        <v>3488.73</v>
      </c>
      <c r="S4414" s="1">
        <v>3951.18</v>
      </c>
      <c r="T4414">
        <f t="shared" si="499"/>
        <v>102.609705882353</v>
      </c>
      <c r="U4414">
        <f t="shared" si="498"/>
        <v>1281.8</v>
      </c>
      <c r="V4414">
        <f t="shared" si="500"/>
        <v>106.816666666667</v>
      </c>
      <c r="W4414">
        <f t="shared" si="496"/>
        <v>1398.9</v>
      </c>
      <c r="X4414">
        <f t="shared" si="501"/>
        <v>0.837376409182851</v>
      </c>
      <c r="AH4414" t="str">
        <f t="shared" si="497"/>
        <v>3rd Quality</v>
      </c>
      <c r="AJ4414">
        <f>((T4414-X4414)*2)/32</f>
        <v>6.36077059207313</v>
      </c>
      <c r="AK4414">
        <f t="shared" si="495"/>
        <v>60744.9458823529</v>
      </c>
    </row>
    <row r="4415" spans="1:37">
      <c r="A4415" t="s">
        <v>4481</v>
      </c>
      <c r="B4415">
        <v>27</v>
      </c>
      <c r="C4415" t="s">
        <v>56</v>
      </c>
      <c r="D4415" t="s">
        <v>60</v>
      </c>
      <c r="E4415">
        <v>969</v>
      </c>
      <c r="F4415">
        <v>11</v>
      </c>
      <c r="G4415">
        <v>21</v>
      </c>
      <c r="H4415">
        <v>2024.83</v>
      </c>
      <c r="I4415">
        <v>40877.19</v>
      </c>
      <c r="J4415">
        <v>86</v>
      </c>
      <c r="K4415">
        <v>0</v>
      </c>
      <c r="L4415">
        <v>8.5</v>
      </c>
      <c r="M4415">
        <v>14.6</v>
      </c>
      <c r="N4415" t="s">
        <v>57</v>
      </c>
      <c r="O4415" t="s">
        <v>47</v>
      </c>
      <c r="P4415" t="s">
        <v>68</v>
      </c>
      <c r="R4415">
        <f>SUMIF(A4415:A9414,"C04414",I4415:I9414)</f>
        <v>40877.19</v>
      </c>
      <c r="S4415" s="1">
        <v>28560.82</v>
      </c>
      <c r="T4415">
        <f t="shared" si="499"/>
        <v>475.316162790698</v>
      </c>
      <c r="U4415">
        <f t="shared" si="498"/>
        <v>1255.6</v>
      </c>
      <c r="V4415">
        <f t="shared" si="500"/>
        <v>104.633333333333</v>
      </c>
      <c r="W4415">
        <f t="shared" si="496"/>
        <v>14301.0066666667</v>
      </c>
      <c r="X4415">
        <f t="shared" si="501"/>
        <v>0.478558693816271</v>
      </c>
      <c r="AH4415" t="str">
        <f t="shared" si="497"/>
        <v>1st Quality</v>
      </c>
      <c r="AJ4415">
        <f>((T4415-X4415)*2)/8.5</f>
        <v>111.726495081619</v>
      </c>
      <c r="AK4415">
        <f t="shared" si="495"/>
        <v>460581.361744186</v>
      </c>
    </row>
    <row r="4416" spans="1:37">
      <c r="A4416" t="s">
        <v>4482</v>
      </c>
      <c r="B4416">
        <v>27</v>
      </c>
      <c r="C4416" t="s">
        <v>44</v>
      </c>
      <c r="D4416" t="s">
        <v>51</v>
      </c>
      <c r="E4416">
        <v>1428</v>
      </c>
      <c r="F4416">
        <v>22</v>
      </c>
      <c r="G4416">
        <v>7</v>
      </c>
      <c r="H4416">
        <v>2222.54</v>
      </c>
      <c r="I4416">
        <v>14800.56</v>
      </c>
      <c r="J4416">
        <v>34</v>
      </c>
      <c r="K4416">
        <v>0</v>
      </c>
      <c r="L4416">
        <v>23.2</v>
      </c>
      <c r="M4416">
        <v>47.4</v>
      </c>
      <c r="N4416" t="s">
        <v>46</v>
      </c>
      <c r="O4416" t="s">
        <v>47</v>
      </c>
      <c r="P4416" t="s">
        <v>48</v>
      </c>
      <c r="R4416">
        <f>SUMIF(A4416:A9415,"C04415",I4416:I9415)</f>
        <v>14800.56</v>
      </c>
      <c r="S4416" s="1">
        <v>141088.34</v>
      </c>
      <c r="T4416">
        <f t="shared" si="499"/>
        <v>435.310588235294</v>
      </c>
      <c r="U4416">
        <f t="shared" si="498"/>
        <v>1611.6</v>
      </c>
      <c r="V4416">
        <f t="shared" si="500"/>
        <v>134.3</v>
      </c>
      <c r="W4416">
        <f t="shared" si="496"/>
        <v>5674.7</v>
      </c>
      <c r="X4416">
        <f t="shared" si="501"/>
        <v>0.642508121338649</v>
      </c>
      <c r="AH4416" t="str">
        <f t="shared" si="497"/>
        <v>3rd Quality</v>
      </c>
      <c r="AJ4416">
        <f>((T4416-X4416)*2)/23.2</f>
        <v>37.4713862167203</v>
      </c>
      <c r="AK4416">
        <f t="shared" si="495"/>
        <v>621623.52</v>
      </c>
    </row>
    <row r="4417" spans="1:37">
      <c r="A4417" t="s">
        <v>4483</v>
      </c>
      <c r="B4417">
        <v>42</v>
      </c>
      <c r="C4417" t="s">
        <v>50</v>
      </c>
      <c r="D4417" t="s">
        <v>51</v>
      </c>
      <c r="E4417">
        <v>1150</v>
      </c>
      <c r="F4417">
        <v>63</v>
      </c>
      <c r="G4417">
        <v>5</v>
      </c>
      <c r="H4417">
        <v>758.41</v>
      </c>
      <c r="I4417">
        <v>3951.18</v>
      </c>
      <c r="J4417">
        <v>44</v>
      </c>
      <c r="K4417">
        <v>1</v>
      </c>
      <c r="L4417">
        <v>23.5</v>
      </c>
      <c r="M4417">
        <v>67.6</v>
      </c>
      <c r="N4417" t="s">
        <v>78</v>
      </c>
      <c r="O4417" t="s">
        <v>53</v>
      </c>
      <c r="P4417" t="s">
        <v>58</v>
      </c>
      <c r="R4417">
        <f>SUMIF(A4417:A9416,"C04416",I4417:I9416)</f>
        <v>3951.18</v>
      </c>
      <c r="S4417" s="1">
        <v>69823.32</v>
      </c>
      <c r="T4417">
        <f t="shared" si="499"/>
        <v>89.7995454545455</v>
      </c>
      <c r="U4417">
        <f t="shared" si="498"/>
        <v>2974.4</v>
      </c>
      <c r="V4417">
        <f>U4417*1</f>
        <v>2974.4</v>
      </c>
      <c r="W4417">
        <f t="shared" si="496"/>
        <v>1570.19666666667</v>
      </c>
      <c r="X4417">
        <f t="shared" si="501"/>
        <v>1.51633021716486</v>
      </c>
      <c r="AH4417" t="str">
        <f t="shared" si="497"/>
        <v>3rd Quality</v>
      </c>
      <c r="AJ4417">
        <f>((T4417-X4417)*2)/23.5</f>
        <v>7.51346512658559</v>
      </c>
      <c r="AK4417">
        <f t="shared" si="495"/>
        <v>103269.477272727</v>
      </c>
    </row>
    <row r="4418" spans="1:37">
      <c r="A4418" t="s">
        <v>4484</v>
      </c>
      <c r="B4418">
        <v>41</v>
      </c>
      <c r="C4418" t="s">
        <v>44</v>
      </c>
      <c r="D4418" t="s">
        <v>45</v>
      </c>
      <c r="E4418">
        <v>1092</v>
      </c>
      <c r="F4418">
        <v>25</v>
      </c>
      <c r="G4418">
        <v>7</v>
      </c>
      <c r="H4418">
        <v>3785.28</v>
      </c>
      <c r="I4418">
        <v>28560.82</v>
      </c>
      <c r="J4418">
        <v>46</v>
      </c>
      <c r="K4418">
        <v>0</v>
      </c>
      <c r="L4418">
        <v>16.4</v>
      </c>
      <c r="M4418">
        <v>37.5</v>
      </c>
      <c r="N4418" t="s">
        <v>52</v>
      </c>
      <c r="O4418" t="s">
        <v>47</v>
      </c>
      <c r="P4418" t="s">
        <v>58</v>
      </c>
      <c r="R4418">
        <f>SUMIF(A4418:A9417,"C04417",I4418:I9417)</f>
        <v>28560.82</v>
      </c>
      <c r="S4418" s="1">
        <v>36461.14</v>
      </c>
      <c r="T4418">
        <f t="shared" si="499"/>
        <v>620.887391304348</v>
      </c>
      <c r="U4418">
        <f t="shared" si="498"/>
        <v>1725</v>
      </c>
      <c r="V4418">
        <f t="shared" si="500"/>
        <v>143.75</v>
      </c>
      <c r="W4418">
        <f t="shared" si="496"/>
        <v>10782.3666666667</v>
      </c>
      <c r="X4418">
        <f t="shared" si="501"/>
        <v>0.288485924423028</v>
      </c>
      <c r="AH4418" t="str">
        <f t="shared" si="497"/>
        <v>2nd Quality</v>
      </c>
      <c r="AJ4418">
        <f>((T4418-X4418)*2)/16.4</f>
        <v>75.6827933390152</v>
      </c>
      <c r="AK4418">
        <f t="shared" si="495"/>
        <v>678009.031304348</v>
      </c>
    </row>
    <row r="4419" spans="1:37">
      <c r="A4419" t="s">
        <v>4485</v>
      </c>
      <c r="B4419">
        <v>42</v>
      </c>
      <c r="C4419" t="s">
        <v>44</v>
      </c>
      <c r="D4419" t="s">
        <v>51</v>
      </c>
      <c r="E4419">
        <v>925</v>
      </c>
      <c r="F4419">
        <v>35</v>
      </c>
      <c r="G4419">
        <v>33</v>
      </c>
      <c r="H4419">
        <v>3931.95</v>
      </c>
      <c r="I4419">
        <v>141088.34</v>
      </c>
      <c r="J4419">
        <v>239</v>
      </c>
      <c r="K4419">
        <v>4</v>
      </c>
      <c r="L4419">
        <v>10.7</v>
      </c>
      <c r="M4419">
        <v>50.4</v>
      </c>
      <c r="N4419" t="s">
        <v>78</v>
      </c>
      <c r="O4419" t="s">
        <v>75</v>
      </c>
      <c r="P4419" t="s">
        <v>58</v>
      </c>
      <c r="R4419">
        <f>SUMIF(A4419:A9418,"C04418",I4419:I9418)</f>
        <v>141088.34</v>
      </c>
      <c r="S4419" s="1">
        <v>10675.67</v>
      </c>
      <c r="T4419">
        <f t="shared" si="499"/>
        <v>590.327782426778</v>
      </c>
      <c r="U4419">
        <f t="shared" si="498"/>
        <v>12045.6</v>
      </c>
      <c r="V4419">
        <f>U4419*4</f>
        <v>48182.4</v>
      </c>
      <c r="W4419">
        <f t="shared" si="496"/>
        <v>48340.43</v>
      </c>
      <c r="X4419">
        <f t="shared" si="501"/>
        <v>0.235252228538003</v>
      </c>
      <c r="AH4419" t="str">
        <f t="shared" si="497"/>
        <v>2nd Quality</v>
      </c>
      <c r="AJ4419">
        <f>((T4419-X4419)*2)/10.7</f>
        <v>110.297669195933</v>
      </c>
      <c r="AK4419">
        <f t="shared" ref="AK4419:AK4482" si="502">I4419/J4419*E4419</f>
        <v>546053.19874477</v>
      </c>
    </row>
    <row r="4420" spans="1:37">
      <c r="A4420" t="s">
        <v>4486</v>
      </c>
      <c r="B4420">
        <v>33</v>
      </c>
      <c r="C4420" t="s">
        <v>44</v>
      </c>
      <c r="D4420" t="s">
        <v>60</v>
      </c>
      <c r="E4420">
        <v>756</v>
      </c>
      <c r="F4420">
        <v>9</v>
      </c>
      <c r="G4420">
        <v>24</v>
      </c>
      <c r="H4420">
        <v>2713.46</v>
      </c>
      <c r="I4420">
        <v>69823.32</v>
      </c>
      <c r="J4420">
        <v>105</v>
      </c>
      <c r="K4420">
        <v>1</v>
      </c>
      <c r="L4420">
        <v>9.9</v>
      </c>
      <c r="M4420">
        <v>88.1</v>
      </c>
      <c r="N4420" t="s">
        <v>61</v>
      </c>
      <c r="O4420" t="s">
        <v>47</v>
      </c>
      <c r="P4420" t="s">
        <v>66</v>
      </c>
      <c r="R4420">
        <f>SUMIF(A4420:A9419,"C04419",I4420:I9419)</f>
        <v>69823.32</v>
      </c>
      <c r="S4420" s="1">
        <v>67773.01</v>
      </c>
      <c r="T4420">
        <f t="shared" si="499"/>
        <v>664.984</v>
      </c>
      <c r="U4420">
        <f t="shared" si="498"/>
        <v>9250.5</v>
      </c>
      <c r="V4420">
        <f>U4420*1</f>
        <v>9250.5</v>
      </c>
      <c r="W4420">
        <f t="shared" si="496"/>
        <v>24179.26</v>
      </c>
      <c r="X4420">
        <f t="shared" si="501"/>
        <v>0.278611072210388</v>
      </c>
      <c r="AH4420" t="str">
        <f t="shared" si="497"/>
        <v>2nd Quality</v>
      </c>
      <c r="AJ4420">
        <f>((T4420-X4420)*2)/9.9</f>
        <v>134.283916955109</v>
      </c>
      <c r="AK4420">
        <f t="shared" si="502"/>
        <v>502727.904</v>
      </c>
    </row>
    <row r="4421" spans="1:37">
      <c r="A4421" t="s">
        <v>4487</v>
      </c>
      <c r="B4421">
        <v>32</v>
      </c>
      <c r="C4421" t="s">
        <v>50</v>
      </c>
      <c r="D4421" t="s">
        <v>45</v>
      </c>
      <c r="E4421">
        <v>600</v>
      </c>
      <c r="F4421">
        <v>17</v>
      </c>
      <c r="G4421">
        <v>4</v>
      </c>
      <c r="H4421">
        <v>8480.92</v>
      </c>
      <c r="I4421">
        <v>36461.14</v>
      </c>
      <c r="J4421">
        <v>23</v>
      </c>
      <c r="K4421">
        <v>0</v>
      </c>
      <c r="L4421">
        <v>13.5</v>
      </c>
      <c r="M4421">
        <v>33.9</v>
      </c>
      <c r="N4421" t="s">
        <v>46</v>
      </c>
      <c r="O4421" t="s">
        <v>75</v>
      </c>
      <c r="P4421" t="s">
        <v>58</v>
      </c>
      <c r="R4421">
        <f>SUMIF(A4421:A9420,"C04420",I4421:I9420)</f>
        <v>36461.14</v>
      </c>
      <c r="S4421" s="1">
        <v>85367.59</v>
      </c>
      <c r="T4421">
        <f t="shared" si="499"/>
        <v>1585.26695652174</v>
      </c>
      <c r="U4421">
        <f t="shared" si="498"/>
        <v>779.7</v>
      </c>
      <c r="V4421">
        <f t="shared" si="500"/>
        <v>64.975</v>
      </c>
      <c r="W4421">
        <f t="shared" si="496"/>
        <v>14981.02</v>
      </c>
      <c r="X4421">
        <f t="shared" si="501"/>
        <v>0.070747041594544</v>
      </c>
      <c r="AH4421" t="str">
        <f t="shared" si="497"/>
        <v>2nd Quality</v>
      </c>
      <c r="AJ4421">
        <f>((T4421-X4421)*2)/13.5</f>
        <v>234.843882885947</v>
      </c>
      <c r="AK4421">
        <f t="shared" si="502"/>
        <v>951160.173913043</v>
      </c>
    </row>
    <row r="4422" spans="1:37">
      <c r="A4422" t="s">
        <v>4488</v>
      </c>
      <c r="B4422">
        <v>35</v>
      </c>
      <c r="C4422" t="s">
        <v>50</v>
      </c>
      <c r="D4422" t="s">
        <v>51</v>
      </c>
      <c r="E4422">
        <v>1360</v>
      </c>
      <c r="F4422">
        <v>34</v>
      </c>
      <c r="G4422">
        <v>8</v>
      </c>
      <c r="H4422">
        <v>1235.13</v>
      </c>
      <c r="I4422">
        <v>10675.67</v>
      </c>
      <c r="J4422">
        <v>22</v>
      </c>
      <c r="K4422">
        <v>1</v>
      </c>
      <c r="L4422">
        <v>25.2</v>
      </c>
      <c r="M4422">
        <v>28.4</v>
      </c>
      <c r="N4422" t="s">
        <v>61</v>
      </c>
      <c r="O4422" t="s">
        <v>47</v>
      </c>
      <c r="P4422" t="s">
        <v>58</v>
      </c>
      <c r="R4422">
        <f>SUMIF(A4422:A9421,"C04421",I4422:I9421)</f>
        <v>10675.67</v>
      </c>
      <c r="S4422" s="1">
        <v>21325.22</v>
      </c>
      <c r="T4422">
        <f t="shared" si="499"/>
        <v>485.257727272727</v>
      </c>
      <c r="U4422">
        <f t="shared" si="498"/>
        <v>624.8</v>
      </c>
      <c r="V4422">
        <f>U4422*1</f>
        <v>624.8</v>
      </c>
      <c r="W4422">
        <f t="shared" si="496"/>
        <v>3970.6</v>
      </c>
      <c r="X4422">
        <f t="shared" si="501"/>
        <v>1.10109866977565</v>
      </c>
      <c r="AH4422" t="str">
        <f t="shared" si="497"/>
        <v>3rd Quality</v>
      </c>
      <c r="AJ4422">
        <f>((T4422-X4422)*2)/25.2</f>
        <v>38.4251292542025</v>
      </c>
      <c r="AK4422">
        <f t="shared" si="502"/>
        <v>659950.509090909</v>
      </c>
    </row>
    <row r="4423" spans="1:37">
      <c r="A4423" t="s">
        <v>4489</v>
      </c>
      <c r="B4423">
        <v>39</v>
      </c>
      <c r="C4423" t="s">
        <v>44</v>
      </c>
      <c r="D4423" t="s">
        <v>60</v>
      </c>
      <c r="E4423">
        <v>391</v>
      </c>
      <c r="F4423">
        <v>5</v>
      </c>
      <c r="G4423">
        <v>23</v>
      </c>
      <c r="H4423">
        <v>2815.84</v>
      </c>
      <c r="I4423">
        <v>67773.01</v>
      </c>
      <c r="J4423">
        <v>142</v>
      </c>
      <c r="K4423">
        <v>2</v>
      </c>
      <c r="L4423">
        <v>4.7</v>
      </c>
      <c r="M4423">
        <v>37</v>
      </c>
      <c r="N4423" t="s">
        <v>52</v>
      </c>
      <c r="O4423" t="s">
        <v>47</v>
      </c>
      <c r="P4423" t="s">
        <v>48</v>
      </c>
      <c r="R4423">
        <f>SUMIF(A4423:A9422,"C04422",I4423:I9422)</f>
        <v>67773.01</v>
      </c>
      <c r="S4423" s="1">
        <v>27501.74</v>
      </c>
      <c r="T4423">
        <f t="shared" si="499"/>
        <v>477.274718309859</v>
      </c>
      <c r="U4423">
        <f t="shared" si="498"/>
        <v>5254</v>
      </c>
      <c r="V4423">
        <f>U4423*2</f>
        <v>10508</v>
      </c>
      <c r="W4423">
        <f t="shared" si="496"/>
        <v>23529.95</v>
      </c>
      <c r="X4423">
        <f t="shared" si="501"/>
        <v>0.138857321438718</v>
      </c>
      <c r="AH4423" t="str">
        <f t="shared" si="497"/>
        <v>3rd Quality</v>
      </c>
      <c r="AJ4423">
        <f>((T4423-X4423)*2)/4.7</f>
        <v>203.036536590817</v>
      </c>
      <c r="AK4423">
        <f t="shared" si="502"/>
        <v>186614.414859155</v>
      </c>
    </row>
    <row r="4424" spans="1:37">
      <c r="A4424" t="s">
        <v>4490</v>
      </c>
      <c r="B4424">
        <v>33</v>
      </c>
      <c r="C4424" t="s">
        <v>50</v>
      </c>
      <c r="D4424" t="s">
        <v>60</v>
      </c>
      <c r="E4424">
        <v>1363</v>
      </c>
      <c r="F4424">
        <v>72</v>
      </c>
      <c r="G4424">
        <v>3</v>
      </c>
      <c r="H4424">
        <v>26785.04</v>
      </c>
      <c r="I4424">
        <v>85367.59</v>
      </c>
      <c r="J4424">
        <v>25</v>
      </c>
      <c r="K4424">
        <v>0</v>
      </c>
      <c r="L4424">
        <v>6.2</v>
      </c>
      <c r="M4424">
        <v>31.4</v>
      </c>
      <c r="N4424" t="s">
        <v>81</v>
      </c>
      <c r="O4424" t="s">
        <v>47</v>
      </c>
      <c r="P4424" t="s">
        <v>68</v>
      </c>
      <c r="R4424">
        <f>SUMIF(A4424:A9423,"C04423",I4424:I9423)</f>
        <v>85367.59</v>
      </c>
      <c r="S4424" s="1">
        <v>13326.9</v>
      </c>
      <c r="T4424">
        <f t="shared" si="499"/>
        <v>3414.7036</v>
      </c>
      <c r="U4424">
        <f t="shared" si="498"/>
        <v>785</v>
      </c>
      <c r="V4424">
        <f t="shared" si="500"/>
        <v>65.4166666666667</v>
      </c>
      <c r="W4424">
        <f t="shared" si="496"/>
        <v>37384.5433333333</v>
      </c>
      <c r="X4424">
        <f t="shared" si="501"/>
        <v>0.0508866143190378</v>
      </c>
      <c r="AH4424" t="str">
        <f t="shared" si="497"/>
        <v>1st Quality</v>
      </c>
      <c r="AJ4424">
        <f>((T4424-X4424)*2)/6.2</f>
        <v>1101.5008752857</v>
      </c>
      <c r="AK4424">
        <f t="shared" si="502"/>
        <v>4654241.0068</v>
      </c>
    </row>
    <row r="4425" spans="1:37">
      <c r="A4425" t="s">
        <v>4491</v>
      </c>
      <c r="B4425">
        <v>32</v>
      </c>
      <c r="C4425" t="s">
        <v>44</v>
      </c>
      <c r="D4425" t="s">
        <v>51</v>
      </c>
      <c r="E4425">
        <v>607</v>
      </c>
      <c r="F4425">
        <v>55</v>
      </c>
      <c r="G4425">
        <v>9</v>
      </c>
      <c r="H4425">
        <v>2539.41</v>
      </c>
      <c r="I4425">
        <v>21325.22</v>
      </c>
      <c r="J4425">
        <v>83</v>
      </c>
      <c r="K4425">
        <v>0</v>
      </c>
      <c r="L4425">
        <v>26.4</v>
      </c>
      <c r="M4425">
        <v>45.5</v>
      </c>
      <c r="N4425" t="s">
        <v>57</v>
      </c>
      <c r="O4425" t="s">
        <v>75</v>
      </c>
      <c r="P4425" t="s">
        <v>68</v>
      </c>
      <c r="R4425">
        <f>SUMIF(A4425:A9424,"C04424",I4425:I9424)</f>
        <v>21325.22</v>
      </c>
      <c r="S4425" s="1">
        <v>134390.89</v>
      </c>
      <c r="T4425">
        <f t="shared" si="499"/>
        <v>256.930361445783</v>
      </c>
      <c r="U4425">
        <f t="shared" si="498"/>
        <v>3776.5</v>
      </c>
      <c r="V4425">
        <f t="shared" si="500"/>
        <v>314.708333333333</v>
      </c>
      <c r="W4425">
        <f t="shared" ref="W4425:W4488" si="503">(H4425+I4425+1)/3</f>
        <v>7955.21</v>
      </c>
      <c r="X4425">
        <f t="shared" si="501"/>
        <v>0.239031901110888</v>
      </c>
      <c r="AH4425" t="str">
        <f t="shared" si="497"/>
        <v>2nd Quality</v>
      </c>
      <c r="AJ4425">
        <f>((T4425-X4425)*2)/26.4</f>
        <v>19.4463128442933</v>
      </c>
      <c r="AK4425">
        <f t="shared" si="502"/>
        <v>155956.72939759</v>
      </c>
    </row>
    <row r="4426" spans="1:37">
      <c r="A4426" t="s">
        <v>4492</v>
      </c>
      <c r="B4426">
        <v>45</v>
      </c>
      <c r="C4426" t="s">
        <v>44</v>
      </c>
      <c r="D4426" t="s">
        <v>51</v>
      </c>
      <c r="E4426">
        <v>1245</v>
      </c>
      <c r="F4426">
        <v>8</v>
      </c>
      <c r="G4426">
        <v>2</v>
      </c>
      <c r="H4426">
        <v>12391.08</v>
      </c>
      <c r="I4426">
        <v>27501.74</v>
      </c>
      <c r="J4426">
        <v>22</v>
      </c>
      <c r="K4426">
        <v>0</v>
      </c>
      <c r="L4426">
        <v>6.9</v>
      </c>
      <c r="M4426">
        <v>62.7</v>
      </c>
      <c r="N4426" t="s">
        <v>78</v>
      </c>
      <c r="O4426" t="s">
        <v>75</v>
      </c>
      <c r="P4426" t="s">
        <v>66</v>
      </c>
      <c r="R4426">
        <f>SUMIF(A4426:A9425,"C04425",I4426:I9425)</f>
        <v>27501.74</v>
      </c>
      <c r="S4426" s="1">
        <v>69442.88</v>
      </c>
      <c r="T4426">
        <f t="shared" si="499"/>
        <v>1250.07909090909</v>
      </c>
      <c r="U4426">
        <f t="shared" si="498"/>
        <v>1379.4</v>
      </c>
      <c r="V4426">
        <f t="shared" si="500"/>
        <v>114.95</v>
      </c>
      <c r="W4426">
        <f t="shared" si="503"/>
        <v>13297.94</v>
      </c>
      <c r="X4426">
        <f t="shared" si="501"/>
        <v>0.100475503345955</v>
      </c>
      <c r="AH4426" t="str">
        <f t="shared" si="497"/>
        <v>3rd Quality</v>
      </c>
      <c r="AJ4426">
        <f>((T4426-X4426)*2)/6.9</f>
        <v>362.312642146592</v>
      </c>
      <c r="AK4426">
        <f t="shared" si="502"/>
        <v>1556348.46818182</v>
      </c>
    </row>
    <row r="4427" spans="1:37">
      <c r="A4427" t="s">
        <v>4493</v>
      </c>
      <c r="B4427">
        <v>33</v>
      </c>
      <c r="C4427" t="s">
        <v>50</v>
      </c>
      <c r="D4427" t="s">
        <v>60</v>
      </c>
      <c r="E4427">
        <v>1297</v>
      </c>
      <c r="F4427">
        <v>55</v>
      </c>
      <c r="G4427">
        <v>9</v>
      </c>
      <c r="H4427">
        <v>1479.65</v>
      </c>
      <c r="I4427">
        <v>13326.9</v>
      </c>
      <c r="J4427">
        <v>24</v>
      </c>
      <c r="K4427">
        <v>1</v>
      </c>
      <c r="L4427">
        <v>13</v>
      </c>
      <c r="M4427">
        <v>38.4</v>
      </c>
      <c r="N4427" t="s">
        <v>52</v>
      </c>
      <c r="O4427" t="s">
        <v>47</v>
      </c>
      <c r="P4427" t="s">
        <v>68</v>
      </c>
      <c r="R4427">
        <f>SUMIF(A4427:A9426,"C04426",I4427:I9426)</f>
        <v>13326.9</v>
      </c>
      <c r="S4427" s="1">
        <v>21818.35</v>
      </c>
      <c r="T4427">
        <f t="shared" si="499"/>
        <v>555.2875</v>
      </c>
      <c r="U4427">
        <f t="shared" si="498"/>
        <v>921.6</v>
      </c>
      <c r="V4427">
        <f>U4427*1</f>
        <v>921.6</v>
      </c>
      <c r="W4427">
        <f t="shared" si="503"/>
        <v>4935.85</v>
      </c>
      <c r="X4427">
        <f t="shared" si="501"/>
        <v>0.876558645625655</v>
      </c>
      <c r="AH4427" t="str">
        <f t="shared" si="497"/>
        <v>3rd Quality</v>
      </c>
      <c r="AJ4427">
        <f>((T4427-X4427)*2)/13</f>
        <v>85.2939909775961</v>
      </c>
      <c r="AK4427">
        <f t="shared" si="502"/>
        <v>720207.8875</v>
      </c>
    </row>
    <row r="4428" spans="1:37">
      <c r="A4428" t="s">
        <v>4494</v>
      </c>
      <c r="B4428">
        <v>35</v>
      </c>
      <c r="C4428" t="s">
        <v>44</v>
      </c>
      <c r="D4428" t="s">
        <v>60</v>
      </c>
      <c r="E4428">
        <v>1370</v>
      </c>
      <c r="F4428">
        <v>11</v>
      </c>
      <c r="G4428">
        <v>29</v>
      </c>
      <c r="H4428">
        <v>4913.96</v>
      </c>
      <c r="I4428">
        <v>134390.89</v>
      </c>
      <c r="J4428">
        <v>97</v>
      </c>
      <c r="K4428">
        <v>2</v>
      </c>
      <c r="L4428">
        <v>19.3</v>
      </c>
      <c r="M4428">
        <v>54.1</v>
      </c>
      <c r="N4428" t="s">
        <v>57</v>
      </c>
      <c r="O4428" t="s">
        <v>47</v>
      </c>
      <c r="P4428" t="s">
        <v>58</v>
      </c>
      <c r="R4428">
        <f>SUMIF(A4428:A9427,"C04427",I4428:I9427)</f>
        <v>134390.89</v>
      </c>
      <c r="S4428" s="1">
        <v>111751.22</v>
      </c>
      <c r="T4428">
        <f t="shared" si="499"/>
        <v>1385.47309278351</v>
      </c>
      <c r="U4428">
        <f t="shared" si="498"/>
        <v>5247.7</v>
      </c>
      <c r="V4428">
        <f>U4428*2</f>
        <v>10495.4</v>
      </c>
      <c r="W4428">
        <f t="shared" si="503"/>
        <v>46435.2833333333</v>
      </c>
      <c r="X4428">
        <f t="shared" si="501"/>
        <v>0.278797548209591</v>
      </c>
      <c r="AH4428" t="str">
        <f t="shared" si="497"/>
        <v>2nd Quality</v>
      </c>
      <c r="AJ4428">
        <f>((T4428-X4428)*2)/19.3</f>
        <v>143.543450283451</v>
      </c>
      <c r="AK4428">
        <f t="shared" si="502"/>
        <v>1898098.1371134</v>
      </c>
    </row>
    <row r="4429" spans="1:37">
      <c r="A4429" t="s">
        <v>4495</v>
      </c>
      <c r="B4429">
        <v>45</v>
      </c>
      <c r="C4429" t="s">
        <v>44</v>
      </c>
      <c r="D4429" t="s">
        <v>60</v>
      </c>
      <c r="E4429">
        <v>1416</v>
      </c>
      <c r="F4429">
        <v>13</v>
      </c>
      <c r="G4429">
        <v>20</v>
      </c>
      <c r="H4429">
        <v>3510.44</v>
      </c>
      <c r="I4429">
        <v>69442.88</v>
      </c>
      <c r="J4429">
        <v>151</v>
      </c>
      <c r="K4429">
        <v>3</v>
      </c>
      <c r="L4429">
        <v>10.6</v>
      </c>
      <c r="M4429">
        <v>19.5</v>
      </c>
      <c r="N4429" t="s">
        <v>57</v>
      </c>
      <c r="O4429" t="s">
        <v>47</v>
      </c>
      <c r="P4429" t="s">
        <v>68</v>
      </c>
      <c r="R4429">
        <f>SUMIF(A4429:A9428,"C04428",I4429:I9428)</f>
        <v>69442.88</v>
      </c>
      <c r="S4429" s="1">
        <v>15591.46</v>
      </c>
      <c r="T4429">
        <f t="shared" si="499"/>
        <v>459.886622516556</v>
      </c>
      <c r="U4429">
        <f t="shared" si="498"/>
        <v>2944.5</v>
      </c>
      <c r="V4429">
        <f>U4429*3</f>
        <v>8833.5</v>
      </c>
      <c r="W4429">
        <f t="shared" si="503"/>
        <v>24318.1066666667</v>
      </c>
      <c r="X4429">
        <f t="shared" si="501"/>
        <v>0.403368238739303</v>
      </c>
      <c r="AH4429" t="str">
        <f t="shared" si="497"/>
        <v>3rd Quality</v>
      </c>
      <c r="AJ4429">
        <f>((T4429-X4429)*2)/10.6</f>
        <v>86.6949536373239</v>
      </c>
      <c r="AK4429">
        <f t="shared" si="502"/>
        <v>651199.457483444</v>
      </c>
    </row>
    <row r="4430" spans="1:37">
      <c r="A4430" t="s">
        <v>4496</v>
      </c>
      <c r="B4430">
        <v>54</v>
      </c>
      <c r="C4430" t="s">
        <v>44</v>
      </c>
      <c r="D4430" t="s">
        <v>45</v>
      </c>
      <c r="E4430">
        <v>918</v>
      </c>
      <c r="F4430">
        <v>70</v>
      </c>
      <c r="G4430">
        <v>11</v>
      </c>
      <c r="H4430">
        <v>1840.68</v>
      </c>
      <c r="I4430">
        <v>21818.35</v>
      </c>
      <c r="J4430">
        <v>63</v>
      </c>
      <c r="K4430">
        <v>0</v>
      </c>
      <c r="L4430">
        <v>19.7</v>
      </c>
      <c r="M4430">
        <v>27.3</v>
      </c>
      <c r="N4430" t="s">
        <v>81</v>
      </c>
      <c r="O4430" t="s">
        <v>47</v>
      </c>
      <c r="P4430" t="s">
        <v>68</v>
      </c>
      <c r="R4430">
        <f>SUMIF(A4430:A9429,"C04429",I4430:I9429)</f>
        <v>21818.35</v>
      </c>
      <c r="S4430" s="1">
        <v>2394.36</v>
      </c>
      <c r="T4430">
        <f t="shared" si="499"/>
        <v>346.323015873016</v>
      </c>
      <c r="U4430">
        <f t="shared" si="498"/>
        <v>1719.9</v>
      </c>
      <c r="V4430">
        <f>U4430/12</f>
        <v>143.325</v>
      </c>
      <c r="W4430">
        <f t="shared" si="503"/>
        <v>7886.67666666667</v>
      </c>
      <c r="X4430">
        <f t="shared" si="501"/>
        <v>0.498728730686485</v>
      </c>
      <c r="AH4430" t="str">
        <f t="shared" ref="AH4430:AH4493" si="504">IF(AND(W4430&gt;=12550,B4430&lt;=33,E4430&gt;=915),"1st Quality",IF(AND(W4430&gt;=6275,B4430&lt;=43,E4430&gt;=457),"2nd Quality","3rd Quality"))</f>
        <v>3rd Quality</v>
      </c>
      <c r="AJ4430">
        <f>((T4430-X4430)*2)/19.7</f>
        <v>35.1090646845005</v>
      </c>
      <c r="AK4430">
        <f t="shared" si="502"/>
        <v>317924.528571429</v>
      </c>
    </row>
    <row r="4431" spans="1:37">
      <c r="A4431" t="s">
        <v>4497</v>
      </c>
      <c r="B4431">
        <v>25</v>
      </c>
      <c r="C4431" t="s">
        <v>44</v>
      </c>
      <c r="D4431" t="s">
        <v>60</v>
      </c>
      <c r="E4431">
        <v>983</v>
      </c>
      <c r="F4431">
        <v>4</v>
      </c>
      <c r="G4431">
        <v>27</v>
      </c>
      <c r="H4431">
        <v>3956.17</v>
      </c>
      <c r="I4431">
        <v>111751.22</v>
      </c>
      <c r="J4431">
        <v>113</v>
      </c>
      <c r="K4431">
        <v>0</v>
      </c>
      <c r="L4431">
        <v>14</v>
      </c>
      <c r="M4431">
        <v>27.4</v>
      </c>
      <c r="N4431" t="s">
        <v>46</v>
      </c>
      <c r="O4431" t="s">
        <v>47</v>
      </c>
      <c r="P4431" t="s">
        <v>58</v>
      </c>
      <c r="R4431">
        <f>SUMIF(A4431:A9430,"C04430",I4431:I9430)</f>
        <v>111751.22</v>
      </c>
      <c r="S4431" s="1">
        <v>5382.48</v>
      </c>
      <c r="T4431">
        <f t="shared" si="499"/>
        <v>988.948849557522</v>
      </c>
      <c r="U4431">
        <f t="shared" si="498"/>
        <v>3096.2</v>
      </c>
      <c r="V4431">
        <f t="shared" si="500"/>
        <v>258.016666666667</v>
      </c>
      <c r="W4431">
        <f t="shared" si="503"/>
        <v>38569.4633333333</v>
      </c>
      <c r="X4431">
        <f t="shared" si="501"/>
        <v>0.248472638941198</v>
      </c>
      <c r="AH4431" t="str">
        <f t="shared" si="504"/>
        <v>1st Quality</v>
      </c>
      <c r="AJ4431">
        <f>((T4431-X4431)*2)/14</f>
        <v>141.242910988369</v>
      </c>
      <c r="AK4431">
        <f t="shared" si="502"/>
        <v>972136.719115044</v>
      </c>
    </row>
    <row r="4432" spans="1:37">
      <c r="A4432" t="s">
        <v>4498</v>
      </c>
      <c r="B4432">
        <v>31</v>
      </c>
      <c r="C4432" t="s">
        <v>44</v>
      </c>
      <c r="D4432" t="s">
        <v>45</v>
      </c>
      <c r="E4432">
        <v>404</v>
      </c>
      <c r="F4432">
        <v>31</v>
      </c>
      <c r="G4432">
        <v>12</v>
      </c>
      <c r="H4432">
        <v>1417.47</v>
      </c>
      <c r="I4432">
        <v>15591.46</v>
      </c>
      <c r="J4432">
        <v>68</v>
      </c>
      <c r="K4432">
        <v>2</v>
      </c>
      <c r="L4432">
        <v>19</v>
      </c>
      <c r="M4432">
        <v>55.1</v>
      </c>
      <c r="N4432" t="s">
        <v>78</v>
      </c>
      <c r="O4432" t="s">
        <v>47</v>
      </c>
      <c r="P4432" t="s">
        <v>58</v>
      </c>
      <c r="R4432">
        <f>SUMIF(A4432:A9431,"C04431",I4432:I9431)</f>
        <v>15591.46</v>
      </c>
      <c r="S4432" s="1">
        <v>13001.22</v>
      </c>
      <c r="T4432">
        <f t="shared" si="499"/>
        <v>229.286176470588</v>
      </c>
      <c r="U4432">
        <f t="shared" si="498"/>
        <v>3746.8</v>
      </c>
      <c r="V4432">
        <f>U4432*2</f>
        <v>7493.6</v>
      </c>
      <c r="W4432">
        <f t="shared" si="503"/>
        <v>5669.97666666667</v>
      </c>
      <c r="X4432">
        <f t="shared" si="501"/>
        <v>0.285014850402478</v>
      </c>
      <c r="AH4432" t="str">
        <f t="shared" si="504"/>
        <v>3rd Quality</v>
      </c>
      <c r="AJ4432">
        <f>((T4432-X4432)*2)/19</f>
        <v>24.1053854337037</v>
      </c>
      <c r="AK4432">
        <f t="shared" si="502"/>
        <v>92631.6152941176</v>
      </c>
    </row>
    <row r="4433" spans="1:37">
      <c r="A4433" t="s">
        <v>4499</v>
      </c>
      <c r="B4433">
        <v>43</v>
      </c>
      <c r="C4433" t="s">
        <v>50</v>
      </c>
      <c r="D4433" t="s">
        <v>45</v>
      </c>
      <c r="E4433">
        <v>1274</v>
      </c>
      <c r="F4433">
        <v>272</v>
      </c>
      <c r="G4433">
        <v>1</v>
      </c>
      <c r="H4433">
        <v>2430.14</v>
      </c>
      <c r="I4433">
        <v>2394.36</v>
      </c>
      <c r="J4433">
        <v>13</v>
      </c>
      <c r="K4433">
        <v>0</v>
      </c>
      <c r="L4433">
        <v>6.7</v>
      </c>
      <c r="M4433">
        <v>6.6</v>
      </c>
      <c r="N4433" t="s">
        <v>57</v>
      </c>
      <c r="O4433" t="s">
        <v>53</v>
      </c>
      <c r="P4433" t="s">
        <v>68</v>
      </c>
      <c r="R4433">
        <f>SUMIF(A4433:A9432,"C04432",I4433:I9432)</f>
        <v>2394.36</v>
      </c>
      <c r="S4433" s="1">
        <v>36359.01</v>
      </c>
      <c r="T4433">
        <f t="shared" si="499"/>
        <v>184.181538461538</v>
      </c>
      <c r="U4433">
        <f t="shared" si="498"/>
        <v>85.8</v>
      </c>
      <c r="V4433">
        <f t="shared" si="500"/>
        <v>7.15</v>
      </c>
      <c r="W4433">
        <f t="shared" si="503"/>
        <v>1608.5</v>
      </c>
      <c r="X4433">
        <f t="shared" si="501"/>
        <v>0.524249631708461</v>
      </c>
      <c r="AH4433" t="str">
        <f t="shared" si="504"/>
        <v>3rd Quality</v>
      </c>
      <c r="AJ4433">
        <f>((T4433-X4433)*2)/6.7</f>
        <v>54.8230712924864</v>
      </c>
      <c r="AK4433">
        <f t="shared" si="502"/>
        <v>234647.28</v>
      </c>
    </row>
    <row r="4434" spans="1:37">
      <c r="A4434" t="s">
        <v>4500</v>
      </c>
      <c r="B4434">
        <v>38</v>
      </c>
      <c r="C4434" t="s">
        <v>44</v>
      </c>
      <c r="D4434" t="s">
        <v>60</v>
      </c>
      <c r="E4434">
        <v>1003</v>
      </c>
      <c r="F4434">
        <v>170</v>
      </c>
      <c r="G4434">
        <v>7</v>
      </c>
      <c r="H4434">
        <v>724.56</v>
      </c>
      <c r="I4434">
        <v>5382.48</v>
      </c>
      <c r="J4434">
        <v>61</v>
      </c>
      <c r="K4434">
        <v>0</v>
      </c>
      <c r="L4434">
        <v>29.4</v>
      </c>
      <c r="M4434">
        <v>4.4</v>
      </c>
      <c r="N4434" t="s">
        <v>61</v>
      </c>
      <c r="O4434" t="s">
        <v>53</v>
      </c>
      <c r="P4434" t="s">
        <v>58</v>
      </c>
      <c r="R4434">
        <f>SUMIF(A4434:A9433,"C04433",I4434:I9433)</f>
        <v>5382.48</v>
      </c>
      <c r="S4434" s="1">
        <v>65160.89</v>
      </c>
      <c r="T4434">
        <f t="shared" si="499"/>
        <v>88.2373770491803</v>
      </c>
      <c r="U4434">
        <f t="shared" si="498"/>
        <v>268.4</v>
      </c>
      <c r="V4434">
        <f t="shared" si="500"/>
        <v>22.3666666666667</v>
      </c>
      <c r="W4434">
        <f t="shared" si="503"/>
        <v>2036.01333333333</v>
      </c>
      <c r="X4434">
        <f t="shared" si="501"/>
        <v>1.38428839571602</v>
      </c>
      <c r="AH4434" t="str">
        <f t="shared" si="504"/>
        <v>3rd Quality</v>
      </c>
      <c r="AJ4434">
        <f>((T4434-X4434)*2)/29.4</f>
        <v>5.90837337778669</v>
      </c>
      <c r="AK4434">
        <f t="shared" si="502"/>
        <v>88502.0891803279</v>
      </c>
    </row>
    <row r="4435" spans="1:37">
      <c r="A4435" t="s">
        <v>4501</v>
      </c>
      <c r="B4435">
        <v>30</v>
      </c>
      <c r="C4435" t="s">
        <v>44</v>
      </c>
      <c r="D4435" t="s">
        <v>45</v>
      </c>
      <c r="E4435">
        <v>421</v>
      </c>
      <c r="F4435">
        <v>52</v>
      </c>
      <c r="G4435">
        <v>9</v>
      </c>
      <c r="H4435">
        <v>1380.32</v>
      </c>
      <c r="I4435">
        <v>13001.22</v>
      </c>
      <c r="J4435">
        <v>26</v>
      </c>
      <c r="K4435">
        <v>0</v>
      </c>
      <c r="L4435">
        <v>27.1</v>
      </c>
      <c r="M4435">
        <v>18.8</v>
      </c>
      <c r="N4435" t="s">
        <v>78</v>
      </c>
      <c r="O4435" t="s">
        <v>47</v>
      </c>
      <c r="P4435" t="s">
        <v>48</v>
      </c>
      <c r="R4435">
        <f>SUMIF(A4435:A9434,"C04434",I4435:I9434)</f>
        <v>13001.22</v>
      </c>
      <c r="S4435" s="1">
        <v>338.75</v>
      </c>
      <c r="T4435">
        <f t="shared" si="499"/>
        <v>500.046923076923</v>
      </c>
      <c r="U4435">
        <f t="shared" si="498"/>
        <v>488.8</v>
      </c>
      <c r="V4435">
        <f t="shared" si="500"/>
        <v>40.7333333333333</v>
      </c>
      <c r="W4435">
        <f t="shared" si="503"/>
        <v>4794.18</v>
      </c>
      <c r="X4435">
        <f t="shared" si="501"/>
        <v>0.305001738727252</v>
      </c>
      <c r="AH4435" t="str">
        <f t="shared" si="504"/>
        <v>3rd Quality</v>
      </c>
      <c r="AJ4435">
        <f>((T4435-X4435)*2)/27.1</f>
        <v>36.8813226079849</v>
      </c>
      <c r="AK4435">
        <f t="shared" si="502"/>
        <v>210519.754615385</v>
      </c>
    </row>
    <row r="4436" spans="1:37">
      <c r="A4436" t="s">
        <v>4502</v>
      </c>
      <c r="B4436">
        <v>59</v>
      </c>
      <c r="C4436" t="s">
        <v>44</v>
      </c>
      <c r="D4436" t="s">
        <v>60</v>
      </c>
      <c r="E4436">
        <v>748</v>
      </c>
      <c r="F4436">
        <v>25</v>
      </c>
      <c r="G4436">
        <v>6</v>
      </c>
      <c r="H4436">
        <v>6547.65</v>
      </c>
      <c r="I4436">
        <v>36359.01</v>
      </c>
      <c r="J4436">
        <v>41</v>
      </c>
      <c r="K4436">
        <v>0</v>
      </c>
      <c r="L4436">
        <v>4.5</v>
      </c>
      <c r="M4436">
        <v>19.8</v>
      </c>
      <c r="N4436" t="s">
        <v>81</v>
      </c>
      <c r="O4436" t="s">
        <v>47</v>
      </c>
      <c r="P4436" t="s">
        <v>58</v>
      </c>
      <c r="R4436">
        <f>SUMIF(A4436:A9435,"C04435",I4436:I9435)</f>
        <v>36359.01</v>
      </c>
      <c r="S4436" s="1">
        <v>12058.05</v>
      </c>
      <c r="T4436">
        <f t="shared" si="499"/>
        <v>886.80512195122</v>
      </c>
      <c r="U4436">
        <f t="shared" si="498"/>
        <v>811.8</v>
      </c>
      <c r="V4436">
        <f t="shared" si="500"/>
        <v>67.65</v>
      </c>
      <c r="W4436">
        <f t="shared" si="503"/>
        <v>14302.5533333333</v>
      </c>
      <c r="X4436">
        <f t="shared" si="501"/>
        <v>0.114239459958917</v>
      </c>
      <c r="AH4436" t="str">
        <f t="shared" si="504"/>
        <v>3rd Quality</v>
      </c>
      <c r="AJ4436">
        <f>((T4436-X4436)*2)/4.5</f>
        <v>394.084836662783</v>
      </c>
      <c r="AK4436">
        <f t="shared" si="502"/>
        <v>663330.231219512</v>
      </c>
    </row>
    <row r="4437" spans="1:37">
      <c r="A4437" t="s">
        <v>4503</v>
      </c>
      <c r="B4437">
        <v>43</v>
      </c>
      <c r="C4437" t="s">
        <v>50</v>
      </c>
      <c r="D4437" t="s">
        <v>51</v>
      </c>
      <c r="E4437">
        <v>1301</v>
      </c>
      <c r="F4437">
        <v>57</v>
      </c>
      <c r="G4437">
        <v>9</v>
      </c>
      <c r="H4437">
        <v>6841.33</v>
      </c>
      <c r="I4437">
        <v>65160.89</v>
      </c>
      <c r="J4437">
        <v>60</v>
      </c>
      <c r="K4437">
        <v>0</v>
      </c>
      <c r="L4437">
        <v>4.8</v>
      </c>
      <c r="M4437">
        <v>30.9</v>
      </c>
      <c r="N4437" t="s">
        <v>52</v>
      </c>
      <c r="O4437" t="s">
        <v>47</v>
      </c>
      <c r="P4437" t="s">
        <v>66</v>
      </c>
      <c r="R4437">
        <f>SUMIF(A4437:A9436,"C04436",I4437:I9436)</f>
        <v>65160.89</v>
      </c>
      <c r="S4437" s="1">
        <v>13602.37</v>
      </c>
      <c r="T4437">
        <f t="shared" si="499"/>
        <v>1086.01483333333</v>
      </c>
      <c r="U4437">
        <f t="shared" si="498"/>
        <v>1854</v>
      </c>
      <c r="V4437">
        <f t="shared" si="500"/>
        <v>154.5</v>
      </c>
      <c r="W4437">
        <f t="shared" si="503"/>
        <v>24001.0733333333</v>
      </c>
      <c r="X4437">
        <f t="shared" si="501"/>
        <v>0.190167701309541</v>
      </c>
      <c r="AH4437" t="str">
        <f t="shared" si="504"/>
        <v>2nd Quality</v>
      </c>
      <c r="AJ4437">
        <f>((T4437-X4437)*2)/4.8</f>
        <v>452.426944013342</v>
      </c>
      <c r="AK4437">
        <f t="shared" si="502"/>
        <v>1412905.29816667</v>
      </c>
    </row>
    <row r="4438" spans="1:37">
      <c r="A4438" t="s">
        <v>4504</v>
      </c>
      <c r="B4438">
        <v>27</v>
      </c>
      <c r="C4438" t="s">
        <v>44</v>
      </c>
      <c r="D4438" t="s">
        <v>45</v>
      </c>
      <c r="E4438">
        <v>789</v>
      </c>
      <c r="F4438">
        <v>74</v>
      </c>
      <c r="G4438">
        <v>1</v>
      </c>
      <c r="H4438">
        <v>325.11</v>
      </c>
      <c r="I4438">
        <v>338.75</v>
      </c>
      <c r="J4438">
        <v>14</v>
      </c>
      <c r="K4438">
        <v>0</v>
      </c>
      <c r="L4438">
        <v>28.1</v>
      </c>
      <c r="M4438">
        <v>31.4</v>
      </c>
      <c r="N4438" t="s">
        <v>78</v>
      </c>
      <c r="O4438" t="s">
        <v>47</v>
      </c>
      <c r="P4438" t="s">
        <v>48</v>
      </c>
      <c r="R4438">
        <f>SUMIF(A4438:A9437,"C04437",I4438:I9437)</f>
        <v>338.75</v>
      </c>
      <c r="S4438" s="1">
        <v>19997.66</v>
      </c>
      <c r="T4438">
        <f t="shared" si="499"/>
        <v>24.1964285714286</v>
      </c>
      <c r="U4438">
        <f t="shared" si="498"/>
        <v>439.6</v>
      </c>
      <c r="V4438">
        <f t="shared" si="500"/>
        <v>36.6333333333333</v>
      </c>
      <c r="W4438">
        <f t="shared" si="503"/>
        <v>221.62</v>
      </c>
      <c r="X4438">
        <f t="shared" si="501"/>
        <v>2.42687090523208</v>
      </c>
      <c r="AH4438" t="str">
        <f t="shared" si="504"/>
        <v>3rd Quality</v>
      </c>
      <c r="AJ4438">
        <f>((T4438-X4438)*2)/28.1</f>
        <v>1.54943470933783</v>
      </c>
      <c r="AK4438">
        <f t="shared" si="502"/>
        <v>19090.9821428571</v>
      </c>
    </row>
    <row r="4439" spans="1:37">
      <c r="A4439" t="s">
        <v>4505</v>
      </c>
      <c r="B4439">
        <v>25</v>
      </c>
      <c r="C4439" t="s">
        <v>44</v>
      </c>
      <c r="D4439" t="s">
        <v>45</v>
      </c>
      <c r="E4439">
        <v>683</v>
      </c>
      <c r="F4439">
        <v>24</v>
      </c>
      <c r="G4439">
        <v>8</v>
      </c>
      <c r="H4439">
        <v>1605.77</v>
      </c>
      <c r="I4439">
        <v>12058.05</v>
      </c>
      <c r="J4439">
        <v>69</v>
      </c>
      <c r="K4439">
        <v>2</v>
      </c>
      <c r="L4439">
        <v>21.7</v>
      </c>
      <c r="M4439">
        <v>23</v>
      </c>
      <c r="N4439" t="s">
        <v>52</v>
      </c>
      <c r="O4439" t="s">
        <v>75</v>
      </c>
      <c r="P4439" t="s">
        <v>66</v>
      </c>
      <c r="R4439">
        <f>SUMIF(A4439:A9438,"C04438",I4439:I9438)</f>
        <v>12058.05</v>
      </c>
      <c r="S4439" s="1">
        <v>41659.02</v>
      </c>
      <c r="T4439">
        <f t="shared" si="499"/>
        <v>174.754347826087</v>
      </c>
      <c r="U4439">
        <f t="shared" si="498"/>
        <v>1587</v>
      </c>
      <c r="V4439">
        <f>U4439*2</f>
        <v>3174</v>
      </c>
      <c r="W4439">
        <f t="shared" si="503"/>
        <v>4554.94</v>
      </c>
      <c r="X4439">
        <f t="shared" si="501"/>
        <v>0.425341113609047</v>
      </c>
      <c r="AH4439" t="str">
        <f t="shared" si="504"/>
        <v>3rd Quality</v>
      </c>
      <c r="AJ4439">
        <f>((T4439-X4439)*2)/21.7</f>
        <v>16.0671895587537</v>
      </c>
      <c r="AK4439">
        <f t="shared" si="502"/>
        <v>119357.219565217</v>
      </c>
    </row>
    <row r="4440" spans="1:37">
      <c r="A4440" t="s">
        <v>4506</v>
      </c>
      <c r="B4440">
        <v>36</v>
      </c>
      <c r="C4440" t="s">
        <v>44</v>
      </c>
      <c r="D4440" t="s">
        <v>45</v>
      </c>
      <c r="E4440">
        <v>666</v>
      </c>
      <c r="F4440">
        <v>4</v>
      </c>
      <c r="G4440">
        <v>8</v>
      </c>
      <c r="H4440">
        <v>1782.62</v>
      </c>
      <c r="I4440">
        <v>13602.37</v>
      </c>
      <c r="J4440">
        <v>33</v>
      </c>
      <c r="K4440">
        <v>0</v>
      </c>
      <c r="L4440">
        <v>23.4</v>
      </c>
      <c r="M4440">
        <v>22.6</v>
      </c>
      <c r="N4440" t="s">
        <v>46</v>
      </c>
      <c r="O4440" t="s">
        <v>47</v>
      </c>
      <c r="P4440" t="s">
        <v>68</v>
      </c>
      <c r="R4440">
        <f>SUMIF(A4440:A9439,"C04439",I4440:I9439)</f>
        <v>13602.37</v>
      </c>
      <c r="S4440" s="1">
        <v>14148.08</v>
      </c>
      <c r="T4440">
        <f t="shared" si="499"/>
        <v>412.19303030303</v>
      </c>
      <c r="U4440">
        <f t="shared" si="498"/>
        <v>745.8</v>
      </c>
      <c r="V4440">
        <f t="shared" si="500"/>
        <v>62.15</v>
      </c>
      <c r="W4440">
        <f t="shared" si="503"/>
        <v>5128.66333333333</v>
      </c>
      <c r="X4440">
        <f t="shared" si="501"/>
        <v>0.373607386879986</v>
      </c>
      <c r="AH4440" t="str">
        <f t="shared" si="504"/>
        <v>3rd Quality</v>
      </c>
      <c r="AJ4440">
        <f>((T4440-X4440)*2)/23.4</f>
        <v>35.1982412748846</v>
      </c>
      <c r="AK4440">
        <f t="shared" si="502"/>
        <v>274520.558181818</v>
      </c>
    </row>
    <row r="4441" spans="1:37">
      <c r="A4441" t="s">
        <v>4507</v>
      </c>
      <c r="B4441">
        <v>38</v>
      </c>
      <c r="C4441" t="s">
        <v>44</v>
      </c>
      <c r="D4441" t="s">
        <v>45</v>
      </c>
      <c r="E4441">
        <v>561</v>
      </c>
      <c r="F4441">
        <v>12</v>
      </c>
      <c r="G4441">
        <v>10</v>
      </c>
      <c r="H4441">
        <v>2039.21</v>
      </c>
      <c r="I4441">
        <v>19997.66</v>
      </c>
      <c r="J4441">
        <v>38</v>
      </c>
      <c r="K4441">
        <v>0</v>
      </c>
      <c r="L4441">
        <v>28</v>
      </c>
      <c r="M4441">
        <v>33.7</v>
      </c>
      <c r="N4441" t="s">
        <v>61</v>
      </c>
      <c r="O4441" t="s">
        <v>75</v>
      </c>
      <c r="P4441" t="s">
        <v>58</v>
      </c>
      <c r="R4441">
        <f>SUMIF(A4441:A9440,"C04440",I4441:I9440)</f>
        <v>19997.66</v>
      </c>
      <c r="S4441" s="1">
        <v>3802.68</v>
      </c>
      <c r="T4441">
        <f t="shared" si="499"/>
        <v>526.254210526316</v>
      </c>
      <c r="U4441">
        <f t="shared" si="498"/>
        <v>1280.6</v>
      </c>
      <c r="V4441">
        <f t="shared" si="500"/>
        <v>106.716666666667</v>
      </c>
      <c r="W4441">
        <f t="shared" si="503"/>
        <v>7345.95666666667</v>
      </c>
      <c r="X4441">
        <f t="shared" si="501"/>
        <v>0.275106536354765</v>
      </c>
      <c r="AH4441" t="str">
        <f t="shared" si="504"/>
        <v>2nd Quality</v>
      </c>
      <c r="AJ4441">
        <f>((T4441-X4441)*2)/28</f>
        <v>37.5699359992829</v>
      </c>
      <c r="AK4441">
        <f t="shared" si="502"/>
        <v>295228.612105263</v>
      </c>
    </row>
    <row r="4442" spans="1:37">
      <c r="A4442" t="s">
        <v>4508</v>
      </c>
      <c r="B4442">
        <v>31</v>
      </c>
      <c r="C4442" t="s">
        <v>50</v>
      </c>
      <c r="D4442" t="s">
        <v>60</v>
      </c>
      <c r="E4442">
        <v>959</v>
      </c>
      <c r="F4442">
        <v>8</v>
      </c>
      <c r="G4442">
        <v>19</v>
      </c>
      <c r="H4442">
        <v>2104.82</v>
      </c>
      <c r="I4442">
        <v>41659.02</v>
      </c>
      <c r="J4442">
        <v>81</v>
      </c>
      <c r="K4442">
        <v>2</v>
      </c>
      <c r="L4442">
        <v>14.6</v>
      </c>
      <c r="M4442">
        <v>35.6</v>
      </c>
      <c r="N4442" t="s">
        <v>57</v>
      </c>
      <c r="O4442" t="s">
        <v>75</v>
      </c>
      <c r="P4442" t="s">
        <v>58</v>
      </c>
      <c r="R4442">
        <f>SUMIF(A4442:A9441,"C04441",I4442:I9441)</f>
        <v>41659.02</v>
      </c>
      <c r="S4442" s="1">
        <v>2352.14</v>
      </c>
      <c r="T4442">
        <f t="shared" si="499"/>
        <v>514.308888888889</v>
      </c>
      <c r="U4442">
        <f t="shared" si="498"/>
        <v>2883.6</v>
      </c>
      <c r="V4442">
        <f>U4442*2</f>
        <v>5767.2</v>
      </c>
      <c r="W4442">
        <f t="shared" si="503"/>
        <v>14588.28</v>
      </c>
      <c r="X4442">
        <f t="shared" si="501"/>
        <v>0.455620908201176</v>
      </c>
      <c r="AH4442" t="str">
        <f t="shared" si="504"/>
        <v>1st Quality</v>
      </c>
      <c r="AJ4442">
        <f>((T4442-X4442)*2)/14.6</f>
        <v>70.3908586274915</v>
      </c>
      <c r="AK4442">
        <f t="shared" si="502"/>
        <v>493222.224444444</v>
      </c>
    </row>
    <row r="4443" spans="1:37">
      <c r="A4443" t="s">
        <v>4509</v>
      </c>
      <c r="B4443">
        <v>34</v>
      </c>
      <c r="C4443" t="s">
        <v>101</v>
      </c>
      <c r="D4443" t="s">
        <v>45</v>
      </c>
      <c r="E4443">
        <v>672</v>
      </c>
      <c r="F4443">
        <v>13</v>
      </c>
      <c r="G4443">
        <v>8</v>
      </c>
      <c r="H4443">
        <v>1595.63</v>
      </c>
      <c r="I4443">
        <v>14148.08</v>
      </c>
      <c r="J4443">
        <v>68</v>
      </c>
      <c r="K4443">
        <v>0</v>
      </c>
      <c r="L4443">
        <v>36.6</v>
      </c>
      <c r="M4443">
        <v>14.2</v>
      </c>
      <c r="N4443" t="s">
        <v>81</v>
      </c>
      <c r="O4443" t="s">
        <v>47</v>
      </c>
      <c r="P4443" t="s">
        <v>66</v>
      </c>
      <c r="R4443">
        <f>SUMIF(A4443:A9442,"C04442",I4443:I9442)</f>
        <v>14148.08</v>
      </c>
      <c r="S4443" s="1">
        <v>63590.78</v>
      </c>
      <c r="T4443">
        <f t="shared" si="499"/>
        <v>208.06</v>
      </c>
      <c r="U4443">
        <f t="shared" si="498"/>
        <v>965.6</v>
      </c>
      <c r="V4443">
        <f t="shared" si="500"/>
        <v>80.4666666666667</v>
      </c>
      <c r="W4443">
        <f t="shared" si="503"/>
        <v>5248.23666666667</v>
      </c>
      <c r="X4443">
        <f t="shared" si="501"/>
        <v>0.421150266665831</v>
      </c>
      <c r="AH4443" t="str">
        <f t="shared" si="504"/>
        <v>3rd Quality</v>
      </c>
      <c r="AJ4443">
        <f>((T4443-X4443)*2)/36.6</f>
        <v>11.3463852313297</v>
      </c>
      <c r="AK4443">
        <f t="shared" si="502"/>
        <v>139816.32</v>
      </c>
    </row>
    <row r="4444" spans="1:37">
      <c r="A4444" t="s">
        <v>4510</v>
      </c>
      <c r="B4444">
        <v>38</v>
      </c>
      <c r="C4444" t="s">
        <v>50</v>
      </c>
      <c r="D4444" t="s">
        <v>60</v>
      </c>
      <c r="E4444">
        <v>1006</v>
      </c>
      <c r="F4444">
        <v>41</v>
      </c>
      <c r="G4444">
        <v>2</v>
      </c>
      <c r="H4444">
        <v>1699.54</v>
      </c>
      <c r="I4444">
        <v>3802.68</v>
      </c>
      <c r="J4444">
        <v>8</v>
      </c>
      <c r="K4444">
        <v>0</v>
      </c>
      <c r="L4444">
        <v>29.6</v>
      </c>
      <c r="M4444">
        <v>68.5</v>
      </c>
      <c r="N4444" t="s">
        <v>61</v>
      </c>
      <c r="O4444" t="s">
        <v>53</v>
      </c>
      <c r="P4444" t="s">
        <v>58</v>
      </c>
      <c r="R4444">
        <f>SUMIF(A4444:A9443,"C04443",I4444:I9443)</f>
        <v>3802.68</v>
      </c>
      <c r="S4444" s="1">
        <v>10650.03</v>
      </c>
      <c r="T4444">
        <f t="shared" si="499"/>
        <v>475.335</v>
      </c>
      <c r="U4444">
        <f t="shared" si="498"/>
        <v>548</v>
      </c>
      <c r="V4444">
        <f t="shared" si="500"/>
        <v>45.6666666666667</v>
      </c>
      <c r="W4444">
        <f t="shared" si="503"/>
        <v>1834.40666666667</v>
      </c>
      <c r="X4444">
        <f t="shared" si="501"/>
        <v>0.591924873789378</v>
      </c>
      <c r="AH4444" t="str">
        <f t="shared" si="504"/>
        <v>3rd Quality</v>
      </c>
      <c r="AJ4444">
        <f>((T4444-X4444)*2)/29.6</f>
        <v>32.077234805825</v>
      </c>
      <c r="AK4444">
        <f t="shared" si="502"/>
        <v>478187.01</v>
      </c>
    </row>
    <row r="4445" spans="1:37">
      <c r="A4445" t="s">
        <v>4511</v>
      </c>
      <c r="B4445">
        <v>32</v>
      </c>
      <c r="C4445" t="s">
        <v>101</v>
      </c>
      <c r="D4445" t="s">
        <v>45</v>
      </c>
      <c r="E4445">
        <v>913</v>
      </c>
      <c r="F4445">
        <v>88</v>
      </c>
      <c r="G4445">
        <v>1</v>
      </c>
      <c r="H4445">
        <v>2249.95</v>
      </c>
      <c r="I4445">
        <v>2352.14</v>
      </c>
      <c r="J4445">
        <v>9</v>
      </c>
      <c r="K4445">
        <v>0</v>
      </c>
      <c r="L4445">
        <v>11.4</v>
      </c>
      <c r="M4445">
        <v>38.9</v>
      </c>
      <c r="N4445" t="s">
        <v>78</v>
      </c>
      <c r="O4445" t="s">
        <v>47</v>
      </c>
      <c r="P4445" t="s">
        <v>58</v>
      </c>
      <c r="R4445">
        <f>SUMIF(A4445:A9444,"C04444",I4445:I9444)</f>
        <v>2352.14</v>
      </c>
      <c r="S4445" s="1">
        <v>6883.07</v>
      </c>
      <c r="T4445">
        <f t="shared" si="499"/>
        <v>261.348888888889</v>
      </c>
      <c r="U4445">
        <f t="shared" si="498"/>
        <v>350.1</v>
      </c>
      <c r="V4445">
        <f t="shared" si="500"/>
        <v>29.175</v>
      </c>
      <c r="W4445">
        <f t="shared" si="503"/>
        <v>1534.36333333333</v>
      </c>
      <c r="X4445">
        <f t="shared" si="501"/>
        <v>0.405786795262117</v>
      </c>
      <c r="AH4445" t="str">
        <f t="shared" si="504"/>
        <v>3rd Quality</v>
      </c>
      <c r="AJ4445">
        <f>((T4445-X4445)*2)/11.4</f>
        <v>45.7794915953731</v>
      </c>
      <c r="AK4445">
        <f t="shared" si="502"/>
        <v>238611.535555556</v>
      </c>
    </row>
    <row r="4446" spans="1:37">
      <c r="A4446" t="s">
        <v>4512</v>
      </c>
      <c r="B4446">
        <v>34</v>
      </c>
      <c r="C4446" t="s">
        <v>50</v>
      </c>
      <c r="D4446" t="s">
        <v>60</v>
      </c>
      <c r="E4446">
        <v>1080</v>
      </c>
      <c r="F4446">
        <v>26</v>
      </c>
      <c r="G4446">
        <v>26</v>
      </c>
      <c r="H4446">
        <v>2498.3</v>
      </c>
      <c r="I4446">
        <v>63590.78</v>
      </c>
      <c r="J4446">
        <v>162</v>
      </c>
      <c r="K4446">
        <v>4</v>
      </c>
      <c r="L4446">
        <v>7.8</v>
      </c>
      <c r="M4446">
        <v>29</v>
      </c>
      <c r="N4446" t="s">
        <v>78</v>
      </c>
      <c r="O4446" t="s">
        <v>47</v>
      </c>
      <c r="P4446" t="s">
        <v>58</v>
      </c>
      <c r="R4446">
        <f>SUMIF(A4446:A9445,"C04445",I4446:I9445)</f>
        <v>63590.78</v>
      </c>
      <c r="S4446" s="1">
        <v>9211.96</v>
      </c>
      <c r="T4446">
        <f t="shared" si="499"/>
        <v>392.535679012346</v>
      </c>
      <c r="U4446">
        <f t="shared" si="498"/>
        <v>4698</v>
      </c>
      <c r="V4446">
        <f>U4446*4</f>
        <v>18792</v>
      </c>
      <c r="W4446">
        <f t="shared" si="503"/>
        <v>22030.0266666667</v>
      </c>
      <c r="X4446">
        <f t="shared" si="501"/>
        <v>0.432293959892727</v>
      </c>
      <c r="AH4446" t="str">
        <f t="shared" si="504"/>
        <v>2nd Quality</v>
      </c>
      <c r="AJ4446">
        <f>((T4446-X4446)*2)/7.8</f>
        <v>100.539329500629</v>
      </c>
      <c r="AK4446">
        <f t="shared" si="502"/>
        <v>423938.533333333</v>
      </c>
    </row>
    <row r="4447" spans="1:37">
      <c r="A4447" t="s">
        <v>4513</v>
      </c>
      <c r="B4447">
        <v>22</v>
      </c>
      <c r="C4447" t="s">
        <v>50</v>
      </c>
      <c r="D4447" t="s">
        <v>45</v>
      </c>
      <c r="E4447">
        <v>1011</v>
      </c>
      <c r="F4447">
        <v>10</v>
      </c>
      <c r="G4447">
        <v>10</v>
      </c>
      <c r="H4447">
        <v>1188.05</v>
      </c>
      <c r="I4447">
        <v>10650.03</v>
      </c>
      <c r="J4447">
        <v>24</v>
      </c>
      <c r="K4447">
        <v>0</v>
      </c>
      <c r="L4447">
        <v>27.5</v>
      </c>
      <c r="M4447">
        <v>31.3</v>
      </c>
      <c r="N4447" t="s">
        <v>57</v>
      </c>
      <c r="O4447" t="s">
        <v>47</v>
      </c>
      <c r="P4447" t="s">
        <v>68</v>
      </c>
      <c r="R4447">
        <f>SUMIF(A4447:A9446,"C04446",I4447:I9446)</f>
        <v>10650.03</v>
      </c>
      <c r="S4447" s="1">
        <v>19801.78</v>
      </c>
      <c r="T4447">
        <f t="shared" si="499"/>
        <v>443.75125</v>
      </c>
      <c r="U4447">
        <f t="shared" si="498"/>
        <v>751.2</v>
      </c>
      <c r="V4447">
        <f t="shared" si="500"/>
        <v>62.6</v>
      </c>
      <c r="W4447">
        <f t="shared" si="503"/>
        <v>3946.36</v>
      </c>
      <c r="X4447">
        <f t="shared" si="501"/>
        <v>0.850974285594041</v>
      </c>
      <c r="AH4447" t="str">
        <f t="shared" si="504"/>
        <v>3rd Quality</v>
      </c>
      <c r="AJ4447">
        <f>((T4447-X4447)*2)/27.5</f>
        <v>32.2109291428659</v>
      </c>
      <c r="AK4447">
        <f t="shared" si="502"/>
        <v>448632.51375</v>
      </c>
    </row>
    <row r="4448" spans="1:37">
      <c r="A4448" t="s">
        <v>4514</v>
      </c>
      <c r="B4448">
        <v>47</v>
      </c>
      <c r="C4448" t="s">
        <v>44</v>
      </c>
      <c r="D4448" t="s">
        <v>45</v>
      </c>
      <c r="E4448">
        <v>434</v>
      </c>
      <c r="F4448">
        <v>11</v>
      </c>
      <c r="G4448">
        <v>9</v>
      </c>
      <c r="H4448">
        <v>748.09</v>
      </c>
      <c r="I4448">
        <v>6883.07</v>
      </c>
      <c r="J4448">
        <v>34</v>
      </c>
      <c r="K4448">
        <v>1</v>
      </c>
      <c r="L4448">
        <v>9.9</v>
      </c>
      <c r="M4448">
        <v>55.2</v>
      </c>
      <c r="N4448" t="s">
        <v>57</v>
      </c>
      <c r="O4448" t="s">
        <v>47</v>
      </c>
      <c r="P4448" t="s">
        <v>48</v>
      </c>
      <c r="R4448">
        <f>SUMIF(A4448:A9447,"C04447",I4448:I9447)</f>
        <v>6883.07</v>
      </c>
      <c r="S4448" s="1">
        <v>110200.39</v>
      </c>
      <c r="T4448">
        <f t="shared" si="499"/>
        <v>202.443235294118</v>
      </c>
      <c r="U4448">
        <f t="shared" si="498"/>
        <v>1876.8</v>
      </c>
      <c r="V4448">
        <f>U4448*1</f>
        <v>1876.8</v>
      </c>
      <c r="W4448">
        <f t="shared" si="503"/>
        <v>2544.05333333333</v>
      </c>
      <c r="X4448">
        <f t="shared" si="501"/>
        <v>0.580144100308786</v>
      </c>
      <c r="AH4448" t="str">
        <f t="shared" si="504"/>
        <v>3rd Quality</v>
      </c>
      <c r="AJ4448">
        <f>((T4448-X4448)*2)/9.9</f>
        <v>40.7804224633958</v>
      </c>
      <c r="AK4448">
        <f t="shared" si="502"/>
        <v>87860.3641176471</v>
      </c>
    </row>
    <row r="4449" spans="1:37">
      <c r="A4449" t="s">
        <v>4515</v>
      </c>
      <c r="B4449">
        <v>23</v>
      </c>
      <c r="C4449" t="s">
        <v>44</v>
      </c>
      <c r="D4449" t="s">
        <v>60</v>
      </c>
      <c r="E4449">
        <v>377</v>
      </c>
      <c r="F4449">
        <v>62</v>
      </c>
      <c r="G4449">
        <v>9</v>
      </c>
      <c r="H4449">
        <v>1028.06</v>
      </c>
      <c r="I4449">
        <v>9211.96</v>
      </c>
      <c r="J4449">
        <v>61</v>
      </c>
      <c r="K4449">
        <v>0</v>
      </c>
      <c r="L4449">
        <v>24.6</v>
      </c>
      <c r="M4449">
        <v>24.3</v>
      </c>
      <c r="N4449" t="s">
        <v>63</v>
      </c>
      <c r="O4449" t="s">
        <v>53</v>
      </c>
      <c r="P4449" t="s">
        <v>66</v>
      </c>
      <c r="R4449">
        <f>SUMIF(A4449:A9448,"C04448",I4449:I9448)</f>
        <v>9211.96</v>
      </c>
      <c r="S4449" s="1">
        <v>824.18</v>
      </c>
      <c r="T4449">
        <f t="shared" si="499"/>
        <v>151.015737704918</v>
      </c>
      <c r="U4449">
        <f t="shared" si="498"/>
        <v>1482.3</v>
      </c>
      <c r="V4449">
        <f t="shared" si="500"/>
        <v>123.525</v>
      </c>
      <c r="W4449">
        <f t="shared" si="503"/>
        <v>3413.67333333333</v>
      </c>
      <c r="X4449">
        <f t="shared" si="501"/>
        <v>0.36671011419567</v>
      </c>
      <c r="AH4449" t="str">
        <f t="shared" si="504"/>
        <v>3rd Quality</v>
      </c>
      <c r="AJ4449">
        <f>((T4449-X4449)*2)/24.6</f>
        <v>12.2478884220099</v>
      </c>
      <c r="AK4449">
        <f t="shared" si="502"/>
        <v>56932.9331147541</v>
      </c>
    </row>
    <row r="4450" spans="1:37">
      <c r="A4450" t="s">
        <v>4516</v>
      </c>
      <c r="B4450">
        <v>49</v>
      </c>
      <c r="C4450" t="s">
        <v>44</v>
      </c>
      <c r="D4450" t="s">
        <v>45</v>
      </c>
      <c r="E4450">
        <v>701</v>
      </c>
      <c r="F4450">
        <v>38</v>
      </c>
      <c r="G4450">
        <v>2</v>
      </c>
      <c r="H4450">
        <v>9511.19</v>
      </c>
      <c r="I4450">
        <v>19801.78</v>
      </c>
      <c r="J4450">
        <v>26</v>
      </c>
      <c r="K4450">
        <v>0</v>
      </c>
      <c r="L4450">
        <v>0.4</v>
      </c>
      <c r="M4450">
        <v>18.5</v>
      </c>
      <c r="N4450" t="s">
        <v>46</v>
      </c>
      <c r="O4450" t="s">
        <v>47</v>
      </c>
      <c r="P4450" t="s">
        <v>48</v>
      </c>
      <c r="R4450">
        <f>SUMIF(A4450:A9449,"C04449",I4450:I9449)</f>
        <v>19801.78</v>
      </c>
      <c r="S4450" s="1">
        <v>1356.27</v>
      </c>
      <c r="T4450">
        <f t="shared" si="499"/>
        <v>761.606923076923</v>
      </c>
      <c r="U4450">
        <f t="shared" ref="U4450:U4513" si="505">J4450*M4450</f>
        <v>481</v>
      </c>
      <c r="V4450">
        <f t="shared" si="500"/>
        <v>40.0833333333333</v>
      </c>
      <c r="W4450">
        <f t="shared" si="503"/>
        <v>9771.32333333333</v>
      </c>
      <c r="X4450">
        <f t="shared" si="501"/>
        <v>0.0737026597092477</v>
      </c>
      <c r="AH4450" t="str">
        <f t="shared" si="504"/>
        <v>3rd Quality</v>
      </c>
      <c r="AJ4450">
        <f>((T4450-X4450)*2)/0.4</f>
        <v>3807.66610208607</v>
      </c>
      <c r="AK4450">
        <f t="shared" si="502"/>
        <v>533886.453076923</v>
      </c>
    </row>
    <row r="4451" spans="1:37">
      <c r="A4451" t="s">
        <v>4517</v>
      </c>
      <c r="B4451">
        <v>47</v>
      </c>
      <c r="C4451" t="s">
        <v>50</v>
      </c>
      <c r="D4451" t="s">
        <v>60</v>
      </c>
      <c r="E4451">
        <v>744</v>
      </c>
      <c r="F4451">
        <v>8</v>
      </c>
      <c r="G4451">
        <v>29</v>
      </c>
      <c r="H4451">
        <v>3418.9</v>
      </c>
      <c r="I4451">
        <v>110200.39</v>
      </c>
      <c r="J4451">
        <v>63</v>
      </c>
      <c r="K4451">
        <v>1</v>
      </c>
      <c r="L4451">
        <v>9</v>
      </c>
      <c r="M4451">
        <v>62.3</v>
      </c>
      <c r="N4451" t="s">
        <v>52</v>
      </c>
      <c r="O4451" t="s">
        <v>47</v>
      </c>
      <c r="P4451" t="s">
        <v>58</v>
      </c>
      <c r="R4451">
        <f>SUMIF(A4451:A9450,"C04450",I4451:I9450)</f>
        <v>110200.39</v>
      </c>
      <c r="S4451" s="1">
        <v>20562.52</v>
      </c>
      <c r="T4451">
        <f t="shared" si="499"/>
        <v>1749.21253968254</v>
      </c>
      <c r="U4451">
        <f t="shared" si="505"/>
        <v>3924.9</v>
      </c>
      <c r="V4451">
        <f>U4451*1</f>
        <v>3924.9</v>
      </c>
      <c r="W4451">
        <f t="shared" si="503"/>
        <v>37873.43</v>
      </c>
      <c r="X4451">
        <f t="shared" si="501"/>
        <v>0.217613852408669</v>
      </c>
      <c r="AH4451" t="str">
        <f t="shared" si="504"/>
        <v>3rd Quality</v>
      </c>
      <c r="AJ4451">
        <f>((T4451-X4451)*2)/9</f>
        <v>388.665539073362</v>
      </c>
      <c r="AK4451">
        <f t="shared" si="502"/>
        <v>1301414.12952381</v>
      </c>
    </row>
    <row r="4452" spans="1:37">
      <c r="A4452" t="s">
        <v>4518</v>
      </c>
      <c r="B4452">
        <v>29</v>
      </c>
      <c r="C4452" t="s">
        <v>44</v>
      </c>
      <c r="D4452" t="s">
        <v>60</v>
      </c>
      <c r="E4452">
        <v>862</v>
      </c>
      <c r="F4452">
        <v>154</v>
      </c>
      <c r="G4452">
        <v>2</v>
      </c>
      <c r="H4452">
        <v>447.91</v>
      </c>
      <c r="I4452">
        <v>824.18</v>
      </c>
      <c r="J4452">
        <v>19</v>
      </c>
      <c r="K4452">
        <v>1</v>
      </c>
      <c r="L4452">
        <v>29.5</v>
      </c>
      <c r="M4452">
        <v>27.5</v>
      </c>
      <c r="N4452" t="s">
        <v>52</v>
      </c>
      <c r="O4452" t="s">
        <v>47</v>
      </c>
      <c r="P4452" t="s">
        <v>68</v>
      </c>
      <c r="R4452">
        <f>SUMIF(A4452:A9451,"C04451",I4452:I9451)</f>
        <v>824.18</v>
      </c>
      <c r="S4452" s="1">
        <v>1399.41</v>
      </c>
      <c r="T4452">
        <f t="shared" si="499"/>
        <v>43.3778947368421</v>
      </c>
      <c r="U4452">
        <f t="shared" si="505"/>
        <v>522.5</v>
      </c>
      <c r="V4452">
        <f>U4452*1</f>
        <v>522.5</v>
      </c>
      <c r="W4452">
        <f t="shared" si="503"/>
        <v>424.363333333333</v>
      </c>
      <c r="X4452">
        <f t="shared" si="501"/>
        <v>1.92449375990712</v>
      </c>
      <c r="AH4452" t="str">
        <f t="shared" si="504"/>
        <v>3rd Quality</v>
      </c>
      <c r="AJ4452">
        <f>((T4452-X4452)*2)/29.5</f>
        <v>2.81040006623288</v>
      </c>
      <c r="AK4452">
        <f t="shared" si="502"/>
        <v>37391.7452631579</v>
      </c>
    </row>
    <row r="4453" spans="1:37">
      <c r="A4453" t="s">
        <v>4519</v>
      </c>
      <c r="B4453">
        <v>49</v>
      </c>
      <c r="C4453" t="s">
        <v>44</v>
      </c>
      <c r="D4453" t="s">
        <v>60</v>
      </c>
      <c r="E4453">
        <v>1138</v>
      </c>
      <c r="F4453">
        <v>207</v>
      </c>
      <c r="G4453">
        <v>1</v>
      </c>
      <c r="H4453">
        <v>1399.73</v>
      </c>
      <c r="I4453">
        <v>1356.27</v>
      </c>
      <c r="J4453">
        <v>18</v>
      </c>
      <c r="K4453">
        <v>0</v>
      </c>
      <c r="L4453">
        <v>5</v>
      </c>
      <c r="M4453">
        <v>36.7</v>
      </c>
      <c r="N4453" t="s">
        <v>57</v>
      </c>
      <c r="O4453" t="s">
        <v>47</v>
      </c>
      <c r="P4453" t="s">
        <v>58</v>
      </c>
      <c r="R4453">
        <f>SUMIF(A4453:A9452,"C04452",I4453:I9452)</f>
        <v>1356.27</v>
      </c>
      <c r="S4453" s="1">
        <v>31775.27</v>
      </c>
      <c r="T4453">
        <f t="shared" si="499"/>
        <v>75.3483333333333</v>
      </c>
      <c r="U4453">
        <f t="shared" si="505"/>
        <v>660.6</v>
      </c>
      <c r="V4453">
        <f t="shared" si="500"/>
        <v>55.05</v>
      </c>
      <c r="W4453">
        <f t="shared" si="503"/>
        <v>919</v>
      </c>
      <c r="X4453">
        <f t="shared" si="501"/>
        <v>0.813013938402406</v>
      </c>
      <c r="AH4453" t="str">
        <f t="shared" si="504"/>
        <v>3rd Quality</v>
      </c>
      <c r="AJ4453">
        <f>((T4453-X4453)*2)/5</f>
        <v>29.8141277579724</v>
      </c>
      <c r="AK4453">
        <f t="shared" si="502"/>
        <v>85746.4033333333</v>
      </c>
    </row>
    <row r="4454" spans="1:37">
      <c r="A4454" t="s">
        <v>4520</v>
      </c>
      <c r="B4454">
        <v>37</v>
      </c>
      <c r="C4454" t="s">
        <v>44</v>
      </c>
      <c r="D4454" t="s">
        <v>60</v>
      </c>
      <c r="E4454">
        <v>1430</v>
      </c>
      <c r="F4454">
        <v>1</v>
      </c>
      <c r="G4454">
        <v>2</v>
      </c>
      <c r="H4454">
        <v>10096.73</v>
      </c>
      <c r="I4454">
        <v>20562.52</v>
      </c>
      <c r="J4454">
        <v>19</v>
      </c>
      <c r="K4454">
        <v>0</v>
      </c>
      <c r="L4454">
        <v>23.3</v>
      </c>
      <c r="M4454">
        <v>46.5</v>
      </c>
      <c r="N4454" t="s">
        <v>57</v>
      </c>
      <c r="O4454" t="s">
        <v>53</v>
      </c>
      <c r="P4454" t="s">
        <v>58</v>
      </c>
      <c r="R4454">
        <f>SUMIF(A4454:A9453,"C04453",I4454:I9453)</f>
        <v>20562.52</v>
      </c>
      <c r="S4454" s="1">
        <v>11653.56</v>
      </c>
      <c r="T4454">
        <f t="shared" si="499"/>
        <v>1082.23789473684</v>
      </c>
      <c r="U4454">
        <f t="shared" si="505"/>
        <v>883.5</v>
      </c>
      <c r="V4454">
        <f t="shared" si="500"/>
        <v>73.625</v>
      </c>
      <c r="W4454">
        <f t="shared" si="503"/>
        <v>10220.0833333333</v>
      </c>
      <c r="X4454">
        <f t="shared" si="501"/>
        <v>0.14163001288536</v>
      </c>
      <c r="AH4454" t="str">
        <f t="shared" si="504"/>
        <v>2nd Quality</v>
      </c>
      <c r="AJ4454">
        <f>((T4454-X4454)*2)/23.3</f>
        <v>92.8837995471206</v>
      </c>
      <c r="AK4454">
        <f t="shared" si="502"/>
        <v>1547600.18947368</v>
      </c>
    </row>
    <row r="4455" spans="1:37">
      <c r="A4455" t="s">
        <v>4521</v>
      </c>
      <c r="B4455">
        <v>27</v>
      </c>
      <c r="C4455" t="s">
        <v>50</v>
      </c>
      <c r="D4455" t="s">
        <v>45</v>
      </c>
      <c r="E4455">
        <v>1188</v>
      </c>
      <c r="F4455">
        <v>52</v>
      </c>
      <c r="G4455">
        <v>1</v>
      </c>
      <c r="H4455">
        <v>1451.41</v>
      </c>
      <c r="I4455">
        <v>1399.41</v>
      </c>
      <c r="J4455">
        <v>11</v>
      </c>
      <c r="K4455">
        <v>0</v>
      </c>
      <c r="L4455">
        <v>25.6</v>
      </c>
      <c r="M4455">
        <v>35.2</v>
      </c>
      <c r="N4455" t="s">
        <v>52</v>
      </c>
      <c r="O4455" t="s">
        <v>53</v>
      </c>
      <c r="P4455" t="s">
        <v>58</v>
      </c>
      <c r="R4455">
        <f>SUMIF(A4455:A9454,"C04454",I4455:I9454)</f>
        <v>1399.41</v>
      </c>
      <c r="S4455" s="1">
        <v>48285.37</v>
      </c>
      <c r="T4455">
        <f t="shared" ref="T4455:T4518" si="506">I4455/J4455</f>
        <v>127.219090909091</v>
      </c>
      <c r="U4455">
        <f t="shared" si="505"/>
        <v>387.2</v>
      </c>
      <c r="V4455">
        <f t="shared" si="500"/>
        <v>32.2666666666667</v>
      </c>
      <c r="W4455">
        <f t="shared" si="503"/>
        <v>950.606666666667</v>
      </c>
      <c r="X4455">
        <f t="shared" si="501"/>
        <v>0.818514410125326</v>
      </c>
      <c r="AH4455" t="str">
        <f t="shared" si="504"/>
        <v>3rd Quality</v>
      </c>
      <c r="AJ4455">
        <f>((T4455-X4455)*2)/25.6</f>
        <v>9.87504503898169</v>
      </c>
      <c r="AK4455">
        <f t="shared" si="502"/>
        <v>151136.28</v>
      </c>
    </row>
    <row r="4456" spans="1:37">
      <c r="A4456" t="s">
        <v>4522</v>
      </c>
      <c r="B4456">
        <v>39</v>
      </c>
      <c r="C4456" t="s">
        <v>44</v>
      </c>
      <c r="D4456" t="s">
        <v>60</v>
      </c>
      <c r="E4456">
        <v>769</v>
      </c>
      <c r="F4456">
        <v>115</v>
      </c>
      <c r="G4456">
        <v>5</v>
      </c>
      <c r="H4456">
        <v>6890.8</v>
      </c>
      <c r="I4456">
        <v>31775.27</v>
      </c>
      <c r="J4456">
        <v>41</v>
      </c>
      <c r="K4456">
        <v>1</v>
      </c>
      <c r="L4456">
        <v>16.5</v>
      </c>
      <c r="M4456">
        <v>45.2</v>
      </c>
      <c r="N4456" t="s">
        <v>52</v>
      </c>
      <c r="O4456" t="s">
        <v>47</v>
      </c>
      <c r="P4456" t="s">
        <v>66</v>
      </c>
      <c r="R4456">
        <f>SUMIF(A4456:A9455,"C04455",I4456:I9455)</f>
        <v>31775.27</v>
      </c>
      <c r="S4456" s="1">
        <v>23349.04</v>
      </c>
      <c r="T4456">
        <f t="shared" si="506"/>
        <v>775.006585365854</v>
      </c>
      <c r="U4456">
        <f t="shared" si="505"/>
        <v>1853.2</v>
      </c>
      <c r="V4456">
        <f>U4456*1</f>
        <v>1853.2</v>
      </c>
      <c r="W4456">
        <f t="shared" si="503"/>
        <v>12889.0233333333</v>
      </c>
      <c r="X4456">
        <f t="shared" si="501"/>
        <v>0.111598072792709</v>
      </c>
      <c r="AH4456" t="str">
        <f t="shared" si="504"/>
        <v>2nd Quality</v>
      </c>
      <c r="AJ4456">
        <f>((T4456-X4456)*2)/16.5</f>
        <v>93.9266651264317</v>
      </c>
      <c r="AK4456">
        <f t="shared" si="502"/>
        <v>595980.064146341</v>
      </c>
    </row>
    <row r="4457" spans="1:37">
      <c r="A4457" t="s">
        <v>4523</v>
      </c>
      <c r="B4457">
        <v>27</v>
      </c>
      <c r="C4457" t="s">
        <v>44</v>
      </c>
      <c r="D4457" t="s">
        <v>60</v>
      </c>
      <c r="E4457">
        <v>625</v>
      </c>
      <c r="F4457">
        <v>35</v>
      </c>
      <c r="G4457">
        <v>7</v>
      </c>
      <c r="H4457">
        <v>1626.33</v>
      </c>
      <c r="I4457">
        <v>11653.56</v>
      </c>
      <c r="J4457">
        <v>63</v>
      </c>
      <c r="K4457">
        <v>0</v>
      </c>
      <c r="L4457">
        <v>11</v>
      </c>
      <c r="M4457">
        <v>16.7</v>
      </c>
      <c r="N4457" t="s">
        <v>81</v>
      </c>
      <c r="O4457" t="s">
        <v>47</v>
      </c>
      <c r="P4457" t="s">
        <v>58</v>
      </c>
      <c r="R4457">
        <f>SUMIF(A4457:A9456,"C04456",I4457:I9456)</f>
        <v>11653.56</v>
      </c>
      <c r="S4457" s="1">
        <v>38289.83</v>
      </c>
      <c r="T4457">
        <f t="shared" si="506"/>
        <v>184.977142857143</v>
      </c>
      <c r="U4457">
        <f t="shared" si="505"/>
        <v>1052.1</v>
      </c>
      <c r="V4457">
        <f t="shared" si="500"/>
        <v>87.675</v>
      </c>
      <c r="W4457">
        <f t="shared" si="503"/>
        <v>4426.96333333333</v>
      </c>
      <c r="X4457">
        <f t="shared" si="501"/>
        <v>0.384300849151156</v>
      </c>
      <c r="AH4457" t="str">
        <f t="shared" si="504"/>
        <v>3rd Quality</v>
      </c>
      <c r="AJ4457">
        <f>((T4457-X4457)*2)/11</f>
        <v>33.562334910544</v>
      </c>
      <c r="AK4457">
        <f t="shared" si="502"/>
        <v>115610.714285714</v>
      </c>
    </row>
    <row r="4458" spans="1:37">
      <c r="A4458" t="s">
        <v>4524</v>
      </c>
      <c r="B4458">
        <v>29</v>
      </c>
      <c r="C4458" t="s">
        <v>44</v>
      </c>
      <c r="D4458" t="s">
        <v>60</v>
      </c>
      <c r="E4458">
        <v>758</v>
      </c>
      <c r="F4458">
        <v>21</v>
      </c>
      <c r="G4458">
        <v>21</v>
      </c>
      <c r="H4458">
        <v>2585.08</v>
      </c>
      <c r="I4458">
        <v>48285.37</v>
      </c>
      <c r="J4458">
        <v>91</v>
      </c>
      <c r="K4458">
        <v>0</v>
      </c>
      <c r="L4458">
        <v>4.8</v>
      </c>
      <c r="M4458">
        <v>40.8</v>
      </c>
      <c r="N4458" t="s">
        <v>78</v>
      </c>
      <c r="O4458" t="s">
        <v>47</v>
      </c>
      <c r="P4458" t="s">
        <v>58</v>
      </c>
      <c r="R4458">
        <f>SUMIF(A4458:A9457,"C04457",I4458:I9457)</f>
        <v>48285.37</v>
      </c>
      <c r="S4458" s="1">
        <v>568.58</v>
      </c>
      <c r="T4458">
        <f t="shared" si="506"/>
        <v>530.608461538462</v>
      </c>
      <c r="U4458">
        <f t="shared" si="505"/>
        <v>3712.8</v>
      </c>
      <c r="V4458">
        <f t="shared" si="500"/>
        <v>309.4</v>
      </c>
      <c r="W4458">
        <f t="shared" si="503"/>
        <v>16957.15</v>
      </c>
      <c r="X4458">
        <f t="shared" si="501"/>
        <v>0.29322109954044</v>
      </c>
      <c r="AH4458" t="str">
        <f t="shared" si="504"/>
        <v>2nd Quality</v>
      </c>
      <c r="AJ4458">
        <f>((T4458-X4458)*2)/4.8</f>
        <v>220.964683516217</v>
      </c>
      <c r="AK4458">
        <f t="shared" si="502"/>
        <v>402201.213846154</v>
      </c>
    </row>
    <row r="4459" spans="1:37">
      <c r="A4459" t="s">
        <v>4525</v>
      </c>
      <c r="B4459">
        <v>29</v>
      </c>
      <c r="C4459" t="s">
        <v>44</v>
      </c>
      <c r="D4459" t="s">
        <v>51</v>
      </c>
      <c r="E4459">
        <v>638</v>
      </c>
      <c r="F4459">
        <v>64</v>
      </c>
      <c r="G4459">
        <v>3</v>
      </c>
      <c r="H4459">
        <v>8019.67</v>
      </c>
      <c r="I4459">
        <v>23349.04</v>
      </c>
      <c r="J4459">
        <v>26</v>
      </c>
      <c r="K4459">
        <v>0</v>
      </c>
      <c r="L4459">
        <v>11.9</v>
      </c>
      <c r="M4459">
        <v>49.1</v>
      </c>
      <c r="N4459" t="s">
        <v>52</v>
      </c>
      <c r="O4459" t="s">
        <v>47</v>
      </c>
      <c r="P4459" t="s">
        <v>58</v>
      </c>
      <c r="R4459">
        <f>SUMIF(A4459:A9458,"C04458",I4459:I9458)</f>
        <v>23349.04</v>
      </c>
      <c r="S4459" s="1">
        <v>6116.19</v>
      </c>
      <c r="T4459">
        <f t="shared" si="506"/>
        <v>898.04</v>
      </c>
      <c r="U4459">
        <f t="shared" si="505"/>
        <v>1276.6</v>
      </c>
      <c r="V4459">
        <f t="shared" si="500"/>
        <v>106.383333333333</v>
      </c>
      <c r="W4459">
        <f t="shared" si="503"/>
        <v>10456.57</v>
      </c>
      <c r="X4459">
        <f t="shared" si="501"/>
        <v>0.0795543956297454</v>
      </c>
      <c r="AH4459" t="str">
        <f t="shared" si="504"/>
        <v>2nd Quality</v>
      </c>
      <c r="AJ4459">
        <f>((T4459-X4459)*2)/11.9</f>
        <v>150.917721950314</v>
      </c>
      <c r="AK4459">
        <f t="shared" si="502"/>
        <v>572949.52</v>
      </c>
    </row>
    <row r="4460" spans="1:37">
      <c r="A4460" t="s">
        <v>4526</v>
      </c>
      <c r="B4460">
        <v>39</v>
      </c>
      <c r="C4460" t="s">
        <v>50</v>
      </c>
      <c r="D4460" t="s">
        <v>60</v>
      </c>
      <c r="E4460">
        <v>981</v>
      </c>
      <c r="F4460">
        <v>14</v>
      </c>
      <c r="G4460">
        <v>15</v>
      </c>
      <c r="H4460">
        <v>2292.57</v>
      </c>
      <c r="I4460">
        <v>38289.83</v>
      </c>
      <c r="J4460">
        <v>109</v>
      </c>
      <c r="K4460">
        <v>0</v>
      </c>
      <c r="L4460">
        <v>7.6</v>
      </c>
      <c r="M4460">
        <v>17.7</v>
      </c>
      <c r="N4460" t="s">
        <v>63</v>
      </c>
      <c r="O4460" t="s">
        <v>47</v>
      </c>
      <c r="P4460" t="s">
        <v>58</v>
      </c>
      <c r="R4460">
        <f>SUMIF(A4460:A9459,"C04459",I4460:I9459)</f>
        <v>38289.83</v>
      </c>
      <c r="S4460" s="1">
        <v>34747.61</v>
      </c>
      <c r="T4460">
        <f t="shared" si="506"/>
        <v>351.282844036697</v>
      </c>
      <c r="U4460">
        <f t="shared" si="505"/>
        <v>1929.3</v>
      </c>
      <c r="V4460">
        <f t="shared" si="500"/>
        <v>160.775</v>
      </c>
      <c r="W4460">
        <f t="shared" si="503"/>
        <v>13527.8</v>
      </c>
      <c r="X4460">
        <f t="shared" si="501"/>
        <v>0.427904055274212</v>
      </c>
      <c r="AH4460" t="str">
        <f t="shared" si="504"/>
        <v>2nd Quality</v>
      </c>
      <c r="AJ4460">
        <f>((T4460-X4460)*2)/7.6</f>
        <v>92.3302473635323</v>
      </c>
      <c r="AK4460">
        <f t="shared" si="502"/>
        <v>344608.47</v>
      </c>
    </row>
    <row r="4461" spans="1:37">
      <c r="A4461" t="s">
        <v>4527</v>
      </c>
      <c r="B4461">
        <v>36</v>
      </c>
      <c r="C4461" t="s">
        <v>44</v>
      </c>
      <c r="D4461" t="s">
        <v>51</v>
      </c>
      <c r="E4461">
        <v>1111</v>
      </c>
      <c r="F4461">
        <v>85</v>
      </c>
      <c r="G4461">
        <v>1</v>
      </c>
      <c r="H4461">
        <v>571.57</v>
      </c>
      <c r="I4461">
        <v>568.58</v>
      </c>
      <c r="J4461">
        <v>18</v>
      </c>
      <c r="K4461">
        <v>0</v>
      </c>
      <c r="L4461">
        <v>34.9</v>
      </c>
      <c r="M4461">
        <v>26.7</v>
      </c>
      <c r="N4461" t="s">
        <v>52</v>
      </c>
      <c r="O4461" t="s">
        <v>47</v>
      </c>
      <c r="P4461" t="s">
        <v>66</v>
      </c>
      <c r="R4461">
        <f>SUMIF(A4461:A9460,"C04460",I4461:I9460)</f>
        <v>568.58</v>
      </c>
      <c r="S4461" s="1">
        <v>9352.45</v>
      </c>
      <c r="T4461">
        <f t="shared" si="506"/>
        <v>31.5877777777778</v>
      </c>
      <c r="U4461">
        <f t="shared" si="505"/>
        <v>480.6</v>
      </c>
      <c r="V4461">
        <f t="shared" si="500"/>
        <v>40.05</v>
      </c>
      <c r="W4461">
        <f t="shared" si="503"/>
        <v>380.383333333333</v>
      </c>
      <c r="X4461">
        <f t="shared" si="501"/>
        <v>1.94376891719299</v>
      </c>
      <c r="AH4461" t="str">
        <f t="shared" si="504"/>
        <v>3rd Quality</v>
      </c>
      <c r="AJ4461">
        <f>((T4461-X4461)*2)/34.9</f>
        <v>1.69879706937449</v>
      </c>
      <c r="AK4461">
        <f t="shared" si="502"/>
        <v>35094.0211111111</v>
      </c>
    </row>
    <row r="4462" spans="1:37">
      <c r="A4462" t="s">
        <v>4528</v>
      </c>
      <c r="B4462">
        <v>45</v>
      </c>
      <c r="C4462" t="s">
        <v>50</v>
      </c>
      <c r="D4462" t="s">
        <v>45</v>
      </c>
      <c r="E4462">
        <v>655</v>
      </c>
      <c r="F4462">
        <v>16</v>
      </c>
      <c r="G4462">
        <v>6</v>
      </c>
      <c r="H4462">
        <v>1127.14</v>
      </c>
      <c r="I4462">
        <v>6116.19</v>
      </c>
      <c r="J4462">
        <v>32</v>
      </c>
      <c r="K4462">
        <v>0</v>
      </c>
      <c r="L4462">
        <v>26.7</v>
      </c>
      <c r="M4462">
        <v>24.9</v>
      </c>
      <c r="N4462" t="s">
        <v>63</v>
      </c>
      <c r="O4462" t="s">
        <v>47</v>
      </c>
      <c r="P4462" t="s">
        <v>58</v>
      </c>
      <c r="R4462">
        <f>SUMIF(A4462:A9461,"C04461",I4462:I9461)</f>
        <v>6116.19</v>
      </c>
      <c r="S4462" s="1">
        <v>3392.25</v>
      </c>
      <c r="T4462">
        <f t="shared" si="506"/>
        <v>191.1309375</v>
      </c>
      <c r="U4462">
        <f t="shared" si="505"/>
        <v>796.8</v>
      </c>
      <c r="V4462">
        <f t="shared" si="500"/>
        <v>66.4</v>
      </c>
      <c r="W4462">
        <f t="shared" si="503"/>
        <v>2414.77666666667</v>
      </c>
      <c r="X4462">
        <f t="shared" si="501"/>
        <v>0.581116808914598</v>
      </c>
      <c r="AH4462" t="str">
        <f t="shared" si="504"/>
        <v>3rd Quality</v>
      </c>
      <c r="AJ4462">
        <f>((T4462-X4462)*2)/26.7</f>
        <v>14.273394808321</v>
      </c>
      <c r="AK4462">
        <f t="shared" si="502"/>
        <v>125190.7640625</v>
      </c>
    </row>
    <row r="4463" spans="1:37">
      <c r="A4463" t="s">
        <v>4529</v>
      </c>
      <c r="B4463">
        <v>50</v>
      </c>
      <c r="C4463" t="s">
        <v>44</v>
      </c>
      <c r="D4463" t="s">
        <v>60</v>
      </c>
      <c r="E4463">
        <v>1035</v>
      </c>
      <c r="F4463">
        <v>10</v>
      </c>
      <c r="G4463">
        <v>16</v>
      </c>
      <c r="H4463">
        <v>2010.43</v>
      </c>
      <c r="I4463">
        <v>34747.61</v>
      </c>
      <c r="J4463">
        <v>86</v>
      </c>
      <c r="K4463">
        <v>0</v>
      </c>
      <c r="L4463">
        <v>16.5</v>
      </c>
      <c r="M4463">
        <v>67.9</v>
      </c>
      <c r="N4463" t="s">
        <v>61</v>
      </c>
      <c r="O4463" t="s">
        <v>47</v>
      </c>
      <c r="P4463" t="s">
        <v>58</v>
      </c>
      <c r="R4463">
        <f>SUMIF(A4463:A9462,"C04462",I4463:I9462)</f>
        <v>34747.61</v>
      </c>
      <c r="S4463" s="1">
        <v>107777.81</v>
      </c>
      <c r="T4463">
        <f t="shared" si="506"/>
        <v>404.041976744186</v>
      </c>
      <c r="U4463">
        <f t="shared" si="505"/>
        <v>5839.4</v>
      </c>
      <c r="V4463">
        <f t="shared" si="500"/>
        <v>486.616666666667</v>
      </c>
      <c r="W4463">
        <f t="shared" si="503"/>
        <v>12253.0133333333</v>
      </c>
      <c r="X4463">
        <f t="shared" si="501"/>
        <v>0.51481523853106</v>
      </c>
      <c r="AH4463" t="str">
        <f t="shared" si="504"/>
        <v>3rd Quality</v>
      </c>
      <c r="AJ4463">
        <f>((T4463-X4463)*2)/16.5</f>
        <v>48.9123832128067</v>
      </c>
      <c r="AK4463">
        <f t="shared" si="502"/>
        <v>418183.445930233</v>
      </c>
    </row>
    <row r="4464" spans="1:37">
      <c r="A4464" t="s">
        <v>4530</v>
      </c>
      <c r="B4464">
        <v>39</v>
      </c>
      <c r="C4464" t="s">
        <v>44</v>
      </c>
      <c r="D4464" t="s">
        <v>51</v>
      </c>
      <c r="E4464">
        <v>773</v>
      </c>
      <c r="F4464">
        <v>75</v>
      </c>
      <c r="G4464">
        <v>10</v>
      </c>
      <c r="H4464">
        <v>1013.3</v>
      </c>
      <c r="I4464">
        <v>9352.45</v>
      </c>
      <c r="J4464">
        <v>46</v>
      </c>
      <c r="K4464">
        <v>0</v>
      </c>
      <c r="L4464">
        <v>30.8</v>
      </c>
      <c r="M4464">
        <v>4.8</v>
      </c>
      <c r="N4464" t="s">
        <v>46</v>
      </c>
      <c r="O4464" t="s">
        <v>75</v>
      </c>
      <c r="P4464" t="s">
        <v>58</v>
      </c>
      <c r="R4464">
        <f>SUMIF(A4464:A9463,"C04463",I4464:I9463)</f>
        <v>9352.45</v>
      </c>
      <c r="S4464" s="1">
        <v>64942.91</v>
      </c>
      <c r="T4464">
        <f t="shared" si="506"/>
        <v>203.314130434783</v>
      </c>
      <c r="U4464">
        <f t="shared" si="505"/>
        <v>220.8</v>
      </c>
      <c r="V4464">
        <f t="shared" si="500"/>
        <v>18.4</v>
      </c>
      <c r="W4464">
        <f t="shared" si="503"/>
        <v>3455.58333333333</v>
      </c>
      <c r="X4464">
        <f t="shared" si="501"/>
        <v>0.762854041251357</v>
      </c>
      <c r="AH4464" t="str">
        <f t="shared" si="504"/>
        <v>3rd Quality</v>
      </c>
      <c r="AJ4464">
        <f>((T4464-X4464)*2)/30.8</f>
        <v>13.1526802852943</v>
      </c>
      <c r="AK4464">
        <f t="shared" si="502"/>
        <v>157161.822826087</v>
      </c>
    </row>
    <row r="4465" spans="1:37">
      <c r="A4465" t="s">
        <v>4531</v>
      </c>
      <c r="B4465">
        <v>46</v>
      </c>
      <c r="C4465" t="s">
        <v>50</v>
      </c>
      <c r="D4465" t="s">
        <v>51</v>
      </c>
      <c r="E4465">
        <v>912</v>
      </c>
      <c r="F4465">
        <v>256</v>
      </c>
      <c r="G4465">
        <v>3</v>
      </c>
      <c r="H4465">
        <v>1202.67</v>
      </c>
      <c r="I4465">
        <v>3392.25</v>
      </c>
      <c r="J4465">
        <v>19</v>
      </c>
      <c r="K4465">
        <v>0</v>
      </c>
      <c r="L4465">
        <v>21.3</v>
      </c>
      <c r="M4465">
        <v>12.4</v>
      </c>
      <c r="N4465" t="s">
        <v>78</v>
      </c>
      <c r="O4465" t="s">
        <v>53</v>
      </c>
      <c r="P4465" t="s">
        <v>58</v>
      </c>
      <c r="R4465">
        <f>SUMIF(A4465:A9464,"C04464",I4465:I9464)</f>
        <v>3392.25</v>
      </c>
      <c r="S4465" s="1">
        <v>83574.59</v>
      </c>
      <c r="T4465">
        <f t="shared" si="506"/>
        <v>178.539473684211</v>
      </c>
      <c r="U4465">
        <f t="shared" si="505"/>
        <v>235.6</v>
      </c>
      <c r="V4465">
        <f t="shared" si="500"/>
        <v>19.6333333333333</v>
      </c>
      <c r="W4465">
        <f t="shared" si="503"/>
        <v>1531.97333333333</v>
      </c>
      <c r="X4465">
        <f t="shared" si="501"/>
        <v>0.758312754122078</v>
      </c>
      <c r="AH4465" t="str">
        <f t="shared" si="504"/>
        <v>3rd Quality</v>
      </c>
      <c r="AJ4465">
        <f>((T4465-X4465)*2)/21.3</f>
        <v>16.693066753999</v>
      </c>
      <c r="AK4465">
        <f t="shared" si="502"/>
        <v>162828</v>
      </c>
    </row>
    <row r="4466" spans="1:37">
      <c r="A4466" t="s">
        <v>4532</v>
      </c>
      <c r="B4466">
        <v>35</v>
      </c>
      <c r="C4466" t="s">
        <v>50</v>
      </c>
      <c r="D4466" t="s">
        <v>51</v>
      </c>
      <c r="E4466">
        <v>630</v>
      </c>
      <c r="F4466">
        <v>12</v>
      </c>
      <c r="G4466">
        <v>28</v>
      </c>
      <c r="H4466">
        <v>3464.68</v>
      </c>
      <c r="I4466">
        <v>107777.81</v>
      </c>
      <c r="J4466">
        <v>120</v>
      </c>
      <c r="K4466">
        <v>2</v>
      </c>
      <c r="L4466">
        <v>0</v>
      </c>
      <c r="M4466">
        <v>21.5</v>
      </c>
      <c r="N4466" t="s">
        <v>61</v>
      </c>
      <c r="O4466" t="s">
        <v>47</v>
      </c>
      <c r="P4466" t="s">
        <v>54</v>
      </c>
      <c r="R4466">
        <f>SUMIF(A4466:A9465,"C04465",I4466:I9465)</f>
        <v>107777.81</v>
      </c>
      <c r="S4466" s="1">
        <v>43329.59</v>
      </c>
      <c r="T4466">
        <f t="shared" si="506"/>
        <v>898.148416666667</v>
      </c>
      <c r="U4466">
        <f t="shared" si="505"/>
        <v>2580</v>
      </c>
      <c r="V4466">
        <f>U4466*2</f>
        <v>5160</v>
      </c>
      <c r="W4466">
        <f t="shared" si="503"/>
        <v>37081.1633333333</v>
      </c>
      <c r="X4466">
        <f t="shared" si="501"/>
        <v>0.181834974658554</v>
      </c>
      <c r="AH4466" t="str">
        <f t="shared" si="504"/>
        <v>2nd Quality</v>
      </c>
      <c r="AJ4466">
        <f>((T4466-X4466)*2)</f>
        <v>1795.93316338402</v>
      </c>
      <c r="AK4466">
        <f t="shared" si="502"/>
        <v>565833.5025</v>
      </c>
    </row>
    <row r="4467" spans="1:37">
      <c r="A4467" t="s">
        <v>4533</v>
      </c>
      <c r="B4467">
        <v>27</v>
      </c>
      <c r="C4467" t="s">
        <v>50</v>
      </c>
      <c r="D4467" t="s">
        <v>60</v>
      </c>
      <c r="E4467">
        <v>966</v>
      </c>
      <c r="F4467">
        <v>14</v>
      </c>
      <c r="G4467">
        <v>19</v>
      </c>
      <c r="H4467">
        <v>3206.35</v>
      </c>
      <c r="I4467">
        <v>64942.91</v>
      </c>
      <c r="J4467">
        <v>49</v>
      </c>
      <c r="K4467">
        <v>1</v>
      </c>
      <c r="L4467">
        <v>10</v>
      </c>
      <c r="M4467">
        <v>44.9</v>
      </c>
      <c r="N4467" t="s">
        <v>57</v>
      </c>
      <c r="O4467" t="s">
        <v>47</v>
      </c>
      <c r="P4467" t="s">
        <v>48</v>
      </c>
      <c r="R4467">
        <f>SUMIF(A4467:A9466,"C04466",I4467:I9466)</f>
        <v>64942.91</v>
      </c>
      <c r="S4467" s="1">
        <v>2309.88</v>
      </c>
      <c r="T4467">
        <f t="shared" si="506"/>
        <v>1325.36551020408</v>
      </c>
      <c r="U4467">
        <f t="shared" si="505"/>
        <v>2200.1</v>
      </c>
      <c r="V4467">
        <f>U4467*1</f>
        <v>2200.1</v>
      </c>
      <c r="W4467">
        <f t="shared" si="503"/>
        <v>22716.7533333333</v>
      </c>
      <c r="X4467">
        <f t="shared" si="501"/>
        <v>0.30127715314922</v>
      </c>
      <c r="AH4467" t="str">
        <f t="shared" si="504"/>
        <v>1st Quality</v>
      </c>
      <c r="AJ4467">
        <f>((T4467-X4467)*2)/10</f>
        <v>265.012846610186</v>
      </c>
      <c r="AK4467">
        <f t="shared" si="502"/>
        <v>1280303.08285714</v>
      </c>
    </row>
    <row r="4468" spans="1:37">
      <c r="A4468" t="s">
        <v>4534</v>
      </c>
      <c r="B4468">
        <v>34</v>
      </c>
      <c r="C4468" t="s">
        <v>50</v>
      </c>
      <c r="D4468" t="s">
        <v>60</v>
      </c>
      <c r="E4468">
        <v>469</v>
      </c>
      <c r="F4468">
        <v>7</v>
      </c>
      <c r="G4468">
        <v>28</v>
      </c>
      <c r="H4468">
        <v>3118.08</v>
      </c>
      <c r="I4468">
        <v>83574.59</v>
      </c>
      <c r="J4468">
        <v>204</v>
      </c>
      <c r="K4468">
        <v>3</v>
      </c>
      <c r="L4468">
        <v>13.8</v>
      </c>
      <c r="M4468">
        <v>25.3</v>
      </c>
      <c r="N4468" t="s">
        <v>81</v>
      </c>
      <c r="O4468" t="s">
        <v>75</v>
      </c>
      <c r="P4468" t="s">
        <v>48</v>
      </c>
      <c r="R4468">
        <f>SUMIF(A4468:A9467,"C04467",I4468:I9467)</f>
        <v>83574.59</v>
      </c>
      <c r="S4468" s="1">
        <v>5248.71</v>
      </c>
      <c r="T4468">
        <f t="shared" si="506"/>
        <v>409.679362745098</v>
      </c>
      <c r="U4468">
        <f t="shared" si="505"/>
        <v>5161.2</v>
      </c>
      <c r="V4468">
        <f>U4468*3</f>
        <v>15483.6</v>
      </c>
      <c r="W4468">
        <f t="shared" si="503"/>
        <v>28897.89</v>
      </c>
      <c r="X4468">
        <f t="shared" si="501"/>
        <v>0.150413074712644</v>
      </c>
      <c r="AH4468" t="str">
        <f t="shared" si="504"/>
        <v>2nd Quality</v>
      </c>
      <c r="AJ4468">
        <f>((T4468-X4468)*2)/13.8</f>
        <v>59.3520216913602</v>
      </c>
      <c r="AK4468">
        <f t="shared" si="502"/>
        <v>192139.621127451</v>
      </c>
    </row>
    <row r="4469" spans="1:37">
      <c r="A4469" t="s">
        <v>4535</v>
      </c>
      <c r="B4469">
        <v>37</v>
      </c>
      <c r="C4469" t="s">
        <v>50</v>
      </c>
      <c r="D4469" t="s">
        <v>45</v>
      </c>
      <c r="E4469">
        <v>914</v>
      </c>
      <c r="F4469">
        <v>55</v>
      </c>
      <c r="G4469">
        <v>4</v>
      </c>
      <c r="H4469">
        <v>10462.6</v>
      </c>
      <c r="I4469">
        <v>43329.59</v>
      </c>
      <c r="J4469">
        <v>23</v>
      </c>
      <c r="K4469">
        <v>1</v>
      </c>
      <c r="L4469">
        <v>5.5</v>
      </c>
      <c r="M4469">
        <v>18.2</v>
      </c>
      <c r="N4469" t="s">
        <v>46</v>
      </c>
      <c r="O4469" t="s">
        <v>75</v>
      </c>
      <c r="P4469" t="s">
        <v>58</v>
      </c>
      <c r="R4469">
        <f>SUMIF(A4469:A9468,"C04468",I4469:I9468)</f>
        <v>43329.59</v>
      </c>
      <c r="S4469" s="1">
        <v>5017.43</v>
      </c>
      <c r="T4469">
        <f t="shared" si="506"/>
        <v>1883.8952173913</v>
      </c>
      <c r="U4469">
        <f t="shared" si="505"/>
        <v>418.6</v>
      </c>
      <c r="V4469">
        <f>U4469*1</f>
        <v>418.6</v>
      </c>
      <c r="W4469">
        <f t="shared" si="503"/>
        <v>17931.0633333333</v>
      </c>
      <c r="X4469">
        <f t="shared" si="501"/>
        <v>0.0873587827117542</v>
      </c>
      <c r="AH4469" t="str">
        <f t="shared" si="504"/>
        <v>2nd Quality</v>
      </c>
      <c r="AJ4469">
        <f>((T4469-X4469)*2)/5.5</f>
        <v>685.021039494032</v>
      </c>
      <c r="AK4469">
        <f t="shared" si="502"/>
        <v>1721880.22869565</v>
      </c>
    </row>
    <row r="4470" spans="1:37">
      <c r="A4470" t="s">
        <v>4536</v>
      </c>
      <c r="B4470">
        <v>50</v>
      </c>
      <c r="C4470" t="s">
        <v>50</v>
      </c>
      <c r="D4470" t="s">
        <v>60</v>
      </c>
      <c r="E4470">
        <v>857</v>
      </c>
      <c r="F4470">
        <v>218</v>
      </c>
      <c r="G4470">
        <v>2</v>
      </c>
      <c r="H4470">
        <v>1158.34</v>
      </c>
      <c r="I4470">
        <v>2309.88</v>
      </c>
      <c r="J4470">
        <v>15</v>
      </c>
      <c r="K4470">
        <v>0</v>
      </c>
      <c r="L4470">
        <v>17.6</v>
      </c>
      <c r="M4470">
        <v>0.5</v>
      </c>
      <c r="N4470" t="s">
        <v>46</v>
      </c>
      <c r="O4470" t="s">
        <v>47</v>
      </c>
      <c r="P4470" t="s">
        <v>58</v>
      </c>
      <c r="R4470">
        <f>SUMIF(A4470:A9469,"C04469",I4470:I9469)</f>
        <v>2309.88</v>
      </c>
      <c r="S4470" s="1">
        <v>11938.25</v>
      </c>
      <c r="T4470">
        <f t="shared" si="506"/>
        <v>153.992</v>
      </c>
      <c r="U4470">
        <f t="shared" si="505"/>
        <v>7.5</v>
      </c>
      <c r="V4470">
        <f t="shared" ref="V4470:V4533" si="507">U4470/12</f>
        <v>0.625</v>
      </c>
      <c r="W4470">
        <f t="shared" si="503"/>
        <v>1156.40666666667</v>
      </c>
      <c r="X4470">
        <f t="shared" si="501"/>
        <v>0.73985185696773</v>
      </c>
      <c r="AH4470" t="str">
        <f t="shared" si="504"/>
        <v>3rd Quality</v>
      </c>
      <c r="AJ4470">
        <f>((T4470-X4470)*2)/17.6</f>
        <v>17.4150168344355</v>
      </c>
      <c r="AK4470">
        <f t="shared" si="502"/>
        <v>131971.144</v>
      </c>
    </row>
    <row r="4471" spans="1:37">
      <c r="A4471" t="s">
        <v>4537</v>
      </c>
      <c r="B4471">
        <v>25</v>
      </c>
      <c r="C4471" t="s">
        <v>50</v>
      </c>
      <c r="D4471" t="s">
        <v>51</v>
      </c>
      <c r="E4471">
        <v>814</v>
      </c>
      <c r="F4471">
        <v>27</v>
      </c>
      <c r="G4471">
        <v>5</v>
      </c>
      <c r="H4471">
        <v>959.37</v>
      </c>
      <c r="I4471">
        <v>5248.71</v>
      </c>
      <c r="J4471">
        <v>48</v>
      </c>
      <c r="K4471">
        <v>0</v>
      </c>
      <c r="L4471">
        <v>25.6</v>
      </c>
      <c r="M4471">
        <v>13.9</v>
      </c>
      <c r="N4471" t="s">
        <v>52</v>
      </c>
      <c r="O4471" t="s">
        <v>47</v>
      </c>
      <c r="P4471" t="s">
        <v>66</v>
      </c>
      <c r="R4471">
        <f>SUMIF(A4471:A9470,"C04470",I4471:I9470)</f>
        <v>5248.71</v>
      </c>
      <c r="S4471" s="1">
        <v>65479.28</v>
      </c>
      <c r="T4471">
        <f t="shared" si="506"/>
        <v>109.348125</v>
      </c>
      <c r="U4471">
        <f t="shared" si="505"/>
        <v>667.2</v>
      </c>
      <c r="V4471">
        <f t="shared" si="507"/>
        <v>55.6</v>
      </c>
      <c r="W4471">
        <f t="shared" si="503"/>
        <v>2069.69333333333</v>
      </c>
      <c r="X4471">
        <f t="shared" si="501"/>
        <v>0.848473477386201</v>
      </c>
      <c r="AH4471" t="str">
        <f t="shared" si="504"/>
        <v>3rd Quality</v>
      </c>
      <c r="AJ4471">
        <f>((T4471-X4471)*2)/25.6</f>
        <v>8.4765352752042</v>
      </c>
      <c r="AK4471">
        <f t="shared" si="502"/>
        <v>89009.37375</v>
      </c>
    </row>
    <row r="4472" spans="1:37">
      <c r="A4472" t="s">
        <v>4538</v>
      </c>
      <c r="B4472">
        <v>32</v>
      </c>
      <c r="C4472" t="s">
        <v>50</v>
      </c>
      <c r="D4472" t="s">
        <v>60</v>
      </c>
      <c r="E4472">
        <v>1354</v>
      </c>
      <c r="F4472">
        <v>261</v>
      </c>
      <c r="G4472">
        <v>2</v>
      </c>
      <c r="H4472">
        <v>2472.93</v>
      </c>
      <c r="I4472">
        <v>5017.43</v>
      </c>
      <c r="J4472">
        <v>13</v>
      </c>
      <c r="K4472">
        <v>0</v>
      </c>
      <c r="L4472">
        <v>5.8</v>
      </c>
      <c r="M4472">
        <v>7.6</v>
      </c>
      <c r="N4472" t="s">
        <v>78</v>
      </c>
      <c r="O4472" t="s">
        <v>47</v>
      </c>
      <c r="P4472" t="s">
        <v>58</v>
      </c>
      <c r="R4472">
        <f>SUMIF(A4472:A9471,"C04471",I4472:I9471)</f>
        <v>5017.43</v>
      </c>
      <c r="S4472" s="1">
        <v>110153.1</v>
      </c>
      <c r="T4472">
        <f t="shared" si="506"/>
        <v>385.956153846154</v>
      </c>
      <c r="U4472">
        <f t="shared" si="505"/>
        <v>98.8</v>
      </c>
      <c r="V4472">
        <f t="shared" si="507"/>
        <v>8.23333333333333</v>
      </c>
      <c r="W4472">
        <f t="shared" si="503"/>
        <v>2497.12</v>
      </c>
      <c r="X4472">
        <f t="shared" ref="X4472:X4517" si="508">E4472/H4472</f>
        <v>0.547528640115167</v>
      </c>
      <c r="AH4472" t="str">
        <f t="shared" si="504"/>
        <v>3rd Quality</v>
      </c>
      <c r="AJ4472">
        <f>((T4472-X4472)*2)/5.8</f>
        <v>132.899525933117</v>
      </c>
      <c r="AK4472">
        <f t="shared" si="502"/>
        <v>522584.632307692</v>
      </c>
    </row>
    <row r="4473" spans="1:37">
      <c r="A4473" t="s">
        <v>4539</v>
      </c>
      <c r="B4473">
        <v>36</v>
      </c>
      <c r="C4473" t="s">
        <v>44</v>
      </c>
      <c r="D4473" t="s">
        <v>45</v>
      </c>
      <c r="E4473">
        <v>1229</v>
      </c>
      <c r="F4473">
        <v>67</v>
      </c>
      <c r="G4473">
        <v>9</v>
      </c>
      <c r="H4473">
        <v>1277.18</v>
      </c>
      <c r="I4473">
        <v>11938.25</v>
      </c>
      <c r="J4473">
        <v>78</v>
      </c>
      <c r="K4473">
        <v>0</v>
      </c>
      <c r="L4473">
        <v>20.8</v>
      </c>
      <c r="M4473">
        <v>35.5</v>
      </c>
      <c r="N4473" t="s">
        <v>78</v>
      </c>
      <c r="O4473" t="s">
        <v>53</v>
      </c>
      <c r="P4473" t="s">
        <v>54</v>
      </c>
      <c r="R4473">
        <f>SUMIF(A4473:A9472,"C04472",I4473:I9472)</f>
        <v>11938.25</v>
      </c>
      <c r="S4473" s="1">
        <v>11612.17</v>
      </c>
      <c r="T4473">
        <f t="shared" si="506"/>
        <v>153.054487179487</v>
      </c>
      <c r="U4473">
        <f t="shared" si="505"/>
        <v>2769</v>
      </c>
      <c r="V4473">
        <f t="shared" si="507"/>
        <v>230.75</v>
      </c>
      <c r="W4473">
        <f t="shared" si="503"/>
        <v>4405.47666666667</v>
      </c>
      <c r="X4473">
        <f t="shared" si="508"/>
        <v>0.962276264896099</v>
      </c>
      <c r="AH4473" t="str">
        <f t="shared" si="504"/>
        <v>3rd Quality</v>
      </c>
      <c r="AJ4473">
        <f>((T4473-X4473)*2)/20.8</f>
        <v>14.6242510494799</v>
      </c>
      <c r="AK4473">
        <f t="shared" si="502"/>
        <v>188103.96474359</v>
      </c>
    </row>
    <row r="4474" spans="1:37">
      <c r="A4474" t="s">
        <v>4540</v>
      </c>
      <c r="B4474">
        <v>42</v>
      </c>
      <c r="C4474" t="s">
        <v>50</v>
      </c>
      <c r="D4474" t="s">
        <v>60</v>
      </c>
      <c r="E4474">
        <v>995</v>
      </c>
      <c r="F4474">
        <v>22</v>
      </c>
      <c r="G4474">
        <v>6</v>
      </c>
      <c r="H4474">
        <v>11916.68</v>
      </c>
      <c r="I4474">
        <v>65479.28</v>
      </c>
      <c r="J4474">
        <v>15</v>
      </c>
      <c r="K4474">
        <v>2</v>
      </c>
      <c r="L4474">
        <v>3.6</v>
      </c>
      <c r="M4474">
        <v>9.9</v>
      </c>
      <c r="N4474" t="s">
        <v>61</v>
      </c>
      <c r="O4474" t="s">
        <v>47</v>
      </c>
      <c r="P4474" t="s">
        <v>66</v>
      </c>
      <c r="R4474">
        <f>SUMIF(A4474:A9473,"C04473",I4474:I9473)</f>
        <v>65479.28</v>
      </c>
      <c r="S4474" s="1">
        <v>17293.69</v>
      </c>
      <c r="T4474">
        <f t="shared" si="506"/>
        <v>4365.28533333333</v>
      </c>
      <c r="U4474">
        <f t="shared" si="505"/>
        <v>148.5</v>
      </c>
      <c r="V4474">
        <f>U4474*2</f>
        <v>297</v>
      </c>
      <c r="W4474">
        <f t="shared" si="503"/>
        <v>25798.9866666667</v>
      </c>
      <c r="X4474">
        <f t="shared" si="508"/>
        <v>0.0834964100739468</v>
      </c>
      <c r="AH4474" t="str">
        <f t="shared" si="504"/>
        <v>2nd Quality</v>
      </c>
      <c r="AJ4474">
        <f>((T4474-X4474)*2)/3.6</f>
        <v>2425.11213162403</v>
      </c>
      <c r="AK4474">
        <f t="shared" si="502"/>
        <v>4343458.90666667</v>
      </c>
    </row>
    <row r="4475" spans="1:37">
      <c r="A4475" t="s">
        <v>4541</v>
      </c>
      <c r="B4475">
        <v>31</v>
      </c>
      <c r="C4475" t="s">
        <v>44</v>
      </c>
      <c r="D4475" t="s">
        <v>60</v>
      </c>
      <c r="E4475">
        <v>1339</v>
      </c>
      <c r="F4475">
        <v>39</v>
      </c>
      <c r="G4475">
        <v>23</v>
      </c>
      <c r="H4475">
        <v>5095.14</v>
      </c>
      <c r="I4475">
        <v>110153.1</v>
      </c>
      <c r="J4475">
        <v>55</v>
      </c>
      <c r="K4475">
        <v>1</v>
      </c>
      <c r="L4475">
        <v>14.5</v>
      </c>
      <c r="M4475">
        <v>37.1</v>
      </c>
      <c r="N4475" t="s">
        <v>81</v>
      </c>
      <c r="O4475" t="s">
        <v>47</v>
      </c>
      <c r="P4475" t="s">
        <v>48</v>
      </c>
      <c r="R4475">
        <f>SUMIF(A4475:A9474,"C04474",I4475:I9474)</f>
        <v>110153.1</v>
      </c>
      <c r="S4475" s="1">
        <v>27674.94</v>
      </c>
      <c r="T4475">
        <f t="shared" si="506"/>
        <v>2002.78363636364</v>
      </c>
      <c r="U4475">
        <f t="shared" si="505"/>
        <v>2040.5</v>
      </c>
      <c r="V4475">
        <f>U4475*1</f>
        <v>2040.5</v>
      </c>
      <c r="W4475">
        <f t="shared" si="503"/>
        <v>38416.4133333333</v>
      </c>
      <c r="X4475">
        <f t="shared" si="508"/>
        <v>0.262799452026833</v>
      </c>
      <c r="AH4475" t="str">
        <f t="shared" si="504"/>
        <v>1st Quality</v>
      </c>
      <c r="AJ4475">
        <f>((T4475-X4475)*2)/14.5</f>
        <v>276.209770608498</v>
      </c>
      <c r="AK4475">
        <f t="shared" si="502"/>
        <v>2681727.28909091</v>
      </c>
    </row>
    <row r="4476" spans="1:37">
      <c r="A4476" t="s">
        <v>4542</v>
      </c>
      <c r="B4476">
        <v>28</v>
      </c>
      <c r="C4476" t="s">
        <v>44</v>
      </c>
      <c r="D4476" t="s">
        <v>45</v>
      </c>
      <c r="E4476">
        <v>1088</v>
      </c>
      <c r="F4476">
        <v>8</v>
      </c>
      <c r="G4476">
        <v>1</v>
      </c>
      <c r="H4476">
        <v>13100.81</v>
      </c>
      <c r="I4476">
        <v>11612.17</v>
      </c>
      <c r="J4476">
        <v>7</v>
      </c>
      <c r="K4476">
        <v>0</v>
      </c>
      <c r="L4476">
        <v>2.3</v>
      </c>
      <c r="M4476">
        <v>60.4</v>
      </c>
      <c r="N4476" t="s">
        <v>63</v>
      </c>
      <c r="O4476" t="s">
        <v>75</v>
      </c>
      <c r="P4476" t="s">
        <v>66</v>
      </c>
      <c r="R4476">
        <f>SUMIF(A4476:A9475,"C04475",I4476:I9475)</f>
        <v>11612.17</v>
      </c>
      <c r="S4476" s="1">
        <v>22949.68</v>
      </c>
      <c r="T4476">
        <f t="shared" si="506"/>
        <v>1658.88142857143</v>
      </c>
      <c r="U4476">
        <f t="shared" si="505"/>
        <v>422.8</v>
      </c>
      <c r="V4476">
        <f t="shared" si="507"/>
        <v>35.2333333333333</v>
      </c>
      <c r="W4476">
        <f t="shared" si="503"/>
        <v>8237.99333333333</v>
      </c>
      <c r="X4476">
        <f t="shared" si="508"/>
        <v>0.0830483000669424</v>
      </c>
      <c r="AH4476" t="str">
        <f t="shared" si="504"/>
        <v>2nd Quality</v>
      </c>
      <c r="AJ4476">
        <f>((T4476-X4476)*2)/2.3</f>
        <v>1442.43337414901</v>
      </c>
      <c r="AK4476">
        <f t="shared" si="502"/>
        <v>1804862.99428571</v>
      </c>
    </row>
    <row r="4477" spans="1:37">
      <c r="A4477" t="s">
        <v>4543</v>
      </c>
      <c r="B4477">
        <v>24</v>
      </c>
      <c r="C4477" t="s">
        <v>50</v>
      </c>
      <c r="D4477" t="s">
        <v>45</v>
      </c>
      <c r="E4477">
        <v>1068</v>
      </c>
      <c r="F4477">
        <v>41</v>
      </c>
      <c r="G4477">
        <v>3</v>
      </c>
      <c r="H4477">
        <v>5645.01</v>
      </c>
      <c r="I4477">
        <v>17293.69</v>
      </c>
      <c r="J4477">
        <v>16</v>
      </c>
      <c r="K4477">
        <v>0</v>
      </c>
      <c r="L4477">
        <v>19.9</v>
      </c>
      <c r="M4477">
        <v>33.8</v>
      </c>
      <c r="N4477" t="s">
        <v>57</v>
      </c>
      <c r="O4477" t="s">
        <v>47</v>
      </c>
      <c r="P4477" t="s">
        <v>68</v>
      </c>
      <c r="R4477">
        <f>SUMIF(A4477:A9476,"C04476",I4477:I9476)</f>
        <v>17293.69</v>
      </c>
      <c r="S4477" s="1">
        <v>1940.25</v>
      </c>
      <c r="T4477">
        <f t="shared" si="506"/>
        <v>1080.855625</v>
      </c>
      <c r="U4477">
        <f t="shared" si="505"/>
        <v>540.8</v>
      </c>
      <c r="V4477">
        <f t="shared" si="507"/>
        <v>45.0666666666667</v>
      </c>
      <c r="W4477">
        <f t="shared" si="503"/>
        <v>7646.56666666667</v>
      </c>
      <c r="X4477">
        <f t="shared" si="508"/>
        <v>0.189193641818172</v>
      </c>
      <c r="AH4477" t="str">
        <f t="shared" si="504"/>
        <v>2nd Quality</v>
      </c>
      <c r="AJ4477">
        <f>((T4477-X4477)*2)/19.9</f>
        <v>108.609691593787</v>
      </c>
      <c r="AK4477">
        <f t="shared" si="502"/>
        <v>1154353.8075</v>
      </c>
    </row>
    <row r="4478" spans="1:37">
      <c r="A4478" t="s">
        <v>4544</v>
      </c>
      <c r="B4478">
        <v>27</v>
      </c>
      <c r="C4478" t="s">
        <v>50</v>
      </c>
      <c r="D4478" t="s">
        <v>45</v>
      </c>
      <c r="E4478">
        <v>894</v>
      </c>
      <c r="F4478">
        <v>15</v>
      </c>
      <c r="G4478">
        <v>3</v>
      </c>
      <c r="H4478">
        <v>9088.61</v>
      </c>
      <c r="I4478">
        <v>27674.94</v>
      </c>
      <c r="J4478">
        <v>30</v>
      </c>
      <c r="K4478">
        <v>0</v>
      </c>
      <c r="L4478">
        <v>2.1</v>
      </c>
      <c r="M4478">
        <v>5.4</v>
      </c>
      <c r="N4478" t="s">
        <v>63</v>
      </c>
      <c r="O4478" t="s">
        <v>47</v>
      </c>
      <c r="P4478" t="s">
        <v>58</v>
      </c>
      <c r="R4478">
        <f>SUMIF(A4478:A9477,"C04477",I4478:I9477)</f>
        <v>27674.94</v>
      </c>
      <c r="S4478" s="1">
        <v>1802.53</v>
      </c>
      <c r="T4478">
        <f t="shared" si="506"/>
        <v>922.498</v>
      </c>
      <c r="U4478">
        <f t="shared" si="505"/>
        <v>162</v>
      </c>
      <c r="V4478">
        <f t="shared" si="507"/>
        <v>13.5</v>
      </c>
      <c r="W4478">
        <f t="shared" si="503"/>
        <v>12254.85</v>
      </c>
      <c r="X4478">
        <f t="shared" si="508"/>
        <v>0.0983648764772611</v>
      </c>
      <c r="AH4478" t="str">
        <f t="shared" si="504"/>
        <v>2nd Quality</v>
      </c>
      <c r="AJ4478">
        <f>((T4478-X4478)*2)/2.1</f>
        <v>878.475842974784</v>
      </c>
      <c r="AK4478">
        <f t="shared" si="502"/>
        <v>824713.212</v>
      </c>
    </row>
    <row r="4479" spans="1:37">
      <c r="A4479" t="s">
        <v>4545</v>
      </c>
      <c r="B4479">
        <v>57</v>
      </c>
      <c r="C4479" t="s">
        <v>44</v>
      </c>
      <c r="D4479" t="s">
        <v>60</v>
      </c>
      <c r="E4479">
        <v>664</v>
      </c>
      <c r="F4479">
        <v>38</v>
      </c>
      <c r="G4479">
        <v>12</v>
      </c>
      <c r="H4479">
        <v>2004.95</v>
      </c>
      <c r="I4479">
        <v>22949.68</v>
      </c>
      <c r="J4479">
        <v>44</v>
      </c>
      <c r="K4479">
        <v>2</v>
      </c>
      <c r="L4479">
        <v>14.3</v>
      </c>
      <c r="M4479">
        <v>33.5</v>
      </c>
      <c r="N4479" t="s">
        <v>57</v>
      </c>
      <c r="O4479" t="s">
        <v>47</v>
      </c>
      <c r="P4479" t="s">
        <v>48</v>
      </c>
      <c r="R4479">
        <f>SUMIF(A4479:A9478,"C04478",I4479:I9478)</f>
        <v>22949.68</v>
      </c>
      <c r="S4479" s="1">
        <v>9172.53</v>
      </c>
      <c r="T4479">
        <f t="shared" si="506"/>
        <v>521.583636363636</v>
      </c>
      <c r="U4479">
        <f t="shared" si="505"/>
        <v>1474</v>
      </c>
      <c r="V4479">
        <f>U4479*2</f>
        <v>2948</v>
      </c>
      <c r="W4479">
        <f t="shared" si="503"/>
        <v>8318.54333333333</v>
      </c>
      <c r="X4479">
        <f t="shared" si="508"/>
        <v>0.331180328686501</v>
      </c>
      <c r="AH4479" t="str">
        <f t="shared" si="504"/>
        <v>3rd Quality</v>
      </c>
      <c r="AJ4479">
        <f>((T4479-X4479)*2)/14.3</f>
        <v>72.9024414034894</v>
      </c>
      <c r="AK4479">
        <f t="shared" si="502"/>
        <v>346331.534545455</v>
      </c>
    </row>
    <row r="4480" spans="1:37">
      <c r="A4480" t="s">
        <v>4546</v>
      </c>
      <c r="B4480">
        <v>32</v>
      </c>
      <c r="C4480" t="s">
        <v>44</v>
      </c>
      <c r="D4480" t="s">
        <v>45</v>
      </c>
      <c r="E4480">
        <v>696</v>
      </c>
      <c r="F4480">
        <v>149</v>
      </c>
      <c r="G4480">
        <v>2</v>
      </c>
      <c r="H4480">
        <v>1036.78</v>
      </c>
      <c r="I4480">
        <v>1940.25</v>
      </c>
      <c r="J4480">
        <v>18</v>
      </c>
      <c r="K4480">
        <v>0</v>
      </c>
      <c r="L4480">
        <v>37.8</v>
      </c>
      <c r="M4480">
        <v>29.6</v>
      </c>
      <c r="N4480" t="s">
        <v>46</v>
      </c>
      <c r="O4480" t="s">
        <v>47</v>
      </c>
      <c r="P4480" t="s">
        <v>66</v>
      </c>
      <c r="R4480">
        <f>SUMIF(A4480:A9479,"C04479",I4480:I9479)</f>
        <v>1940.25</v>
      </c>
      <c r="S4480" s="1">
        <v>32610.04</v>
      </c>
      <c r="T4480">
        <f t="shared" si="506"/>
        <v>107.791666666667</v>
      </c>
      <c r="U4480">
        <f t="shared" si="505"/>
        <v>532.8</v>
      </c>
      <c r="V4480">
        <f t="shared" si="507"/>
        <v>44.4</v>
      </c>
      <c r="W4480">
        <f t="shared" si="503"/>
        <v>992.676666666667</v>
      </c>
      <c r="X4480">
        <f t="shared" si="508"/>
        <v>0.671309245934528</v>
      </c>
      <c r="AH4480" t="str">
        <f t="shared" si="504"/>
        <v>3rd Quality</v>
      </c>
      <c r="AJ4480">
        <f>((T4480-X4480)*2)/37.8</f>
        <v>5.66774377887473</v>
      </c>
      <c r="AK4480">
        <f t="shared" si="502"/>
        <v>75023</v>
      </c>
    </row>
    <row r="4481" spans="1:37">
      <c r="A4481" t="s">
        <v>4547</v>
      </c>
      <c r="B4481">
        <v>51</v>
      </c>
      <c r="C4481" t="s">
        <v>44</v>
      </c>
      <c r="D4481" t="s">
        <v>51</v>
      </c>
      <c r="E4481">
        <v>1433</v>
      </c>
      <c r="F4481">
        <v>365</v>
      </c>
      <c r="G4481">
        <v>1</v>
      </c>
      <c r="H4481">
        <v>1823.08</v>
      </c>
      <c r="I4481">
        <v>1802.53</v>
      </c>
      <c r="J4481">
        <v>12</v>
      </c>
      <c r="K4481">
        <v>0</v>
      </c>
      <c r="L4481">
        <v>21.4</v>
      </c>
      <c r="M4481">
        <v>19.9</v>
      </c>
      <c r="N4481" t="s">
        <v>57</v>
      </c>
      <c r="O4481" t="s">
        <v>47</v>
      </c>
      <c r="P4481" t="s">
        <v>58</v>
      </c>
      <c r="R4481">
        <f>SUMIF(A4481:A9480,"C04480",I4481:I9480)</f>
        <v>1802.53</v>
      </c>
      <c r="S4481" s="1">
        <v>5653.21</v>
      </c>
      <c r="T4481">
        <f t="shared" si="506"/>
        <v>150.210833333333</v>
      </c>
      <c r="U4481">
        <f t="shared" si="505"/>
        <v>238.8</v>
      </c>
      <c r="V4481">
        <f t="shared" si="507"/>
        <v>19.9</v>
      </c>
      <c r="W4481">
        <f t="shared" si="503"/>
        <v>1208.87</v>
      </c>
      <c r="X4481">
        <f t="shared" si="508"/>
        <v>0.786032428637251</v>
      </c>
      <c r="AH4481" t="str">
        <f t="shared" si="504"/>
        <v>3rd Quality</v>
      </c>
      <c r="AJ4481">
        <f>((T4481-X4481)*2)/21.4</f>
        <v>13.9649346639903</v>
      </c>
      <c r="AK4481">
        <f t="shared" si="502"/>
        <v>215252.124166667</v>
      </c>
    </row>
    <row r="4482" spans="1:37">
      <c r="A4482" t="s">
        <v>4548</v>
      </c>
      <c r="B4482">
        <v>37</v>
      </c>
      <c r="C4482" t="s">
        <v>50</v>
      </c>
      <c r="D4482" t="s">
        <v>60</v>
      </c>
      <c r="E4482">
        <v>1110</v>
      </c>
      <c r="F4482">
        <v>6</v>
      </c>
      <c r="G4482">
        <v>14</v>
      </c>
      <c r="H4482">
        <v>724.03</v>
      </c>
      <c r="I4482">
        <v>9172.53</v>
      </c>
      <c r="J4482">
        <v>49</v>
      </c>
      <c r="K4482">
        <v>2</v>
      </c>
      <c r="L4482">
        <v>24.9</v>
      </c>
      <c r="M4482">
        <v>17.6</v>
      </c>
      <c r="N4482" t="s">
        <v>61</v>
      </c>
      <c r="O4482" t="s">
        <v>47</v>
      </c>
      <c r="P4482" t="s">
        <v>48</v>
      </c>
      <c r="R4482">
        <f>SUMIF(A4482:A9481,"C04481",I4482:I9481)</f>
        <v>9172.53</v>
      </c>
      <c r="S4482" s="1">
        <v>5623.66</v>
      </c>
      <c r="T4482">
        <f t="shared" si="506"/>
        <v>187.194489795918</v>
      </c>
      <c r="U4482">
        <f t="shared" si="505"/>
        <v>862.4</v>
      </c>
      <c r="V4482">
        <f>U4482*2</f>
        <v>1724.8</v>
      </c>
      <c r="W4482">
        <f t="shared" si="503"/>
        <v>3299.18666666667</v>
      </c>
      <c r="X4482">
        <f t="shared" si="508"/>
        <v>1.53308564562242</v>
      </c>
      <c r="AH4482" t="str">
        <f t="shared" si="504"/>
        <v>3rd Quality</v>
      </c>
      <c r="AJ4482">
        <f>((T4482-X4482)*2)/24.9</f>
        <v>14.9125625823531</v>
      </c>
      <c r="AK4482">
        <f t="shared" si="502"/>
        <v>207785.883673469</v>
      </c>
    </row>
    <row r="4483" spans="1:37">
      <c r="A4483" t="s">
        <v>4549</v>
      </c>
      <c r="B4483">
        <v>29</v>
      </c>
      <c r="C4483" t="s">
        <v>44</v>
      </c>
      <c r="D4483" t="s">
        <v>51</v>
      </c>
      <c r="E4483">
        <v>466</v>
      </c>
      <c r="F4483">
        <v>11</v>
      </c>
      <c r="G4483">
        <v>4</v>
      </c>
      <c r="H4483">
        <v>7515.85</v>
      </c>
      <c r="I4483">
        <v>32610.04</v>
      </c>
      <c r="J4483">
        <v>30</v>
      </c>
      <c r="K4483">
        <v>0</v>
      </c>
      <c r="L4483">
        <v>4.5</v>
      </c>
      <c r="M4483">
        <v>17.8</v>
      </c>
      <c r="N4483" t="s">
        <v>78</v>
      </c>
      <c r="O4483" t="s">
        <v>47</v>
      </c>
      <c r="P4483" t="s">
        <v>58</v>
      </c>
      <c r="R4483">
        <f>SUMIF(A4483:A9482,"C04482",I4483:I9482)</f>
        <v>32610.04</v>
      </c>
      <c r="S4483" s="1">
        <v>2519.91</v>
      </c>
      <c r="T4483">
        <f t="shared" si="506"/>
        <v>1087.00133333333</v>
      </c>
      <c r="U4483">
        <f t="shared" si="505"/>
        <v>534</v>
      </c>
      <c r="V4483">
        <f t="shared" si="507"/>
        <v>44.5</v>
      </c>
      <c r="W4483">
        <f t="shared" si="503"/>
        <v>13375.63</v>
      </c>
      <c r="X4483">
        <f t="shared" si="508"/>
        <v>0.0620023018021914</v>
      </c>
      <c r="AH4483" t="str">
        <f t="shared" si="504"/>
        <v>2nd Quality</v>
      </c>
      <c r="AJ4483">
        <f>((T4483-X4483)*2)/4.5</f>
        <v>483.084147125123</v>
      </c>
      <c r="AK4483">
        <f t="shared" ref="AK4483:AK4546" si="509">I4483/J4483*E4483</f>
        <v>506542.621333333</v>
      </c>
    </row>
    <row r="4484" spans="1:37">
      <c r="A4484" t="s">
        <v>4550</v>
      </c>
      <c r="B4484">
        <v>50</v>
      </c>
      <c r="C4484" t="s">
        <v>50</v>
      </c>
      <c r="D4484" t="s">
        <v>51</v>
      </c>
      <c r="E4484">
        <v>626</v>
      </c>
      <c r="F4484">
        <v>133</v>
      </c>
      <c r="G4484">
        <v>6</v>
      </c>
      <c r="H4484">
        <v>872.69</v>
      </c>
      <c r="I4484">
        <v>5653.21</v>
      </c>
      <c r="J4484">
        <v>42</v>
      </c>
      <c r="K4484">
        <v>0</v>
      </c>
      <c r="L4484">
        <v>26.7</v>
      </c>
      <c r="M4484">
        <v>27.1</v>
      </c>
      <c r="N4484" t="s">
        <v>78</v>
      </c>
      <c r="O4484" t="s">
        <v>47</v>
      </c>
      <c r="P4484" t="s">
        <v>58</v>
      </c>
      <c r="R4484">
        <f>SUMIF(A4484:A9483,"C04483",I4484:I9483)</f>
        <v>5653.21</v>
      </c>
      <c r="S4484" s="1">
        <v>9283.14</v>
      </c>
      <c r="T4484">
        <f t="shared" si="506"/>
        <v>134.600238095238</v>
      </c>
      <c r="U4484">
        <f t="shared" si="505"/>
        <v>1138.2</v>
      </c>
      <c r="V4484">
        <f t="shared" si="507"/>
        <v>94.85</v>
      </c>
      <c r="W4484">
        <f t="shared" si="503"/>
        <v>2175.63333333333</v>
      </c>
      <c r="X4484">
        <f t="shared" si="508"/>
        <v>0.717322302306661</v>
      </c>
      <c r="AH4484" t="str">
        <f t="shared" si="504"/>
        <v>3rd Quality</v>
      </c>
      <c r="AJ4484">
        <f>((T4484-X4484)*2)/26.7</f>
        <v>10.0286828309312</v>
      </c>
      <c r="AK4484">
        <f t="shared" si="509"/>
        <v>84259.749047619</v>
      </c>
    </row>
    <row r="4485" spans="1:37">
      <c r="A4485" t="s">
        <v>4551</v>
      </c>
      <c r="B4485">
        <v>45</v>
      </c>
      <c r="C4485" t="s">
        <v>44</v>
      </c>
      <c r="D4485" t="s">
        <v>45</v>
      </c>
      <c r="E4485">
        <v>1408</v>
      </c>
      <c r="F4485">
        <v>68</v>
      </c>
      <c r="G4485">
        <v>7</v>
      </c>
      <c r="H4485">
        <v>785.26</v>
      </c>
      <c r="I4485">
        <v>5623.66</v>
      </c>
      <c r="J4485">
        <v>61</v>
      </c>
      <c r="K4485">
        <v>0</v>
      </c>
      <c r="L4485">
        <v>25.4</v>
      </c>
      <c r="M4485">
        <v>49.2</v>
      </c>
      <c r="N4485" t="s">
        <v>81</v>
      </c>
      <c r="O4485" t="s">
        <v>75</v>
      </c>
      <c r="P4485" t="s">
        <v>58</v>
      </c>
      <c r="R4485">
        <f>SUMIF(A4485:A9484,"C04484",I4485:I9484)</f>
        <v>5623.66</v>
      </c>
      <c r="S4485" s="1">
        <v>399.73</v>
      </c>
      <c r="T4485">
        <f t="shared" si="506"/>
        <v>92.1911475409836</v>
      </c>
      <c r="U4485">
        <f t="shared" si="505"/>
        <v>3001.2</v>
      </c>
      <c r="V4485">
        <f t="shared" si="507"/>
        <v>250.1</v>
      </c>
      <c r="W4485">
        <f t="shared" si="503"/>
        <v>2136.64</v>
      </c>
      <c r="X4485">
        <f t="shared" si="508"/>
        <v>1.79303670121998</v>
      </c>
      <c r="AH4485" t="str">
        <f t="shared" si="504"/>
        <v>3rd Quality</v>
      </c>
      <c r="AJ4485">
        <f>((T4485-X4485)*2)/25.4</f>
        <v>7.11796148344595</v>
      </c>
      <c r="AK4485">
        <f t="shared" si="509"/>
        <v>129805.135737705</v>
      </c>
    </row>
    <row r="4486" spans="1:37">
      <c r="A4486" t="s">
        <v>4552</v>
      </c>
      <c r="B4486">
        <v>33</v>
      </c>
      <c r="C4486" t="s">
        <v>44</v>
      </c>
      <c r="D4486" t="s">
        <v>60</v>
      </c>
      <c r="E4486">
        <v>597</v>
      </c>
      <c r="F4486">
        <v>140</v>
      </c>
      <c r="G4486">
        <v>1</v>
      </c>
      <c r="H4486">
        <v>2298.39</v>
      </c>
      <c r="I4486">
        <v>2519.91</v>
      </c>
      <c r="J4486">
        <v>15</v>
      </c>
      <c r="K4486">
        <v>0</v>
      </c>
      <c r="L4486">
        <v>13.2</v>
      </c>
      <c r="M4486">
        <v>36.9</v>
      </c>
      <c r="N4486" t="s">
        <v>63</v>
      </c>
      <c r="O4486" t="s">
        <v>47</v>
      </c>
      <c r="P4486" t="s">
        <v>68</v>
      </c>
      <c r="R4486">
        <f>SUMIF(A4486:A9485,"C04485",I4486:I9485)</f>
        <v>2519.91</v>
      </c>
      <c r="S4486" s="1">
        <v>79261.22</v>
      </c>
      <c r="T4486">
        <f t="shared" si="506"/>
        <v>167.994</v>
      </c>
      <c r="U4486">
        <f t="shared" si="505"/>
        <v>553.5</v>
      </c>
      <c r="V4486">
        <f t="shared" si="507"/>
        <v>46.125</v>
      </c>
      <c r="W4486">
        <f t="shared" si="503"/>
        <v>1606.43333333333</v>
      </c>
      <c r="X4486">
        <f t="shared" si="508"/>
        <v>0.259747040319528</v>
      </c>
      <c r="AH4486" t="str">
        <f t="shared" si="504"/>
        <v>3rd Quality</v>
      </c>
      <c r="AJ4486">
        <f>((T4486-X4486)*2)/13.2</f>
        <v>25.4142807514667</v>
      </c>
      <c r="AK4486">
        <f t="shared" si="509"/>
        <v>100292.418</v>
      </c>
    </row>
    <row r="4487" spans="1:37">
      <c r="A4487" t="s">
        <v>4553</v>
      </c>
      <c r="B4487">
        <v>22</v>
      </c>
      <c r="C4487" t="s">
        <v>44</v>
      </c>
      <c r="D4487" t="s">
        <v>45</v>
      </c>
      <c r="E4487">
        <v>976</v>
      </c>
      <c r="F4487">
        <v>12</v>
      </c>
      <c r="G4487">
        <v>7</v>
      </c>
      <c r="H4487">
        <v>1291</v>
      </c>
      <c r="I4487">
        <v>9283.14</v>
      </c>
      <c r="J4487">
        <v>35</v>
      </c>
      <c r="K4487">
        <v>3</v>
      </c>
      <c r="L4487">
        <v>34.6</v>
      </c>
      <c r="M4487">
        <v>17.9</v>
      </c>
      <c r="N4487" t="s">
        <v>81</v>
      </c>
      <c r="O4487" t="s">
        <v>47</v>
      </c>
      <c r="P4487" t="s">
        <v>66</v>
      </c>
      <c r="R4487">
        <f>SUMIF(A4487:A9486,"C04486",I4487:I9486)</f>
        <v>9283.14</v>
      </c>
      <c r="S4487" s="1">
        <v>10903.49</v>
      </c>
      <c r="T4487">
        <f t="shared" si="506"/>
        <v>265.232571428571</v>
      </c>
      <c r="U4487">
        <f t="shared" si="505"/>
        <v>626.5</v>
      </c>
      <c r="V4487">
        <f>U4487*3</f>
        <v>1879.5</v>
      </c>
      <c r="W4487">
        <f t="shared" si="503"/>
        <v>3525.04666666667</v>
      </c>
      <c r="X4487">
        <f t="shared" si="508"/>
        <v>0.756003098373354</v>
      </c>
      <c r="AH4487" t="str">
        <f t="shared" si="504"/>
        <v>3rd Quality</v>
      </c>
      <c r="AJ4487">
        <f>((T4487-X4487)*2)/34.6</f>
        <v>15.28766290926</v>
      </c>
      <c r="AK4487">
        <f t="shared" si="509"/>
        <v>258866.989714286</v>
      </c>
    </row>
    <row r="4488" spans="1:37">
      <c r="A4488" t="s">
        <v>4554</v>
      </c>
      <c r="B4488">
        <v>37</v>
      </c>
      <c r="C4488" t="s">
        <v>50</v>
      </c>
      <c r="D4488" t="s">
        <v>45</v>
      </c>
      <c r="E4488">
        <v>755</v>
      </c>
      <c r="F4488">
        <v>136</v>
      </c>
      <c r="G4488">
        <v>1</v>
      </c>
      <c r="H4488">
        <v>400.6</v>
      </c>
      <c r="I4488">
        <v>399.73</v>
      </c>
      <c r="J4488">
        <v>11</v>
      </c>
      <c r="K4488">
        <v>1</v>
      </c>
      <c r="L4488">
        <v>30.8</v>
      </c>
      <c r="M4488">
        <v>20.5</v>
      </c>
      <c r="N4488" t="s">
        <v>61</v>
      </c>
      <c r="O4488" t="s">
        <v>53</v>
      </c>
      <c r="P4488" t="s">
        <v>58</v>
      </c>
      <c r="R4488">
        <f>SUMIF(A4488:A9487,"C04487",I4488:I9487)</f>
        <v>399.73</v>
      </c>
      <c r="S4488" s="1">
        <v>25288.3</v>
      </c>
      <c r="T4488">
        <f t="shared" si="506"/>
        <v>36.3390909090909</v>
      </c>
      <c r="U4488">
        <f t="shared" si="505"/>
        <v>225.5</v>
      </c>
      <c r="V4488">
        <f>U4488*1</f>
        <v>225.5</v>
      </c>
      <c r="W4488">
        <f t="shared" si="503"/>
        <v>267.11</v>
      </c>
      <c r="X4488">
        <f t="shared" si="508"/>
        <v>1.88467299051423</v>
      </c>
      <c r="AH4488" t="str">
        <f t="shared" si="504"/>
        <v>3rd Quality</v>
      </c>
      <c r="AJ4488">
        <f>((T4488-X4488)*2)/30.8</f>
        <v>2.23729986484264</v>
      </c>
      <c r="AK4488">
        <f t="shared" si="509"/>
        <v>27436.0136363636</v>
      </c>
    </row>
    <row r="4489" spans="1:37">
      <c r="A4489" t="s">
        <v>4555</v>
      </c>
      <c r="B4489">
        <v>47</v>
      </c>
      <c r="C4489" t="s">
        <v>44</v>
      </c>
      <c r="D4489" t="s">
        <v>45</v>
      </c>
      <c r="E4489">
        <v>1144</v>
      </c>
      <c r="F4489">
        <v>5</v>
      </c>
      <c r="G4489">
        <v>30</v>
      </c>
      <c r="H4489">
        <v>2580.13</v>
      </c>
      <c r="I4489">
        <v>79261.22</v>
      </c>
      <c r="J4489">
        <v>190</v>
      </c>
      <c r="K4489">
        <v>0</v>
      </c>
      <c r="L4489">
        <v>7.3</v>
      </c>
      <c r="M4489">
        <v>10.9</v>
      </c>
      <c r="N4489" t="s">
        <v>78</v>
      </c>
      <c r="O4489" t="s">
        <v>53</v>
      </c>
      <c r="P4489" t="s">
        <v>58</v>
      </c>
      <c r="R4489">
        <f>SUMIF(A4489:A9488,"C04488",I4489:I9488)</f>
        <v>79261.22</v>
      </c>
      <c r="S4489" s="1">
        <v>33042.5</v>
      </c>
      <c r="T4489">
        <f t="shared" si="506"/>
        <v>417.164315789474</v>
      </c>
      <c r="U4489">
        <f t="shared" si="505"/>
        <v>2071</v>
      </c>
      <c r="V4489">
        <f t="shared" si="507"/>
        <v>172.583333333333</v>
      </c>
      <c r="W4489">
        <f t="shared" ref="W4489:W4552" si="510">(H4489+I4489+1)/3</f>
        <v>27280.7833333333</v>
      </c>
      <c r="X4489">
        <f t="shared" si="508"/>
        <v>0.443388511431595</v>
      </c>
      <c r="AH4489" t="str">
        <f t="shared" si="504"/>
        <v>3rd Quality</v>
      </c>
      <c r="AJ4489">
        <f>((T4489-X4489)*2)/7.3</f>
        <v>114.170117062477</v>
      </c>
      <c r="AK4489">
        <f t="shared" si="509"/>
        <v>477235.977263158</v>
      </c>
    </row>
    <row r="4490" spans="1:37">
      <c r="A4490" t="s">
        <v>4556</v>
      </c>
      <c r="B4490">
        <v>45</v>
      </c>
      <c r="C4490" t="s">
        <v>44</v>
      </c>
      <c r="D4490" t="s">
        <v>60</v>
      </c>
      <c r="E4490">
        <v>1309</v>
      </c>
      <c r="F4490">
        <v>84</v>
      </c>
      <c r="G4490">
        <v>10</v>
      </c>
      <c r="H4490">
        <v>1210.82</v>
      </c>
      <c r="I4490">
        <v>10903.49</v>
      </c>
      <c r="J4490">
        <v>89</v>
      </c>
      <c r="K4490">
        <v>0</v>
      </c>
      <c r="L4490">
        <v>19.3</v>
      </c>
      <c r="M4490">
        <v>50.9</v>
      </c>
      <c r="N4490" t="s">
        <v>78</v>
      </c>
      <c r="O4490" t="s">
        <v>47</v>
      </c>
      <c r="P4490" t="s">
        <v>58</v>
      </c>
      <c r="R4490">
        <f>SUMIF(A4490:A9489,"C04489",I4490:I9489)</f>
        <v>10903.49</v>
      </c>
      <c r="S4490" s="1">
        <v>3841.68</v>
      </c>
      <c r="T4490">
        <f t="shared" si="506"/>
        <v>122.511123595506</v>
      </c>
      <c r="U4490">
        <f t="shared" si="505"/>
        <v>4530.1</v>
      </c>
      <c r="V4490">
        <f t="shared" si="507"/>
        <v>377.508333333333</v>
      </c>
      <c r="W4490">
        <f t="shared" si="510"/>
        <v>4038.43666666667</v>
      </c>
      <c r="X4490">
        <f t="shared" si="508"/>
        <v>1.08108554533291</v>
      </c>
      <c r="AH4490" t="str">
        <f t="shared" si="504"/>
        <v>3rd Quality</v>
      </c>
      <c r="AJ4490">
        <f>((T4490-X4490)*2)/19.3</f>
        <v>12.5834236321423</v>
      </c>
      <c r="AK4490">
        <f t="shared" si="509"/>
        <v>160367.060786517</v>
      </c>
    </row>
    <row r="4491" spans="1:37">
      <c r="A4491" t="s">
        <v>4557</v>
      </c>
      <c r="B4491">
        <v>36</v>
      </c>
      <c r="C4491" t="s">
        <v>44</v>
      </c>
      <c r="D4491" t="s">
        <v>45</v>
      </c>
      <c r="E4491">
        <v>832</v>
      </c>
      <c r="F4491">
        <v>39</v>
      </c>
      <c r="G4491">
        <v>3</v>
      </c>
      <c r="H4491">
        <v>9042.54</v>
      </c>
      <c r="I4491">
        <v>25288.3</v>
      </c>
      <c r="J4491">
        <v>31</v>
      </c>
      <c r="K4491">
        <v>0</v>
      </c>
      <c r="L4491">
        <v>0</v>
      </c>
      <c r="M4491">
        <v>7.8</v>
      </c>
      <c r="N4491" t="s">
        <v>57</v>
      </c>
      <c r="O4491" t="s">
        <v>47</v>
      </c>
      <c r="P4491" t="s">
        <v>58</v>
      </c>
      <c r="R4491">
        <f>SUMIF(A4491:A9490,"C04490",I4491:I9490)</f>
        <v>25288.3</v>
      </c>
      <c r="S4491" s="1">
        <v>1087</v>
      </c>
      <c r="T4491">
        <f t="shared" si="506"/>
        <v>815.751612903226</v>
      </c>
      <c r="U4491">
        <f t="shared" si="505"/>
        <v>241.8</v>
      </c>
      <c r="V4491">
        <f t="shared" si="507"/>
        <v>20.15</v>
      </c>
      <c r="W4491">
        <f t="shared" si="510"/>
        <v>11443.9466666667</v>
      </c>
      <c r="X4491">
        <f t="shared" si="508"/>
        <v>0.0920095459903965</v>
      </c>
      <c r="AH4491" t="str">
        <f t="shared" si="504"/>
        <v>2nd Quality</v>
      </c>
      <c r="AJ4491">
        <f>((T4491-X4491)*2)</f>
        <v>1631.31920671447</v>
      </c>
      <c r="AK4491">
        <f t="shared" si="509"/>
        <v>678705.341935484</v>
      </c>
    </row>
    <row r="4492" spans="1:37">
      <c r="A4492" t="s">
        <v>4558</v>
      </c>
      <c r="B4492">
        <v>44</v>
      </c>
      <c r="C4492" t="s">
        <v>50</v>
      </c>
      <c r="D4492" t="s">
        <v>45</v>
      </c>
      <c r="E4492">
        <v>381</v>
      </c>
      <c r="F4492">
        <v>42</v>
      </c>
      <c r="G4492">
        <v>2</v>
      </c>
      <c r="H4492">
        <v>16293.2</v>
      </c>
      <c r="I4492">
        <v>33042.5</v>
      </c>
      <c r="J4492">
        <v>16</v>
      </c>
      <c r="K4492">
        <v>0</v>
      </c>
      <c r="L4492">
        <v>11.1</v>
      </c>
      <c r="M4492">
        <v>35.7</v>
      </c>
      <c r="N4492" t="s">
        <v>81</v>
      </c>
      <c r="O4492" t="s">
        <v>47</v>
      </c>
      <c r="P4492" t="s">
        <v>58</v>
      </c>
      <c r="R4492">
        <f>SUMIF(A4492:A9491,"C04491",I4492:I9491)</f>
        <v>33042.5</v>
      </c>
      <c r="S4492" s="1">
        <v>65251.23</v>
      </c>
      <c r="T4492">
        <f t="shared" si="506"/>
        <v>2065.15625</v>
      </c>
      <c r="U4492">
        <f t="shared" si="505"/>
        <v>571.2</v>
      </c>
      <c r="V4492">
        <f t="shared" si="507"/>
        <v>47.6</v>
      </c>
      <c r="W4492">
        <f t="shared" si="510"/>
        <v>16445.5666666667</v>
      </c>
      <c r="X4492">
        <f t="shared" si="508"/>
        <v>0.0233839884123438</v>
      </c>
      <c r="AH4492" t="str">
        <f t="shared" si="504"/>
        <v>3rd Quality</v>
      </c>
      <c r="AJ4492">
        <f>((T4492-X4492)*2)/11.1</f>
        <v>372.09601189398</v>
      </c>
      <c r="AK4492">
        <f t="shared" si="509"/>
        <v>786824.53125</v>
      </c>
    </row>
    <row r="4493" spans="1:37">
      <c r="A4493" t="s">
        <v>4559</v>
      </c>
      <c r="B4493">
        <v>27</v>
      </c>
      <c r="C4493" t="s">
        <v>44</v>
      </c>
      <c r="D4493" t="s">
        <v>45</v>
      </c>
      <c r="E4493">
        <v>759</v>
      </c>
      <c r="F4493">
        <v>202</v>
      </c>
      <c r="G4493">
        <v>4</v>
      </c>
      <c r="H4493">
        <v>1058.97</v>
      </c>
      <c r="I4493">
        <v>3841.68</v>
      </c>
      <c r="J4493">
        <v>19</v>
      </c>
      <c r="K4493">
        <v>0</v>
      </c>
      <c r="L4493">
        <v>23.6</v>
      </c>
      <c r="M4493">
        <v>0.8</v>
      </c>
      <c r="N4493" t="s">
        <v>63</v>
      </c>
      <c r="O4493" t="s">
        <v>47</v>
      </c>
      <c r="P4493" t="s">
        <v>58</v>
      </c>
      <c r="R4493">
        <f>SUMIF(A4493:A9492,"C04492",I4493:I9492)</f>
        <v>3841.68</v>
      </c>
      <c r="S4493" s="1">
        <v>10763.6</v>
      </c>
      <c r="T4493">
        <f t="shared" si="506"/>
        <v>202.193684210526</v>
      </c>
      <c r="U4493">
        <f t="shared" si="505"/>
        <v>15.2</v>
      </c>
      <c r="V4493">
        <f t="shared" si="507"/>
        <v>1.26666666666667</v>
      </c>
      <c r="W4493">
        <f t="shared" si="510"/>
        <v>1633.88333333333</v>
      </c>
      <c r="X4493">
        <f t="shared" si="508"/>
        <v>0.716734185104394</v>
      </c>
      <c r="AH4493" t="str">
        <f t="shared" si="504"/>
        <v>3rd Quality</v>
      </c>
      <c r="AJ4493">
        <f>((T4493-X4493)*2)/23.6</f>
        <v>17.0743177987645</v>
      </c>
      <c r="AK4493">
        <f t="shared" si="509"/>
        <v>153465.006315789</v>
      </c>
    </row>
    <row r="4494" spans="1:37">
      <c r="A4494" t="s">
        <v>4560</v>
      </c>
      <c r="B4494">
        <v>42</v>
      </c>
      <c r="C4494" t="s">
        <v>50</v>
      </c>
      <c r="D4494" t="s">
        <v>60</v>
      </c>
      <c r="E4494">
        <v>393</v>
      </c>
      <c r="F4494">
        <v>365</v>
      </c>
      <c r="G4494">
        <v>1</v>
      </c>
      <c r="H4494">
        <v>1011.82</v>
      </c>
      <c r="I4494">
        <v>1087</v>
      </c>
      <c r="J4494">
        <v>11</v>
      </c>
      <c r="K4494">
        <v>0</v>
      </c>
      <c r="L4494">
        <v>16.1</v>
      </c>
      <c r="M4494">
        <v>39.9</v>
      </c>
      <c r="N4494" t="s">
        <v>78</v>
      </c>
      <c r="O4494" t="s">
        <v>47</v>
      </c>
      <c r="P4494" t="s">
        <v>54</v>
      </c>
      <c r="R4494">
        <f>SUMIF(A4494:A9493,"C04493",I4494:I9493)</f>
        <v>1087</v>
      </c>
      <c r="S4494" s="1">
        <v>8466.44</v>
      </c>
      <c r="T4494">
        <f t="shared" si="506"/>
        <v>98.8181818181818</v>
      </c>
      <c r="U4494">
        <f t="shared" si="505"/>
        <v>438.9</v>
      </c>
      <c r="V4494">
        <f t="shared" si="507"/>
        <v>36.575</v>
      </c>
      <c r="W4494">
        <f t="shared" si="510"/>
        <v>699.94</v>
      </c>
      <c r="X4494">
        <f t="shared" si="508"/>
        <v>0.388409005554348</v>
      </c>
      <c r="AH4494" t="str">
        <f t="shared" ref="AH4494:AH4557" si="511">IF(AND(W4494&gt;=12550,B4494&lt;=33,E4494&gt;=915),"1st Quality",IF(AND(W4494&gt;=6275,B4494&lt;=43,E4494&gt;=457),"2nd Quality","3rd Quality"))</f>
        <v>3rd Quality</v>
      </c>
      <c r="AJ4494">
        <f>((T4494-X4494)*2)/16.1</f>
        <v>12.2273009705127</v>
      </c>
      <c r="AK4494">
        <f t="shared" si="509"/>
        <v>38835.5454545455</v>
      </c>
    </row>
    <row r="4495" spans="1:37">
      <c r="A4495" t="s">
        <v>4561</v>
      </c>
      <c r="B4495">
        <v>38</v>
      </c>
      <c r="C4495" t="s">
        <v>44</v>
      </c>
      <c r="D4495" t="s">
        <v>60</v>
      </c>
      <c r="E4495">
        <v>613</v>
      </c>
      <c r="F4495">
        <v>4</v>
      </c>
      <c r="G4495">
        <v>39</v>
      </c>
      <c r="H4495">
        <v>1816.91</v>
      </c>
      <c r="I4495">
        <v>65251.23</v>
      </c>
      <c r="J4495">
        <v>279</v>
      </c>
      <c r="K4495">
        <v>4</v>
      </c>
      <c r="L4495">
        <v>26.8</v>
      </c>
      <c r="M4495">
        <v>16.2</v>
      </c>
      <c r="N4495" t="s">
        <v>52</v>
      </c>
      <c r="O4495" t="s">
        <v>75</v>
      </c>
      <c r="P4495" t="s">
        <v>68</v>
      </c>
      <c r="R4495">
        <f>SUMIF(A4495:A9494,"C04494",I4495:I9494)</f>
        <v>65251.23</v>
      </c>
      <c r="S4495" s="1">
        <v>7227.13</v>
      </c>
      <c r="T4495">
        <f t="shared" si="506"/>
        <v>233.875376344086</v>
      </c>
      <c r="U4495">
        <f t="shared" si="505"/>
        <v>4519.8</v>
      </c>
      <c r="V4495">
        <f>U4495*4</f>
        <v>18079.2</v>
      </c>
      <c r="W4495">
        <f t="shared" si="510"/>
        <v>22356.38</v>
      </c>
      <c r="X4495">
        <f t="shared" si="508"/>
        <v>0.337386001508055</v>
      </c>
      <c r="AH4495" t="str">
        <f t="shared" si="511"/>
        <v>2nd Quality</v>
      </c>
      <c r="AJ4495">
        <f>((T4495-X4495)*2)/26.8</f>
        <v>17.4282082345207</v>
      </c>
      <c r="AK4495">
        <f t="shared" si="509"/>
        <v>143365.605698925</v>
      </c>
    </row>
    <row r="4496" spans="1:37">
      <c r="A4496" t="s">
        <v>4562</v>
      </c>
      <c r="B4496">
        <v>35</v>
      </c>
      <c r="C4496" t="s">
        <v>44</v>
      </c>
      <c r="D4496" t="s">
        <v>45</v>
      </c>
      <c r="E4496">
        <v>790</v>
      </c>
      <c r="F4496">
        <v>28</v>
      </c>
      <c r="G4496">
        <v>9</v>
      </c>
      <c r="H4496">
        <v>1219.83</v>
      </c>
      <c r="I4496">
        <v>10763.6</v>
      </c>
      <c r="J4496">
        <v>58</v>
      </c>
      <c r="K4496">
        <v>0</v>
      </c>
      <c r="L4496">
        <v>9.4</v>
      </c>
      <c r="M4496">
        <v>30.2</v>
      </c>
      <c r="N4496" t="s">
        <v>46</v>
      </c>
      <c r="O4496" t="s">
        <v>47</v>
      </c>
      <c r="P4496" t="s">
        <v>58</v>
      </c>
      <c r="R4496">
        <f>SUMIF(A4496:A9495,"C04495",I4496:I9495)</f>
        <v>10763.6</v>
      </c>
      <c r="S4496" s="1">
        <v>85988.34</v>
      </c>
      <c r="T4496">
        <f t="shared" si="506"/>
        <v>185.579310344828</v>
      </c>
      <c r="U4496">
        <f t="shared" si="505"/>
        <v>1751.6</v>
      </c>
      <c r="V4496">
        <f t="shared" si="507"/>
        <v>145.966666666667</v>
      </c>
      <c r="W4496">
        <f t="shared" si="510"/>
        <v>3994.81</v>
      </c>
      <c r="X4496">
        <f t="shared" si="508"/>
        <v>0.647631227302165</v>
      </c>
      <c r="AH4496" t="str">
        <f t="shared" si="511"/>
        <v>3rd Quality</v>
      </c>
      <c r="AJ4496">
        <f>((T4496-X4496)*2)/9.4</f>
        <v>39.3471657696863</v>
      </c>
      <c r="AK4496">
        <f t="shared" si="509"/>
        <v>146607.655172414</v>
      </c>
    </row>
    <row r="4497" spans="1:37">
      <c r="A4497" t="s">
        <v>4563</v>
      </c>
      <c r="B4497">
        <v>58</v>
      </c>
      <c r="C4497" t="s">
        <v>50</v>
      </c>
      <c r="D4497" t="s">
        <v>51</v>
      </c>
      <c r="E4497">
        <v>492</v>
      </c>
      <c r="F4497">
        <v>84</v>
      </c>
      <c r="G4497">
        <v>6</v>
      </c>
      <c r="H4497">
        <v>1416.32</v>
      </c>
      <c r="I4497">
        <v>8466.44</v>
      </c>
      <c r="J4497">
        <v>44</v>
      </c>
      <c r="K4497">
        <v>0</v>
      </c>
      <c r="L4497">
        <v>21.3</v>
      </c>
      <c r="M4497">
        <v>30.1</v>
      </c>
      <c r="N4497" t="s">
        <v>81</v>
      </c>
      <c r="O4497" t="s">
        <v>47</v>
      </c>
      <c r="P4497" t="s">
        <v>58</v>
      </c>
      <c r="R4497">
        <f>SUMIF(A4497:A9496,"C04496",I4497:I9496)</f>
        <v>8466.44</v>
      </c>
      <c r="S4497" s="1">
        <v>5004.53</v>
      </c>
      <c r="T4497">
        <f t="shared" si="506"/>
        <v>192.419090909091</v>
      </c>
      <c r="U4497">
        <f t="shared" si="505"/>
        <v>1324.4</v>
      </c>
      <c r="V4497">
        <f t="shared" si="507"/>
        <v>110.366666666667</v>
      </c>
      <c r="W4497">
        <f t="shared" si="510"/>
        <v>3294.58666666667</v>
      </c>
      <c r="X4497">
        <f t="shared" si="508"/>
        <v>0.347379123361952</v>
      </c>
      <c r="AH4497" t="str">
        <f t="shared" si="511"/>
        <v>3rd Quality</v>
      </c>
      <c r="AJ4497">
        <f>((T4497-X4497)*2)/21.3</f>
        <v>18.0349025150919</v>
      </c>
      <c r="AK4497">
        <f t="shared" si="509"/>
        <v>94670.1927272727</v>
      </c>
    </row>
    <row r="4498" spans="1:37">
      <c r="A4498" t="s">
        <v>4564</v>
      </c>
      <c r="B4498">
        <v>37</v>
      </c>
      <c r="C4498" t="s">
        <v>44</v>
      </c>
      <c r="D4498" t="s">
        <v>45</v>
      </c>
      <c r="E4498">
        <v>408</v>
      </c>
      <c r="F4498">
        <v>36</v>
      </c>
      <c r="G4498">
        <v>4</v>
      </c>
      <c r="H4498">
        <v>1968.38</v>
      </c>
      <c r="I4498">
        <v>7227.13</v>
      </c>
      <c r="J4498">
        <v>32</v>
      </c>
      <c r="K4498">
        <v>0</v>
      </c>
      <c r="L4498">
        <v>12.4</v>
      </c>
      <c r="M4498">
        <v>18.3</v>
      </c>
      <c r="N4498" t="s">
        <v>81</v>
      </c>
      <c r="O4498" t="s">
        <v>47</v>
      </c>
      <c r="P4498" t="s">
        <v>66</v>
      </c>
      <c r="R4498">
        <f>SUMIF(A4498:A9497,"C04497",I4498:I9497)</f>
        <v>7227.13</v>
      </c>
      <c r="S4498" s="1">
        <v>3253.38</v>
      </c>
      <c r="T4498">
        <f t="shared" si="506"/>
        <v>225.8478125</v>
      </c>
      <c r="U4498">
        <f t="shared" si="505"/>
        <v>585.6</v>
      </c>
      <c r="V4498">
        <f t="shared" si="507"/>
        <v>48.8</v>
      </c>
      <c r="W4498">
        <f t="shared" si="510"/>
        <v>3065.50333333333</v>
      </c>
      <c r="X4498">
        <f t="shared" si="508"/>
        <v>0.207277050163078</v>
      </c>
      <c r="AH4498" t="str">
        <f t="shared" si="511"/>
        <v>3rd Quality</v>
      </c>
      <c r="AJ4498">
        <f>((T4498-X4498)*2)/12.4</f>
        <v>36.3936347499737</v>
      </c>
      <c r="AK4498">
        <f t="shared" si="509"/>
        <v>92145.9075</v>
      </c>
    </row>
    <row r="4499" spans="1:37">
      <c r="A4499" t="s">
        <v>4565</v>
      </c>
      <c r="B4499">
        <v>18</v>
      </c>
      <c r="C4499" t="s">
        <v>50</v>
      </c>
      <c r="D4499" t="s">
        <v>60</v>
      </c>
      <c r="E4499">
        <v>711</v>
      </c>
      <c r="F4499">
        <v>18</v>
      </c>
      <c r="G4499">
        <v>5</v>
      </c>
      <c r="H4499">
        <v>18332.06</v>
      </c>
      <c r="I4499">
        <v>85988.34</v>
      </c>
      <c r="J4499">
        <v>46</v>
      </c>
      <c r="K4499">
        <v>0</v>
      </c>
      <c r="L4499">
        <v>2.2</v>
      </c>
      <c r="M4499">
        <v>23.9</v>
      </c>
      <c r="N4499" t="s">
        <v>46</v>
      </c>
      <c r="O4499" t="s">
        <v>53</v>
      </c>
      <c r="P4499" t="s">
        <v>58</v>
      </c>
      <c r="R4499">
        <f>SUMIF(A4499:A9498,"C04498",I4499:I9498)</f>
        <v>85988.34</v>
      </c>
      <c r="S4499" s="1">
        <v>118206.98</v>
      </c>
      <c r="T4499">
        <f t="shared" si="506"/>
        <v>1869.31173913043</v>
      </c>
      <c r="U4499">
        <f t="shared" si="505"/>
        <v>1099.4</v>
      </c>
      <c r="V4499">
        <f t="shared" si="507"/>
        <v>91.6166666666667</v>
      </c>
      <c r="W4499">
        <f t="shared" si="510"/>
        <v>34773.8</v>
      </c>
      <c r="X4499">
        <f t="shared" si="508"/>
        <v>0.0387845119424658</v>
      </c>
      <c r="AH4499" t="str">
        <f t="shared" si="511"/>
        <v>2nd Quality</v>
      </c>
      <c r="AJ4499">
        <f>((T4499-X4499)*2)/2.2</f>
        <v>1699.33904965317</v>
      </c>
      <c r="AK4499">
        <f t="shared" si="509"/>
        <v>1329080.64652174</v>
      </c>
    </row>
    <row r="4500" spans="1:37">
      <c r="A4500" t="s">
        <v>4566</v>
      </c>
      <c r="B4500">
        <v>43</v>
      </c>
      <c r="C4500" t="s">
        <v>101</v>
      </c>
      <c r="D4500" t="s">
        <v>51</v>
      </c>
      <c r="E4500">
        <v>398</v>
      </c>
      <c r="F4500">
        <v>87</v>
      </c>
      <c r="G4500">
        <v>3</v>
      </c>
      <c r="H4500">
        <v>1674.45</v>
      </c>
      <c r="I4500">
        <v>5004.53</v>
      </c>
      <c r="J4500">
        <v>16</v>
      </c>
      <c r="K4500">
        <v>0</v>
      </c>
      <c r="L4500">
        <v>28</v>
      </c>
      <c r="M4500">
        <v>27.2</v>
      </c>
      <c r="N4500" t="s">
        <v>46</v>
      </c>
      <c r="O4500" t="s">
        <v>47</v>
      </c>
      <c r="P4500" t="s">
        <v>58</v>
      </c>
      <c r="R4500">
        <f>SUMIF(A4500:A9499,"C04499",I4500:I9499)</f>
        <v>5004.53</v>
      </c>
      <c r="S4500" s="1">
        <v>12648.54</v>
      </c>
      <c r="T4500">
        <f t="shared" si="506"/>
        <v>312.783125</v>
      </c>
      <c r="U4500">
        <f t="shared" si="505"/>
        <v>435.2</v>
      </c>
      <c r="V4500">
        <f t="shared" si="507"/>
        <v>36.2666666666667</v>
      </c>
      <c r="W4500">
        <f t="shared" si="510"/>
        <v>2226.66</v>
      </c>
      <c r="X4500">
        <f t="shared" si="508"/>
        <v>0.237689987757174</v>
      </c>
      <c r="AH4500" t="str">
        <f t="shared" si="511"/>
        <v>3rd Quality</v>
      </c>
      <c r="AJ4500">
        <f>((T4500-X4500)*2)/28</f>
        <v>22.3246739294459</v>
      </c>
      <c r="AK4500">
        <f t="shared" si="509"/>
        <v>124487.68375</v>
      </c>
    </row>
    <row r="4501" spans="1:37">
      <c r="A4501" t="s">
        <v>4567</v>
      </c>
      <c r="B4501">
        <v>63</v>
      </c>
      <c r="C4501" t="s">
        <v>44</v>
      </c>
      <c r="D4501" t="s">
        <v>60</v>
      </c>
      <c r="E4501">
        <v>647</v>
      </c>
      <c r="F4501">
        <v>291</v>
      </c>
      <c r="G4501">
        <v>5</v>
      </c>
      <c r="H4501">
        <v>718.48</v>
      </c>
      <c r="I4501">
        <v>3253.38</v>
      </c>
      <c r="J4501">
        <v>45</v>
      </c>
      <c r="K4501">
        <v>0</v>
      </c>
      <c r="L4501">
        <v>19.9</v>
      </c>
      <c r="M4501">
        <v>28.9</v>
      </c>
      <c r="N4501" t="s">
        <v>63</v>
      </c>
      <c r="O4501" t="s">
        <v>53</v>
      </c>
      <c r="P4501" t="s">
        <v>58</v>
      </c>
      <c r="R4501">
        <f>SUMIF(A4501:A9500,"C04500",I4501:I9500)</f>
        <v>3253.38</v>
      </c>
      <c r="S4501" s="1">
        <v>44002.66</v>
      </c>
      <c r="T4501">
        <f t="shared" si="506"/>
        <v>72.2973333333333</v>
      </c>
      <c r="U4501">
        <f t="shared" si="505"/>
        <v>1300.5</v>
      </c>
      <c r="V4501">
        <f t="shared" si="507"/>
        <v>108.375</v>
      </c>
      <c r="W4501">
        <f t="shared" si="510"/>
        <v>1324.28666666667</v>
      </c>
      <c r="X4501">
        <f t="shared" si="508"/>
        <v>0.900512192406191</v>
      </c>
      <c r="AH4501" t="str">
        <f t="shared" si="511"/>
        <v>3rd Quality</v>
      </c>
      <c r="AJ4501">
        <f>((T4501-X4501)*2)/19.9</f>
        <v>7.17555991366102</v>
      </c>
      <c r="AK4501">
        <f t="shared" si="509"/>
        <v>46776.3746666667</v>
      </c>
    </row>
    <row r="4502" spans="1:37">
      <c r="A4502" t="s">
        <v>4568</v>
      </c>
      <c r="B4502">
        <v>23</v>
      </c>
      <c r="C4502" t="s">
        <v>44</v>
      </c>
      <c r="D4502" t="s">
        <v>60</v>
      </c>
      <c r="E4502">
        <v>497</v>
      </c>
      <c r="F4502">
        <v>9</v>
      </c>
      <c r="G4502">
        <v>28</v>
      </c>
      <c r="H4502">
        <v>4564.37</v>
      </c>
      <c r="I4502">
        <v>118206.98</v>
      </c>
      <c r="J4502">
        <v>207</v>
      </c>
      <c r="K4502">
        <v>3</v>
      </c>
      <c r="L4502">
        <v>11.9</v>
      </c>
      <c r="M4502">
        <v>28.7</v>
      </c>
      <c r="N4502" t="s">
        <v>52</v>
      </c>
      <c r="O4502" t="s">
        <v>53</v>
      </c>
      <c r="P4502" t="s">
        <v>48</v>
      </c>
      <c r="R4502">
        <f>SUMIF(A4502:A9501,"C04501",I4502:I9501)</f>
        <v>118206.98</v>
      </c>
      <c r="S4502" s="1">
        <v>8517.47</v>
      </c>
      <c r="T4502">
        <f t="shared" si="506"/>
        <v>571.048212560386</v>
      </c>
      <c r="U4502">
        <f t="shared" si="505"/>
        <v>5940.9</v>
      </c>
      <c r="V4502">
        <f>U4502*3</f>
        <v>17822.7</v>
      </c>
      <c r="W4502">
        <f t="shared" si="510"/>
        <v>40924.1166666667</v>
      </c>
      <c r="X4502">
        <f t="shared" si="508"/>
        <v>0.108886878145286</v>
      </c>
      <c r="AH4502" t="str">
        <f t="shared" si="511"/>
        <v>2nd Quality</v>
      </c>
      <c r="AJ4502">
        <f>((T4502-X4502)*2)/11.9</f>
        <v>95.9561891902925</v>
      </c>
      <c r="AK4502">
        <f t="shared" si="509"/>
        <v>283810.961642512</v>
      </c>
    </row>
    <row r="4503" spans="1:37">
      <c r="A4503" t="s">
        <v>4569</v>
      </c>
      <c r="B4503">
        <v>37</v>
      </c>
      <c r="C4503" t="s">
        <v>44</v>
      </c>
      <c r="D4503" t="s">
        <v>60</v>
      </c>
      <c r="E4503">
        <v>952</v>
      </c>
      <c r="F4503">
        <v>55</v>
      </c>
      <c r="G4503">
        <v>9</v>
      </c>
      <c r="H4503">
        <v>1587</v>
      </c>
      <c r="I4503">
        <v>12648.54</v>
      </c>
      <c r="J4503">
        <v>56</v>
      </c>
      <c r="K4503">
        <v>0</v>
      </c>
      <c r="L4503">
        <v>32.3</v>
      </c>
      <c r="M4503">
        <v>3.6</v>
      </c>
      <c r="N4503" t="s">
        <v>57</v>
      </c>
      <c r="O4503" t="s">
        <v>47</v>
      </c>
      <c r="P4503" t="s">
        <v>68</v>
      </c>
      <c r="R4503">
        <f>SUMIF(A4503:A9502,"C04502",I4503:I9502)</f>
        <v>12648.54</v>
      </c>
      <c r="S4503" s="1">
        <v>87174.25</v>
      </c>
      <c r="T4503">
        <f t="shared" si="506"/>
        <v>225.866785714286</v>
      </c>
      <c r="U4503">
        <f t="shared" si="505"/>
        <v>201.6</v>
      </c>
      <c r="V4503">
        <f t="shared" si="507"/>
        <v>16.8</v>
      </c>
      <c r="W4503">
        <f t="shared" si="510"/>
        <v>4745.51333333333</v>
      </c>
      <c r="X4503">
        <f t="shared" si="508"/>
        <v>0.599873976055451</v>
      </c>
      <c r="AH4503" t="str">
        <f t="shared" si="511"/>
        <v>3rd Quality</v>
      </c>
      <c r="AJ4503">
        <f>((T4503-X4503)*2)/37.3</f>
        <v>12.0786547848917</v>
      </c>
      <c r="AK4503">
        <f t="shared" si="509"/>
        <v>215025.18</v>
      </c>
    </row>
    <row r="4504" spans="1:37">
      <c r="A4504" t="s">
        <v>4570</v>
      </c>
      <c r="B4504">
        <v>33</v>
      </c>
      <c r="C4504" t="s">
        <v>50</v>
      </c>
      <c r="D4504" t="s">
        <v>60</v>
      </c>
      <c r="E4504">
        <v>1241</v>
      </c>
      <c r="F4504">
        <v>22</v>
      </c>
      <c r="G4504">
        <v>7</v>
      </c>
      <c r="H4504">
        <v>6276.38</v>
      </c>
      <c r="I4504">
        <v>44002.66</v>
      </c>
      <c r="J4504">
        <v>25</v>
      </c>
      <c r="K4504">
        <v>0</v>
      </c>
      <c r="L4504">
        <v>8.3</v>
      </c>
      <c r="M4504">
        <v>60.4</v>
      </c>
      <c r="N4504" t="s">
        <v>57</v>
      </c>
      <c r="O4504" t="s">
        <v>47</v>
      </c>
      <c r="P4504" t="s">
        <v>48</v>
      </c>
      <c r="R4504">
        <f>SUMIF(A4504:A9503,"C04503",I4504:I9503)</f>
        <v>44002.66</v>
      </c>
      <c r="S4504" s="1">
        <v>9596.91</v>
      </c>
      <c r="T4504">
        <f t="shared" si="506"/>
        <v>1760.1064</v>
      </c>
      <c r="U4504">
        <f t="shared" si="505"/>
        <v>1510</v>
      </c>
      <c r="V4504">
        <f t="shared" si="507"/>
        <v>125.833333333333</v>
      </c>
      <c r="W4504">
        <f t="shared" si="510"/>
        <v>16760.0133333333</v>
      </c>
      <c r="X4504">
        <f t="shared" si="508"/>
        <v>0.197725440460903</v>
      </c>
      <c r="AH4504" t="str">
        <f t="shared" si="511"/>
        <v>1st Quality</v>
      </c>
      <c r="AJ4504">
        <f>((T4504-X4504)*2)/8.3</f>
        <v>424.074379411937</v>
      </c>
      <c r="AK4504">
        <f t="shared" si="509"/>
        <v>2184292.0424</v>
      </c>
    </row>
    <row r="4505" spans="1:37">
      <c r="A4505" t="s">
        <v>4571</v>
      </c>
      <c r="B4505">
        <v>40</v>
      </c>
      <c r="C4505" t="s">
        <v>101</v>
      </c>
      <c r="D4505" t="s">
        <v>60</v>
      </c>
      <c r="E4505">
        <v>1305</v>
      </c>
      <c r="F4505">
        <v>8</v>
      </c>
      <c r="G4505">
        <v>12</v>
      </c>
      <c r="H4505">
        <v>658.83</v>
      </c>
      <c r="I4505">
        <v>8517.47</v>
      </c>
      <c r="J4505">
        <v>93</v>
      </c>
      <c r="K4505">
        <v>1</v>
      </c>
      <c r="L4505">
        <v>27.9</v>
      </c>
      <c r="M4505">
        <v>16.6</v>
      </c>
      <c r="N4505" t="s">
        <v>46</v>
      </c>
      <c r="O4505" t="s">
        <v>75</v>
      </c>
      <c r="P4505" t="s">
        <v>68</v>
      </c>
      <c r="R4505">
        <f>SUMIF(A4505:A9504,"C04504",I4505:I9504)</f>
        <v>8517.47</v>
      </c>
      <c r="S4505" s="1">
        <v>8166.11</v>
      </c>
      <c r="T4505">
        <f t="shared" si="506"/>
        <v>91.5856989247312</v>
      </c>
      <c r="U4505">
        <f t="shared" si="505"/>
        <v>1543.8</v>
      </c>
      <c r="V4505">
        <f>U4505*1</f>
        <v>1543.8</v>
      </c>
      <c r="W4505">
        <f t="shared" si="510"/>
        <v>3059.1</v>
      </c>
      <c r="X4505">
        <f t="shared" si="508"/>
        <v>1.98078411729885</v>
      </c>
      <c r="AH4505" t="str">
        <f t="shared" si="511"/>
        <v>3rd Quality</v>
      </c>
      <c r="AJ4505">
        <f>((T4505-X4505)*2)/27.9</f>
        <v>6.42329138404533</v>
      </c>
      <c r="AK4505">
        <f t="shared" si="509"/>
        <v>119519.337096774</v>
      </c>
    </row>
    <row r="4506" spans="1:37">
      <c r="A4506" t="s">
        <v>4572</v>
      </c>
      <c r="B4506">
        <v>29</v>
      </c>
      <c r="C4506" t="s">
        <v>44</v>
      </c>
      <c r="D4506" t="s">
        <v>60</v>
      </c>
      <c r="E4506">
        <v>1047</v>
      </c>
      <c r="F4506">
        <v>19</v>
      </c>
      <c r="G4506">
        <v>24</v>
      </c>
      <c r="H4506">
        <v>3380.12</v>
      </c>
      <c r="I4506">
        <v>87174.25</v>
      </c>
      <c r="J4506">
        <v>197</v>
      </c>
      <c r="K4506">
        <v>0</v>
      </c>
      <c r="L4506">
        <v>20.4</v>
      </c>
      <c r="M4506">
        <v>11.1</v>
      </c>
      <c r="N4506" t="s">
        <v>61</v>
      </c>
      <c r="O4506" t="s">
        <v>53</v>
      </c>
      <c r="P4506" t="s">
        <v>66</v>
      </c>
      <c r="R4506">
        <f>SUMIF(A4506:A9505,"C04505",I4506:I9505)</f>
        <v>87174.25</v>
      </c>
      <c r="S4506" s="1">
        <v>57893.2</v>
      </c>
      <c r="T4506">
        <f t="shared" si="506"/>
        <v>442.508883248731</v>
      </c>
      <c r="U4506">
        <f t="shared" si="505"/>
        <v>2186.7</v>
      </c>
      <c r="V4506">
        <f t="shared" si="507"/>
        <v>182.225</v>
      </c>
      <c r="W4506">
        <f t="shared" si="510"/>
        <v>30185.1233333333</v>
      </c>
      <c r="X4506">
        <f t="shared" si="508"/>
        <v>0.309752316485805</v>
      </c>
      <c r="AH4506" t="str">
        <f t="shared" si="511"/>
        <v>1st Quality</v>
      </c>
      <c r="AJ4506">
        <f>((T4506-X4506)*2)/20.4</f>
        <v>43.3528559737495</v>
      </c>
      <c r="AK4506">
        <f t="shared" si="509"/>
        <v>463306.800761421</v>
      </c>
    </row>
    <row r="4507" spans="1:37">
      <c r="A4507" t="s">
        <v>4573</v>
      </c>
      <c r="B4507">
        <v>37</v>
      </c>
      <c r="C4507" t="s">
        <v>44</v>
      </c>
      <c r="D4507" t="s">
        <v>45</v>
      </c>
      <c r="E4507">
        <v>461</v>
      </c>
      <c r="F4507">
        <v>27</v>
      </c>
      <c r="G4507">
        <v>13</v>
      </c>
      <c r="H4507">
        <v>764.86</v>
      </c>
      <c r="I4507">
        <v>9596.91</v>
      </c>
      <c r="J4507">
        <v>113</v>
      </c>
      <c r="K4507">
        <v>2</v>
      </c>
      <c r="L4507">
        <v>26.3</v>
      </c>
      <c r="M4507">
        <v>23.1</v>
      </c>
      <c r="N4507" t="s">
        <v>63</v>
      </c>
      <c r="O4507" t="s">
        <v>47</v>
      </c>
      <c r="P4507" t="s">
        <v>68</v>
      </c>
      <c r="R4507">
        <f>SUMIF(A4507:A9506,"C04506",I4507:I9506)</f>
        <v>9596.91</v>
      </c>
      <c r="S4507" s="1">
        <v>906.7</v>
      </c>
      <c r="T4507">
        <f t="shared" si="506"/>
        <v>84.928407079646</v>
      </c>
      <c r="U4507">
        <f t="shared" si="505"/>
        <v>2610.3</v>
      </c>
      <c r="V4507">
        <f>U4507*2</f>
        <v>5220.6</v>
      </c>
      <c r="W4507">
        <f t="shared" si="510"/>
        <v>3454.25666666667</v>
      </c>
      <c r="X4507">
        <f t="shared" si="508"/>
        <v>0.602724681641085</v>
      </c>
      <c r="AH4507" t="str">
        <f t="shared" si="511"/>
        <v>3rd Quality</v>
      </c>
      <c r="AJ4507">
        <f>((T4507-X4507)*2)/26.3</f>
        <v>6.41259942190152</v>
      </c>
      <c r="AK4507">
        <f t="shared" si="509"/>
        <v>39151.9956637168</v>
      </c>
    </row>
    <row r="4508" spans="1:37">
      <c r="A4508" t="s">
        <v>4574</v>
      </c>
      <c r="B4508">
        <v>20</v>
      </c>
      <c r="C4508" t="s">
        <v>44</v>
      </c>
      <c r="D4508" t="s">
        <v>45</v>
      </c>
      <c r="E4508">
        <v>449</v>
      </c>
      <c r="F4508">
        <v>72</v>
      </c>
      <c r="G4508">
        <v>8</v>
      </c>
      <c r="H4508">
        <v>976.82</v>
      </c>
      <c r="I4508">
        <v>8166.11</v>
      </c>
      <c r="J4508">
        <v>35</v>
      </c>
      <c r="K4508">
        <v>1</v>
      </c>
      <c r="L4508">
        <v>5.5</v>
      </c>
      <c r="M4508">
        <v>74.4</v>
      </c>
      <c r="N4508" t="s">
        <v>81</v>
      </c>
      <c r="O4508" t="s">
        <v>47</v>
      </c>
      <c r="P4508" t="s">
        <v>68</v>
      </c>
      <c r="R4508">
        <f>SUMIF(A4508:A9507,"C04507",I4508:I9507)</f>
        <v>8166.11</v>
      </c>
      <c r="S4508" s="1">
        <v>24143.57</v>
      </c>
      <c r="T4508">
        <f t="shared" si="506"/>
        <v>233.317428571429</v>
      </c>
      <c r="U4508">
        <f t="shared" si="505"/>
        <v>2604</v>
      </c>
      <c r="V4508">
        <f>U4508*1</f>
        <v>2604</v>
      </c>
      <c r="W4508">
        <f t="shared" si="510"/>
        <v>3047.97666666667</v>
      </c>
      <c r="X4508">
        <f t="shared" si="508"/>
        <v>0.459654798222805</v>
      </c>
      <c r="AH4508" t="str">
        <f t="shared" si="511"/>
        <v>3rd Quality</v>
      </c>
      <c r="AJ4508">
        <f>((T4508-X4508)*2)/5.5</f>
        <v>84.6755540993477</v>
      </c>
      <c r="AK4508">
        <f t="shared" si="509"/>
        <v>104759.525428571</v>
      </c>
    </row>
    <row r="4509" spans="1:37">
      <c r="A4509" t="s">
        <v>4575</v>
      </c>
      <c r="B4509">
        <v>46</v>
      </c>
      <c r="C4509" t="s">
        <v>44</v>
      </c>
      <c r="D4509" t="s">
        <v>45</v>
      </c>
      <c r="E4509">
        <v>1184</v>
      </c>
      <c r="F4509">
        <v>15</v>
      </c>
      <c r="G4509">
        <v>21</v>
      </c>
      <c r="H4509">
        <v>2466.78</v>
      </c>
      <c r="I4509">
        <v>57893.2</v>
      </c>
      <c r="J4509">
        <v>152</v>
      </c>
      <c r="K4509">
        <v>2</v>
      </c>
      <c r="L4509">
        <v>10.3</v>
      </c>
      <c r="M4509">
        <v>17.3</v>
      </c>
      <c r="N4509" t="s">
        <v>46</v>
      </c>
      <c r="O4509" t="s">
        <v>47</v>
      </c>
      <c r="P4509" t="s">
        <v>58</v>
      </c>
      <c r="R4509">
        <f>SUMIF(A4509:A9508,"C04508",I4509:I9508)</f>
        <v>57893.2</v>
      </c>
      <c r="S4509" s="1">
        <v>20368.57</v>
      </c>
      <c r="T4509">
        <f t="shared" si="506"/>
        <v>380.876315789474</v>
      </c>
      <c r="U4509">
        <f t="shared" si="505"/>
        <v>2629.6</v>
      </c>
      <c r="V4509">
        <f>U4509*2</f>
        <v>5259.2</v>
      </c>
      <c r="W4509">
        <f t="shared" si="510"/>
        <v>20120.3266666667</v>
      </c>
      <c r="X4509">
        <f t="shared" si="508"/>
        <v>0.479977946959194</v>
      </c>
      <c r="AH4509" t="str">
        <f t="shared" si="511"/>
        <v>3rd Quality</v>
      </c>
      <c r="AJ4509">
        <f>((T4509-X4509)*2)/10.3</f>
        <v>73.8633665713621</v>
      </c>
      <c r="AK4509">
        <f t="shared" si="509"/>
        <v>450957.557894737</v>
      </c>
    </row>
    <row r="4510" spans="1:37">
      <c r="A4510" t="s">
        <v>4576</v>
      </c>
      <c r="B4510">
        <v>31</v>
      </c>
      <c r="C4510" t="s">
        <v>101</v>
      </c>
      <c r="D4510" t="s">
        <v>45</v>
      </c>
      <c r="E4510">
        <v>1185</v>
      </c>
      <c r="F4510">
        <v>117</v>
      </c>
      <c r="G4510">
        <v>1</v>
      </c>
      <c r="H4510">
        <v>923.68</v>
      </c>
      <c r="I4510">
        <v>906.7</v>
      </c>
      <c r="J4510">
        <v>14</v>
      </c>
      <c r="K4510">
        <v>0</v>
      </c>
      <c r="L4510">
        <v>11.5</v>
      </c>
      <c r="M4510">
        <v>33.3</v>
      </c>
      <c r="N4510" t="s">
        <v>61</v>
      </c>
      <c r="O4510" t="s">
        <v>53</v>
      </c>
      <c r="P4510" t="s">
        <v>58</v>
      </c>
      <c r="R4510">
        <f>SUMIF(A4510:A9509,"C04509",I4510:I9509)</f>
        <v>906.7</v>
      </c>
      <c r="S4510" s="1">
        <v>42843.07</v>
      </c>
      <c r="T4510">
        <f t="shared" si="506"/>
        <v>64.7642857142857</v>
      </c>
      <c r="U4510">
        <f t="shared" si="505"/>
        <v>466.2</v>
      </c>
      <c r="V4510">
        <f t="shared" si="507"/>
        <v>38.85</v>
      </c>
      <c r="W4510">
        <f t="shared" si="510"/>
        <v>610.46</v>
      </c>
      <c r="X4510">
        <f t="shared" si="508"/>
        <v>1.28291183093712</v>
      </c>
      <c r="AH4510" t="str">
        <f t="shared" si="511"/>
        <v>3rd Quality</v>
      </c>
      <c r="AJ4510">
        <f>((T4510-X4510)*2)/11.5</f>
        <v>11.0402389362345</v>
      </c>
      <c r="AK4510">
        <f t="shared" si="509"/>
        <v>76745.6785714286</v>
      </c>
    </row>
    <row r="4511" spans="1:37">
      <c r="A4511" t="s">
        <v>4577</v>
      </c>
      <c r="B4511">
        <v>57</v>
      </c>
      <c r="C4511" t="s">
        <v>50</v>
      </c>
      <c r="D4511" t="s">
        <v>45</v>
      </c>
      <c r="E4511">
        <v>661</v>
      </c>
      <c r="F4511">
        <v>88</v>
      </c>
      <c r="G4511">
        <v>10</v>
      </c>
      <c r="H4511">
        <v>2196.23</v>
      </c>
      <c r="I4511">
        <v>24143.57</v>
      </c>
      <c r="J4511">
        <v>67</v>
      </c>
      <c r="K4511">
        <v>0</v>
      </c>
      <c r="L4511">
        <v>16.9</v>
      </c>
      <c r="M4511">
        <v>17.3</v>
      </c>
      <c r="N4511" t="s">
        <v>57</v>
      </c>
      <c r="O4511" t="s">
        <v>75</v>
      </c>
      <c r="P4511" t="s">
        <v>58</v>
      </c>
      <c r="R4511">
        <f>SUMIF(A4511:A9510,"C04510",I4511:I9510)</f>
        <v>24143.57</v>
      </c>
      <c r="S4511" s="1">
        <v>764.24</v>
      </c>
      <c r="T4511">
        <f t="shared" si="506"/>
        <v>360.351791044776</v>
      </c>
      <c r="U4511">
        <f t="shared" si="505"/>
        <v>1159.1</v>
      </c>
      <c r="V4511">
        <f t="shared" si="507"/>
        <v>96.5916666666667</v>
      </c>
      <c r="W4511">
        <f t="shared" si="510"/>
        <v>8780.26666666667</v>
      </c>
      <c r="X4511">
        <f t="shared" si="508"/>
        <v>0.300970299103464</v>
      </c>
      <c r="AH4511" t="str">
        <f t="shared" si="511"/>
        <v>3rd Quality</v>
      </c>
      <c r="AJ4511">
        <f>((T4511-X4511)*2)/16.9</f>
        <v>42.6095645852867</v>
      </c>
      <c r="AK4511">
        <f t="shared" si="509"/>
        <v>238192.533880597</v>
      </c>
    </row>
    <row r="4512" spans="1:37">
      <c r="A4512" t="s">
        <v>4578</v>
      </c>
      <c r="B4512">
        <v>47</v>
      </c>
      <c r="C4512" t="s">
        <v>44</v>
      </c>
      <c r="D4512" t="s">
        <v>51</v>
      </c>
      <c r="E4512">
        <v>1452</v>
      </c>
      <c r="F4512">
        <v>22</v>
      </c>
      <c r="G4512">
        <v>2</v>
      </c>
      <c r="H4512">
        <v>9546.12</v>
      </c>
      <c r="I4512">
        <v>20368.57</v>
      </c>
      <c r="J4512">
        <v>11</v>
      </c>
      <c r="K4512">
        <v>0</v>
      </c>
      <c r="L4512">
        <v>0</v>
      </c>
      <c r="M4512">
        <v>9.4</v>
      </c>
      <c r="N4512" t="s">
        <v>46</v>
      </c>
      <c r="O4512" t="s">
        <v>47</v>
      </c>
      <c r="P4512" t="s">
        <v>68</v>
      </c>
      <c r="R4512">
        <f>SUMIF(A4512:A9511,"C04511",I4512:I9511)</f>
        <v>20368.57</v>
      </c>
      <c r="S4512" s="1">
        <v>84053.45</v>
      </c>
      <c r="T4512">
        <f t="shared" si="506"/>
        <v>1851.68818181818</v>
      </c>
      <c r="U4512">
        <f t="shared" si="505"/>
        <v>103.4</v>
      </c>
      <c r="V4512">
        <f t="shared" si="507"/>
        <v>8.61666666666667</v>
      </c>
      <c r="W4512">
        <f t="shared" si="510"/>
        <v>9971.89666666667</v>
      </c>
      <c r="X4512">
        <f t="shared" si="508"/>
        <v>0.152103681914746</v>
      </c>
      <c r="AH4512" t="str">
        <f t="shared" si="511"/>
        <v>3rd Quality</v>
      </c>
      <c r="AJ4512">
        <f>((T4512-X4512)*2)</f>
        <v>3703.07215627253</v>
      </c>
      <c r="AK4512">
        <f t="shared" si="509"/>
        <v>2688651.24</v>
      </c>
    </row>
    <row r="4513" spans="1:37">
      <c r="A4513" t="s">
        <v>4579</v>
      </c>
      <c r="B4513">
        <v>29</v>
      </c>
      <c r="C4513" t="s">
        <v>50</v>
      </c>
      <c r="D4513" t="s">
        <v>60</v>
      </c>
      <c r="E4513">
        <v>1069</v>
      </c>
      <c r="F4513">
        <v>55</v>
      </c>
      <c r="G4513">
        <v>6</v>
      </c>
      <c r="H4513">
        <v>7740.89</v>
      </c>
      <c r="I4513">
        <v>42843.07</v>
      </c>
      <c r="J4513">
        <v>26</v>
      </c>
      <c r="K4513">
        <v>0</v>
      </c>
      <c r="L4513">
        <v>7.9</v>
      </c>
      <c r="M4513">
        <v>47.1</v>
      </c>
      <c r="N4513" t="s">
        <v>52</v>
      </c>
      <c r="O4513" t="s">
        <v>47</v>
      </c>
      <c r="P4513" t="s">
        <v>68</v>
      </c>
      <c r="R4513">
        <f>SUMIF(A4513:A9512,"C04512",I4513:I9512)</f>
        <v>42843.07</v>
      </c>
      <c r="S4513" s="1">
        <v>68466.78</v>
      </c>
      <c r="T4513">
        <f t="shared" si="506"/>
        <v>1647.81038461538</v>
      </c>
      <c r="U4513">
        <f t="shared" si="505"/>
        <v>1224.6</v>
      </c>
      <c r="V4513">
        <f t="shared" si="507"/>
        <v>102.05</v>
      </c>
      <c r="W4513">
        <f t="shared" si="510"/>
        <v>16861.6533333333</v>
      </c>
      <c r="X4513">
        <f t="shared" si="508"/>
        <v>0.138097815625852</v>
      </c>
      <c r="AH4513" t="str">
        <f t="shared" si="511"/>
        <v>1st Quality</v>
      </c>
      <c r="AJ4513">
        <f>((T4513-X4513)*2)/7.9</f>
        <v>417.132224506267</v>
      </c>
      <c r="AK4513">
        <f t="shared" si="509"/>
        <v>1761509.30115385</v>
      </c>
    </row>
    <row r="4514" spans="1:37">
      <c r="A4514" t="s">
        <v>4580</v>
      </c>
      <c r="B4514">
        <v>45</v>
      </c>
      <c r="C4514" t="s">
        <v>50</v>
      </c>
      <c r="D4514" t="s">
        <v>60</v>
      </c>
      <c r="E4514">
        <v>847</v>
      </c>
      <c r="F4514">
        <v>204</v>
      </c>
      <c r="G4514">
        <v>1</v>
      </c>
      <c r="H4514">
        <v>774.61</v>
      </c>
      <c r="I4514">
        <v>764.24</v>
      </c>
      <c r="J4514">
        <v>15</v>
      </c>
      <c r="K4514">
        <v>0</v>
      </c>
      <c r="L4514">
        <v>10.7</v>
      </c>
      <c r="M4514">
        <v>12.1</v>
      </c>
      <c r="N4514" t="s">
        <v>63</v>
      </c>
      <c r="O4514" t="s">
        <v>47</v>
      </c>
      <c r="P4514" t="s">
        <v>68</v>
      </c>
      <c r="R4514">
        <f>SUMIF(A4514:A9513,"C04513",I4514:I9513)</f>
        <v>764.24</v>
      </c>
      <c r="S4514" s="1">
        <v>5875.21</v>
      </c>
      <c r="T4514">
        <f t="shared" si="506"/>
        <v>50.9493333333333</v>
      </c>
      <c r="U4514">
        <f t="shared" ref="U4514:U4577" si="512">J4514*M4514</f>
        <v>181.5</v>
      </c>
      <c r="V4514">
        <f t="shared" si="507"/>
        <v>15.125</v>
      </c>
      <c r="W4514">
        <f t="shared" si="510"/>
        <v>513.283333333333</v>
      </c>
      <c r="X4514">
        <f t="shared" si="508"/>
        <v>1.09345347981565</v>
      </c>
      <c r="AH4514" t="str">
        <f t="shared" si="511"/>
        <v>3rd Quality</v>
      </c>
      <c r="AJ4514">
        <f>((T4514-X4514)*2)/10.7</f>
        <v>9.31885604738648</v>
      </c>
      <c r="AK4514">
        <f t="shared" si="509"/>
        <v>43154.0853333333</v>
      </c>
    </row>
    <row r="4515" spans="1:37">
      <c r="A4515" t="s">
        <v>4581</v>
      </c>
      <c r="B4515">
        <v>47</v>
      </c>
      <c r="C4515" t="s">
        <v>44</v>
      </c>
      <c r="D4515" t="s">
        <v>51</v>
      </c>
      <c r="E4515">
        <v>1054</v>
      </c>
      <c r="F4515">
        <v>7</v>
      </c>
      <c r="G4515">
        <v>20</v>
      </c>
      <c r="H4515">
        <v>3808.87</v>
      </c>
      <c r="I4515">
        <v>84053.45</v>
      </c>
      <c r="J4515">
        <v>95</v>
      </c>
      <c r="K4515">
        <v>2</v>
      </c>
      <c r="L4515">
        <v>11.1</v>
      </c>
      <c r="M4515">
        <v>51.8</v>
      </c>
      <c r="N4515" t="s">
        <v>81</v>
      </c>
      <c r="O4515" t="s">
        <v>47</v>
      </c>
      <c r="P4515" t="s">
        <v>58</v>
      </c>
      <c r="R4515">
        <f>SUMIF(A4515:A9514,"C04514",I4515:I9514)</f>
        <v>84053.45</v>
      </c>
      <c r="S4515" s="1">
        <v>17867.17</v>
      </c>
      <c r="T4515">
        <f t="shared" si="506"/>
        <v>884.773157894737</v>
      </c>
      <c r="U4515">
        <f t="shared" si="512"/>
        <v>4921</v>
      </c>
      <c r="V4515">
        <f>U4515*2</f>
        <v>9842</v>
      </c>
      <c r="W4515">
        <f t="shared" si="510"/>
        <v>29287.7733333333</v>
      </c>
      <c r="X4515">
        <f t="shared" si="508"/>
        <v>0.276722492497775</v>
      </c>
      <c r="AH4515" t="str">
        <f t="shared" si="511"/>
        <v>3rd Quality</v>
      </c>
      <c r="AJ4515">
        <f>((T4515-X4515)*2)/11.1</f>
        <v>159.368727099503</v>
      </c>
      <c r="AK4515">
        <f t="shared" si="509"/>
        <v>932550.908421052</v>
      </c>
    </row>
    <row r="4516" spans="1:37">
      <c r="A4516" t="s">
        <v>4582</v>
      </c>
      <c r="B4516">
        <v>22</v>
      </c>
      <c r="C4516" t="s">
        <v>50</v>
      </c>
      <c r="D4516" t="s">
        <v>45</v>
      </c>
      <c r="E4516">
        <v>390</v>
      </c>
      <c r="F4516">
        <v>14</v>
      </c>
      <c r="G4516">
        <v>23</v>
      </c>
      <c r="H4516">
        <v>3234.92</v>
      </c>
      <c r="I4516">
        <v>68466.78</v>
      </c>
      <c r="J4516">
        <v>128</v>
      </c>
      <c r="K4516">
        <v>3</v>
      </c>
      <c r="L4516">
        <v>14.5</v>
      </c>
      <c r="M4516">
        <v>20.6</v>
      </c>
      <c r="N4516" t="s">
        <v>46</v>
      </c>
      <c r="O4516" t="s">
        <v>47</v>
      </c>
      <c r="P4516" t="s">
        <v>58</v>
      </c>
      <c r="R4516">
        <f>SUMIF(A4516:A9515,"C04515",I4516:I9515)</f>
        <v>68466.78</v>
      </c>
      <c r="S4516" s="1">
        <v>5296.23</v>
      </c>
      <c r="T4516">
        <f t="shared" si="506"/>
        <v>534.89671875</v>
      </c>
      <c r="U4516">
        <f t="shared" si="512"/>
        <v>2636.8</v>
      </c>
      <c r="V4516">
        <f>U4516*3</f>
        <v>7910.4</v>
      </c>
      <c r="W4516">
        <f t="shared" si="510"/>
        <v>23900.9</v>
      </c>
      <c r="X4516">
        <f t="shared" si="508"/>
        <v>0.120559395595563</v>
      </c>
      <c r="AH4516" t="str">
        <f t="shared" si="511"/>
        <v>3rd Quality</v>
      </c>
      <c r="AJ4516">
        <f>((T4516-X4516)*2)/14.5</f>
        <v>73.7622288764696</v>
      </c>
      <c r="AK4516">
        <f t="shared" si="509"/>
        <v>208609.7203125</v>
      </c>
    </row>
    <row r="4517" spans="1:37">
      <c r="A4517" t="s">
        <v>4583</v>
      </c>
      <c r="B4517">
        <v>25</v>
      </c>
      <c r="C4517" t="s">
        <v>44</v>
      </c>
      <c r="D4517" t="s">
        <v>51</v>
      </c>
      <c r="E4517">
        <v>1174</v>
      </c>
      <c r="F4517">
        <v>23</v>
      </c>
      <c r="G4517">
        <v>6</v>
      </c>
      <c r="H4517">
        <v>1095.51</v>
      </c>
      <c r="I4517">
        <v>5875.21</v>
      </c>
      <c r="J4517">
        <v>57</v>
      </c>
      <c r="K4517">
        <v>1</v>
      </c>
      <c r="L4517">
        <v>15.3</v>
      </c>
      <c r="M4517">
        <v>45.6</v>
      </c>
      <c r="N4517" t="s">
        <v>63</v>
      </c>
      <c r="O4517" t="s">
        <v>47</v>
      </c>
      <c r="P4517" t="s">
        <v>58</v>
      </c>
      <c r="R4517">
        <f>SUMIF(A4517:A9516,"C04516",I4517:I9516)</f>
        <v>5875.21</v>
      </c>
      <c r="S4517" s="1">
        <v>1789.77</v>
      </c>
      <c r="T4517">
        <f t="shared" si="506"/>
        <v>103.073859649123</v>
      </c>
      <c r="U4517">
        <f t="shared" si="512"/>
        <v>2599.2</v>
      </c>
      <c r="V4517">
        <f>U4517*1</f>
        <v>2599.2</v>
      </c>
      <c r="W4517">
        <f t="shared" si="510"/>
        <v>2323.90666666667</v>
      </c>
      <c r="X4517">
        <f t="shared" si="508"/>
        <v>1.0716469954633</v>
      </c>
      <c r="AH4517" t="str">
        <f t="shared" si="511"/>
        <v>3rd Quality</v>
      </c>
      <c r="AJ4517">
        <f>((T4517-X4517)*2)/15.3</f>
        <v>13.3336225691058</v>
      </c>
      <c r="AK4517">
        <f t="shared" si="509"/>
        <v>121008.71122807</v>
      </c>
    </row>
    <row r="4518" spans="1:37">
      <c r="A4518" t="s">
        <v>4584</v>
      </c>
      <c r="B4518">
        <v>28</v>
      </c>
      <c r="C4518" t="s">
        <v>50</v>
      </c>
      <c r="D4518" t="s">
        <v>60</v>
      </c>
      <c r="E4518">
        <v>610</v>
      </c>
      <c r="F4518">
        <v>28</v>
      </c>
      <c r="G4518">
        <v>9</v>
      </c>
      <c r="H4518">
        <v>2102.69</v>
      </c>
      <c r="I4518">
        <v>17867.17</v>
      </c>
      <c r="J4518">
        <v>61</v>
      </c>
      <c r="K4518">
        <v>2</v>
      </c>
      <c r="L4518">
        <v>23.8</v>
      </c>
      <c r="M4518">
        <v>28.7</v>
      </c>
      <c r="N4518" t="s">
        <v>57</v>
      </c>
      <c r="O4518" t="s">
        <v>47</v>
      </c>
      <c r="P4518" t="s">
        <v>58</v>
      </c>
      <c r="R4518">
        <f>SUMIF(A4518:A9517,"C04517",I4518:I9517)</f>
        <v>17867.17</v>
      </c>
      <c r="S4518" s="1">
        <v>9665.72</v>
      </c>
      <c r="T4518">
        <f t="shared" si="506"/>
        <v>292.904426229508</v>
      </c>
      <c r="U4518">
        <f t="shared" si="512"/>
        <v>1750.7</v>
      </c>
      <c r="V4518">
        <f>U4518*2</f>
        <v>3501.4</v>
      </c>
      <c r="W4518">
        <f t="shared" si="510"/>
        <v>6656.95333333333</v>
      </c>
      <c r="X4518">
        <f t="shared" ref="X4518:X4581" si="513">E4518/H4518</f>
        <v>0.2901045803233</v>
      </c>
      <c r="AH4518" t="str">
        <f t="shared" si="511"/>
        <v>2nd Quality</v>
      </c>
      <c r="AJ4518">
        <f>((T4518-X4518)*2)/23.8</f>
        <v>24.5894387940491</v>
      </c>
      <c r="AK4518">
        <f t="shared" si="509"/>
        <v>178671.7</v>
      </c>
    </row>
    <row r="4519" spans="1:37">
      <c r="A4519" t="s">
        <v>4585</v>
      </c>
      <c r="B4519">
        <v>18</v>
      </c>
      <c r="C4519" t="s">
        <v>44</v>
      </c>
      <c r="D4519" t="s">
        <v>45</v>
      </c>
      <c r="E4519">
        <v>386</v>
      </c>
      <c r="F4519">
        <v>40</v>
      </c>
      <c r="G4519">
        <v>7</v>
      </c>
      <c r="H4519">
        <v>858.64</v>
      </c>
      <c r="I4519">
        <v>5296.23</v>
      </c>
      <c r="J4519">
        <v>23</v>
      </c>
      <c r="K4519">
        <v>2</v>
      </c>
      <c r="L4519">
        <v>3.7</v>
      </c>
      <c r="M4519">
        <v>18.9</v>
      </c>
      <c r="N4519" t="s">
        <v>46</v>
      </c>
      <c r="O4519" t="s">
        <v>47</v>
      </c>
      <c r="P4519" t="s">
        <v>66</v>
      </c>
      <c r="R4519">
        <f>SUMIF(A4519:A9518,"C04518",I4519:I9518)</f>
        <v>5296.23</v>
      </c>
      <c r="S4519" s="1">
        <v>68712.32</v>
      </c>
      <c r="T4519">
        <f t="shared" ref="T4519:T4582" si="514">I4519/J4519</f>
        <v>230.270869565217</v>
      </c>
      <c r="U4519">
        <f t="shared" si="512"/>
        <v>434.7</v>
      </c>
      <c r="V4519">
        <f>U4519*2</f>
        <v>869.4</v>
      </c>
      <c r="W4519">
        <f t="shared" si="510"/>
        <v>2051.95666666667</v>
      </c>
      <c r="X4519">
        <f t="shared" si="513"/>
        <v>0.449548122612503</v>
      </c>
      <c r="AH4519" t="str">
        <f t="shared" si="511"/>
        <v>3rd Quality</v>
      </c>
      <c r="AJ4519">
        <f>((T4519-X4519)*2)/3.7</f>
        <v>124.227741320327</v>
      </c>
      <c r="AK4519">
        <f t="shared" si="509"/>
        <v>88884.5556521739</v>
      </c>
    </row>
    <row r="4520" spans="1:37">
      <c r="A4520" t="s">
        <v>4586</v>
      </c>
      <c r="B4520">
        <v>38</v>
      </c>
      <c r="C4520" t="s">
        <v>50</v>
      </c>
      <c r="D4520" t="s">
        <v>60</v>
      </c>
      <c r="E4520">
        <v>1052</v>
      </c>
      <c r="F4520">
        <v>223</v>
      </c>
      <c r="G4520">
        <v>3</v>
      </c>
      <c r="H4520">
        <v>655.23</v>
      </c>
      <c r="I4520">
        <v>1789.77</v>
      </c>
      <c r="J4520">
        <v>17</v>
      </c>
      <c r="K4520">
        <v>0</v>
      </c>
      <c r="L4520">
        <v>18.6</v>
      </c>
      <c r="M4520">
        <v>41.4</v>
      </c>
      <c r="N4520" t="s">
        <v>81</v>
      </c>
      <c r="O4520" t="s">
        <v>47</v>
      </c>
      <c r="P4520" t="s">
        <v>54</v>
      </c>
      <c r="R4520">
        <f>SUMIF(A4520:A9519,"C04519",I4520:I9519)</f>
        <v>1789.77</v>
      </c>
      <c r="S4520" s="1">
        <v>12399.46</v>
      </c>
      <c r="T4520">
        <f t="shared" si="514"/>
        <v>105.280588235294</v>
      </c>
      <c r="U4520">
        <f t="shared" si="512"/>
        <v>703.8</v>
      </c>
      <c r="V4520">
        <f t="shared" si="507"/>
        <v>58.65</v>
      </c>
      <c r="W4520">
        <f t="shared" si="510"/>
        <v>815.333333333333</v>
      </c>
      <c r="X4520">
        <f t="shared" si="513"/>
        <v>1.60554309173878</v>
      </c>
      <c r="AH4520" t="str">
        <f t="shared" si="511"/>
        <v>3rd Quality</v>
      </c>
      <c r="AJ4520">
        <f>((T4520-X4520)*2)/18.6</f>
        <v>11.1478543165113</v>
      </c>
      <c r="AK4520">
        <f t="shared" si="509"/>
        <v>110755.178823529</v>
      </c>
    </row>
    <row r="4521" spans="1:37">
      <c r="A4521" t="s">
        <v>4587</v>
      </c>
      <c r="B4521">
        <v>47</v>
      </c>
      <c r="C4521" t="s">
        <v>50</v>
      </c>
      <c r="D4521" t="s">
        <v>45</v>
      </c>
      <c r="E4521">
        <v>371</v>
      </c>
      <c r="F4521">
        <v>91</v>
      </c>
      <c r="G4521">
        <v>8</v>
      </c>
      <c r="H4521">
        <v>1229.98</v>
      </c>
      <c r="I4521">
        <v>9665.72</v>
      </c>
      <c r="J4521">
        <v>80</v>
      </c>
      <c r="K4521">
        <v>0</v>
      </c>
      <c r="L4521">
        <v>30.9</v>
      </c>
      <c r="M4521">
        <v>25.9</v>
      </c>
      <c r="N4521" t="s">
        <v>81</v>
      </c>
      <c r="O4521" t="s">
        <v>47</v>
      </c>
      <c r="P4521" t="s">
        <v>48</v>
      </c>
      <c r="R4521">
        <f>SUMIF(A4521:A9520,"C04520",I4521:I9520)</f>
        <v>9665.72</v>
      </c>
      <c r="S4521" s="1">
        <v>4395.76</v>
      </c>
      <c r="T4521">
        <f t="shared" si="514"/>
        <v>120.8215</v>
      </c>
      <c r="U4521">
        <f t="shared" si="512"/>
        <v>2072</v>
      </c>
      <c r="V4521">
        <f t="shared" si="507"/>
        <v>172.666666666667</v>
      </c>
      <c r="W4521">
        <f t="shared" si="510"/>
        <v>3632.23333333333</v>
      </c>
      <c r="X4521">
        <f t="shared" si="513"/>
        <v>0.301630920827981</v>
      </c>
      <c r="AH4521" t="str">
        <f t="shared" si="511"/>
        <v>3rd Quality</v>
      </c>
      <c r="AJ4521">
        <f>((T4521-X4521)*2)/30.9</f>
        <v>7.80063877535094</v>
      </c>
      <c r="AK4521">
        <f t="shared" si="509"/>
        <v>44824.7765</v>
      </c>
    </row>
    <row r="4522" spans="1:37">
      <c r="A4522" t="s">
        <v>4588</v>
      </c>
      <c r="B4522">
        <v>38</v>
      </c>
      <c r="C4522" t="s">
        <v>50</v>
      </c>
      <c r="D4522" t="s">
        <v>45</v>
      </c>
      <c r="E4522">
        <v>398</v>
      </c>
      <c r="F4522">
        <v>3</v>
      </c>
      <c r="G4522">
        <v>25</v>
      </c>
      <c r="H4522">
        <v>2584.47</v>
      </c>
      <c r="I4522">
        <v>68712.32</v>
      </c>
      <c r="J4522">
        <v>179</v>
      </c>
      <c r="K4522">
        <v>0</v>
      </c>
      <c r="L4522">
        <v>2.8</v>
      </c>
      <c r="M4522">
        <v>40.7</v>
      </c>
      <c r="N4522" t="s">
        <v>46</v>
      </c>
      <c r="O4522" t="s">
        <v>75</v>
      </c>
      <c r="P4522" t="s">
        <v>68</v>
      </c>
      <c r="R4522">
        <f>SUMIF(A4522:A9521,"C04521",I4522:I9521)</f>
        <v>68712.32</v>
      </c>
      <c r="S4522" s="1">
        <v>1415.64</v>
      </c>
      <c r="T4522">
        <f t="shared" si="514"/>
        <v>383.867709497207</v>
      </c>
      <c r="U4522">
        <f t="shared" si="512"/>
        <v>7285.3</v>
      </c>
      <c r="V4522">
        <f t="shared" si="507"/>
        <v>607.108333333333</v>
      </c>
      <c r="W4522">
        <f t="shared" si="510"/>
        <v>23765.93</v>
      </c>
      <c r="X4522">
        <f t="shared" si="513"/>
        <v>0.153996757555708</v>
      </c>
      <c r="AH4522" t="str">
        <f t="shared" si="511"/>
        <v>3rd Quality</v>
      </c>
      <c r="AJ4522">
        <f>((T4522-X4522)*2)/2.8</f>
        <v>274.081223385465</v>
      </c>
      <c r="AK4522">
        <f t="shared" si="509"/>
        <v>152779.348379888</v>
      </c>
    </row>
    <row r="4523" spans="1:37">
      <c r="A4523" t="s">
        <v>4589</v>
      </c>
      <c r="B4523">
        <v>42</v>
      </c>
      <c r="C4523" t="s">
        <v>44</v>
      </c>
      <c r="D4523" t="s">
        <v>45</v>
      </c>
      <c r="E4523">
        <v>554</v>
      </c>
      <c r="F4523">
        <v>24</v>
      </c>
      <c r="G4523">
        <v>8</v>
      </c>
      <c r="H4523">
        <v>1664.28</v>
      </c>
      <c r="I4523">
        <v>12399.46</v>
      </c>
      <c r="J4523">
        <v>52</v>
      </c>
      <c r="K4523">
        <v>0</v>
      </c>
      <c r="L4523">
        <v>18.3</v>
      </c>
      <c r="M4523">
        <v>15.2</v>
      </c>
      <c r="N4523" t="s">
        <v>81</v>
      </c>
      <c r="O4523" t="s">
        <v>47</v>
      </c>
      <c r="P4523" t="s">
        <v>58</v>
      </c>
      <c r="R4523">
        <f>SUMIF(A4523:A9522,"C04522",I4523:I9522)</f>
        <v>12399.46</v>
      </c>
      <c r="S4523" s="1">
        <v>2039.85</v>
      </c>
      <c r="T4523">
        <f t="shared" si="514"/>
        <v>238.451153846154</v>
      </c>
      <c r="U4523">
        <f t="shared" si="512"/>
        <v>790.4</v>
      </c>
      <c r="V4523">
        <f t="shared" si="507"/>
        <v>65.8666666666667</v>
      </c>
      <c r="W4523">
        <f t="shared" si="510"/>
        <v>4688.24666666667</v>
      </c>
      <c r="X4523">
        <f t="shared" si="513"/>
        <v>0.332876679404908</v>
      </c>
      <c r="AH4523" t="str">
        <f t="shared" si="511"/>
        <v>3rd Quality</v>
      </c>
      <c r="AJ4523">
        <f>((T4523-X4523)*2)/18.3</f>
        <v>26.02385542806</v>
      </c>
      <c r="AK4523">
        <f t="shared" si="509"/>
        <v>132101.939230769</v>
      </c>
    </row>
    <row r="4524" spans="1:37">
      <c r="A4524" t="s">
        <v>4590</v>
      </c>
      <c r="B4524">
        <v>37</v>
      </c>
      <c r="C4524" t="s">
        <v>44</v>
      </c>
      <c r="D4524" t="s">
        <v>60</v>
      </c>
      <c r="E4524">
        <v>1411</v>
      </c>
      <c r="F4524">
        <v>153</v>
      </c>
      <c r="G4524">
        <v>4</v>
      </c>
      <c r="H4524">
        <v>1013.86</v>
      </c>
      <c r="I4524">
        <v>4395.76</v>
      </c>
      <c r="J4524">
        <v>25</v>
      </c>
      <c r="K4524">
        <v>0</v>
      </c>
      <c r="L4524">
        <v>23.3</v>
      </c>
      <c r="M4524">
        <v>41.8</v>
      </c>
      <c r="N4524" t="s">
        <v>81</v>
      </c>
      <c r="O4524" t="s">
        <v>47</v>
      </c>
      <c r="P4524" t="s">
        <v>66</v>
      </c>
      <c r="R4524">
        <f>SUMIF(A4524:A9523,"C04523",I4524:I9523)</f>
        <v>4395.76</v>
      </c>
      <c r="S4524" s="1">
        <v>40665.74</v>
      </c>
      <c r="T4524">
        <f t="shared" si="514"/>
        <v>175.8304</v>
      </c>
      <c r="U4524">
        <f t="shared" si="512"/>
        <v>1045</v>
      </c>
      <c r="V4524">
        <f t="shared" si="507"/>
        <v>87.0833333333333</v>
      </c>
      <c r="W4524">
        <f t="shared" si="510"/>
        <v>1803.54</v>
      </c>
      <c r="X4524">
        <f t="shared" si="513"/>
        <v>1.39171088710473</v>
      </c>
      <c r="AH4524" t="str">
        <f t="shared" si="511"/>
        <v>3rd Quality</v>
      </c>
      <c r="AJ4524">
        <f>((T4524-X4524)*2)/23.3</f>
        <v>14.9732780354417</v>
      </c>
      <c r="AK4524">
        <f t="shared" si="509"/>
        <v>248096.6944</v>
      </c>
    </row>
    <row r="4525" spans="1:37">
      <c r="A4525" t="s">
        <v>4591</v>
      </c>
      <c r="B4525">
        <v>38</v>
      </c>
      <c r="C4525" t="s">
        <v>44</v>
      </c>
      <c r="D4525" t="s">
        <v>51</v>
      </c>
      <c r="E4525">
        <v>1439</v>
      </c>
      <c r="F4525">
        <v>57</v>
      </c>
      <c r="G4525">
        <v>1</v>
      </c>
      <c r="H4525">
        <v>1267.25</v>
      </c>
      <c r="I4525">
        <v>1415.64</v>
      </c>
      <c r="J4525">
        <v>14</v>
      </c>
      <c r="K4525">
        <v>0</v>
      </c>
      <c r="L4525">
        <v>16.9</v>
      </c>
      <c r="M4525">
        <v>30.3</v>
      </c>
      <c r="N4525" t="s">
        <v>78</v>
      </c>
      <c r="O4525" t="s">
        <v>53</v>
      </c>
      <c r="P4525" t="s">
        <v>66</v>
      </c>
      <c r="R4525">
        <f>SUMIF(A4525:A9524,"C04524",I4525:I9524)</f>
        <v>1415.64</v>
      </c>
      <c r="S4525" s="1">
        <v>760.98</v>
      </c>
      <c r="T4525">
        <f t="shared" si="514"/>
        <v>101.117142857143</v>
      </c>
      <c r="U4525">
        <f t="shared" si="512"/>
        <v>424.2</v>
      </c>
      <c r="V4525">
        <f t="shared" si="507"/>
        <v>35.35</v>
      </c>
      <c r="W4525">
        <f t="shared" si="510"/>
        <v>894.63</v>
      </c>
      <c r="X4525">
        <f t="shared" si="513"/>
        <v>1.13552969027422</v>
      </c>
      <c r="AH4525" t="str">
        <f t="shared" si="511"/>
        <v>3rd Quality</v>
      </c>
      <c r="AJ4525">
        <f>((T4525-X4525)*2)/16.9</f>
        <v>11.8321435700436</v>
      </c>
      <c r="AK4525">
        <f t="shared" si="509"/>
        <v>145507.568571429</v>
      </c>
    </row>
    <row r="4526" spans="1:37">
      <c r="A4526" t="s">
        <v>4592</v>
      </c>
      <c r="B4526">
        <v>18</v>
      </c>
      <c r="C4526" t="s">
        <v>50</v>
      </c>
      <c r="D4526" t="s">
        <v>60</v>
      </c>
      <c r="E4526">
        <v>828</v>
      </c>
      <c r="F4526">
        <v>63</v>
      </c>
      <c r="G4526">
        <v>2</v>
      </c>
      <c r="H4526">
        <v>1028.77</v>
      </c>
      <c r="I4526">
        <v>2039.85</v>
      </c>
      <c r="J4526">
        <v>19</v>
      </c>
      <c r="K4526">
        <v>0</v>
      </c>
      <c r="L4526">
        <v>21.8</v>
      </c>
      <c r="M4526">
        <v>5.4</v>
      </c>
      <c r="N4526" t="s">
        <v>81</v>
      </c>
      <c r="O4526" t="s">
        <v>47</v>
      </c>
      <c r="P4526" t="s">
        <v>48</v>
      </c>
      <c r="R4526">
        <f>SUMIF(A4526:A9525,"C04525",I4526:I9525)</f>
        <v>2039.85</v>
      </c>
      <c r="S4526" s="1">
        <v>903.88</v>
      </c>
      <c r="T4526">
        <f t="shared" si="514"/>
        <v>107.360526315789</v>
      </c>
      <c r="U4526">
        <f t="shared" si="512"/>
        <v>102.6</v>
      </c>
      <c r="V4526">
        <f t="shared" si="507"/>
        <v>8.55</v>
      </c>
      <c r="W4526">
        <f t="shared" si="510"/>
        <v>1023.20666666667</v>
      </c>
      <c r="X4526">
        <f t="shared" si="513"/>
        <v>0.804844620274697</v>
      </c>
      <c r="AH4526" t="str">
        <f t="shared" si="511"/>
        <v>3rd Quality</v>
      </c>
      <c r="AJ4526">
        <f>((T4526-X4526)*2)/21.8</f>
        <v>9.77575061426737</v>
      </c>
      <c r="AK4526">
        <f t="shared" si="509"/>
        <v>88894.5157894737</v>
      </c>
    </row>
    <row r="4527" spans="1:37">
      <c r="A4527" t="s">
        <v>4593</v>
      </c>
      <c r="B4527">
        <v>43</v>
      </c>
      <c r="C4527" t="s">
        <v>44</v>
      </c>
      <c r="D4527" t="s">
        <v>51</v>
      </c>
      <c r="E4527">
        <v>742</v>
      </c>
      <c r="F4527">
        <v>28</v>
      </c>
      <c r="G4527">
        <v>4</v>
      </c>
      <c r="H4527">
        <v>9092.5</v>
      </c>
      <c r="I4527">
        <v>40665.74</v>
      </c>
      <c r="J4527">
        <v>22</v>
      </c>
      <c r="K4527">
        <v>0</v>
      </c>
      <c r="L4527">
        <v>6</v>
      </c>
      <c r="M4527">
        <v>44.7</v>
      </c>
      <c r="N4527" t="s">
        <v>63</v>
      </c>
      <c r="O4527" t="s">
        <v>47</v>
      </c>
      <c r="P4527" t="s">
        <v>58</v>
      </c>
      <c r="R4527">
        <f>SUMIF(A4527:A9526,"C04526",I4527:I9526)</f>
        <v>40665.74</v>
      </c>
      <c r="S4527" s="1">
        <v>12522.91</v>
      </c>
      <c r="T4527">
        <f t="shared" si="514"/>
        <v>1848.44272727273</v>
      </c>
      <c r="U4527">
        <f t="shared" si="512"/>
        <v>983.4</v>
      </c>
      <c r="V4527">
        <f t="shared" si="507"/>
        <v>81.95</v>
      </c>
      <c r="W4527">
        <f t="shared" si="510"/>
        <v>16586.4133333333</v>
      </c>
      <c r="X4527">
        <f t="shared" si="513"/>
        <v>0.0816057189991751</v>
      </c>
      <c r="AH4527" t="str">
        <f t="shared" si="511"/>
        <v>2nd Quality</v>
      </c>
      <c r="AJ4527">
        <f>((T4527-X4527)*2)/6</f>
        <v>616.120373851244</v>
      </c>
      <c r="AK4527">
        <f t="shared" si="509"/>
        <v>1371544.50363636</v>
      </c>
    </row>
    <row r="4528" spans="1:37">
      <c r="A4528" t="s">
        <v>4594</v>
      </c>
      <c r="B4528">
        <v>36</v>
      </c>
      <c r="C4528" t="s">
        <v>50</v>
      </c>
      <c r="D4528" t="s">
        <v>60</v>
      </c>
      <c r="E4528">
        <v>835</v>
      </c>
      <c r="F4528">
        <v>148</v>
      </c>
      <c r="G4528">
        <v>1</v>
      </c>
      <c r="H4528">
        <v>747.03</v>
      </c>
      <c r="I4528">
        <v>760.98</v>
      </c>
      <c r="J4528">
        <v>5</v>
      </c>
      <c r="K4528">
        <v>0</v>
      </c>
      <c r="L4528">
        <v>26.3</v>
      </c>
      <c r="M4528">
        <v>9.7</v>
      </c>
      <c r="N4528" t="s">
        <v>57</v>
      </c>
      <c r="O4528" t="s">
        <v>47</v>
      </c>
      <c r="P4528" t="s">
        <v>68</v>
      </c>
      <c r="R4528">
        <f>SUMIF(A4528:A9527,"C04527",I4528:I9527)</f>
        <v>760.98</v>
      </c>
      <c r="S4528" s="1">
        <v>58212.38</v>
      </c>
      <c r="T4528">
        <f t="shared" si="514"/>
        <v>152.196</v>
      </c>
      <c r="U4528">
        <f t="shared" si="512"/>
        <v>48.5</v>
      </c>
      <c r="V4528">
        <f t="shared" si="507"/>
        <v>4.04166666666667</v>
      </c>
      <c r="W4528">
        <f t="shared" si="510"/>
        <v>503.003333333333</v>
      </c>
      <c r="X4528">
        <f t="shared" si="513"/>
        <v>1.11775966159324</v>
      </c>
      <c r="AH4528" t="str">
        <f t="shared" si="511"/>
        <v>3rd Quality</v>
      </c>
      <c r="AJ4528">
        <f>((T4528-X4528)*2)/26.3</f>
        <v>11.4888395694606</v>
      </c>
      <c r="AK4528">
        <f t="shared" si="509"/>
        <v>127083.66</v>
      </c>
    </row>
    <row r="4529" spans="1:37">
      <c r="A4529" t="s">
        <v>4595</v>
      </c>
      <c r="B4529">
        <v>33</v>
      </c>
      <c r="C4529" t="s">
        <v>50</v>
      </c>
      <c r="D4529" t="s">
        <v>45</v>
      </c>
      <c r="E4529">
        <v>1052</v>
      </c>
      <c r="F4529">
        <v>115</v>
      </c>
      <c r="G4529">
        <v>1</v>
      </c>
      <c r="H4529">
        <v>1010.54</v>
      </c>
      <c r="I4529">
        <v>903.88</v>
      </c>
      <c r="J4529">
        <v>10</v>
      </c>
      <c r="K4529">
        <v>0</v>
      </c>
      <c r="L4529">
        <v>36.5</v>
      </c>
      <c r="M4529">
        <v>16.7</v>
      </c>
      <c r="N4529" t="s">
        <v>63</v>
      </c>
      <c r="O4529" t="s">
        <v>47</v>
      </c>
      <c r="P4529" t="s">
        <v>58</v>
      </c>
      <c r="R4529">
        <f>SUMIF(A4529:A9528,"C04528",I4529:I9528)</f>
        <v>903.88</v>
      </c>
      <c r="S4529" s="1">
        <v>2272.18</v>
      </c>
      <c r="T4529">
        <f t="shared" si="514"/>
        <v>90.388</v>
      </c>
      <c r="U4529">
        <f t="shared" si="512"/>
        <v>167</v>
      </c>
      <c r="V4529">
        <f t="shared" si="507"/>
        <v>13.9166666666667</v>
      </c>
      <c r="W4529">
        <f t="shared" si="510"/>
        <v>638.473333333333</v>
      </c>
      <c r="X4529">
        <f t="shared" si="513"/>
        <v>1.04102756941833</v>
      </c>
      <c r="AH4529" t="str">
        <f t="shared" si="511"/>
        <v>3rd Quality</v>
      </c>
      <c r="AJ4529">
        <f>((T4529-X4529)*2)/36.5</f>
        <v>4.8957245167442</v>
      </c>
      <c r="AK4529">
        <f t="shared" si="509"/>
        <v>95088.176</v>
      </c>
    </row>
    <row r="4530" spans="1:37">
      <c r="A4530" t="s">
        <v>4596</v>
      </c>
      <c r="B4530">
        <v>27</v>
      </c>
      <c r="C4530" t="s">
        <v>50</v>
      </c>
      <c r="D4530" t="s">
        <v>51</v>
      </c>
      <c r="E4530">
        <v>997</v>
      </c>
      <c r="F4530">
        <v>92</v>
      </c>
      <c r="G4530">
        <v>11</v>
      </c>
      <c r="H4530">
        <v>1255.82</v>
      </c>
      <c r="I4530">
        <v>12522.91</v>
      </c>
      <c r="J4530">
        <v>82</v>
      </c>
      <c r="K4530">
        <v>0</v>
      </c>
      <c r="L4530">
        <v>17.7</v>
      </c>
      <c r="M4530">
        <v>32.3</v>
      </c>
      <c r="N4530" t="s">
        <v>78</v>
      </c>
      <c r="O4530" t="s">
        <v>47</v>
      </c>
      <c r="P4530" t="s">
        <v>58</v>
      </c>
      <c r="R4530">
        <f>SUMIF(A4530:A9529,"C04529",I4530:I9529)</f>
        <v>12522.91</v>
      </c>
      <c r="S4530" s="1">
        <v>14144.41</v>
      </c>
      <c r="T4530">
        <f t="shared" si="514"/>
        <v>152.718414634146</v>
      </c>
      <c r="U4530">
        <f t="shared" si="512"/>
        <v>2648.6</v>
      </c>
      <c r="V4530">
        <f t="shared" si="507"/>
        <v>220.716666666667</v>
      </c>
      <c r="W4530">
        <f t="shared" si="510"/>
        <v>4593.24333333333</v>
      </c>
      <c r="X4530">
        <f t="shared" si="513"/>
        <v>0.793903584908665</v>
      </c>
      <c r="AH4530" t="str">
        <f t="shared" si="511"/>
        <v>3rd Quality</v>
      </c>
      <c r="AJ4530">
        <f>((T4530-X4530)*2)/17.7</f>
        <v>17.1666114179929</v>
      </c>
      <c r="AK4530">
        <f t="shared" si="509"/>
        <v>152260.259390244</v>
      </c>
    </row>
    <row r="4531" spans="1:37">
      <c r="A4531" t="s">
        <v>4597</v>
      </c>
      <c r="B4531">
        <v>24</v>
      </c>
      <c r="C4531" t="s">
        <v>50</v>
      </c>
      <c r="D4531" t="s">
        <v>60</v>
      </c>
      <c r="E4531">
        <v>706</v>
      </c>
      <c r="F4531">
        <v>33</v>
      </c>
      <c r="G4531">
        <v>6</v>
      </c>
      <c r="H4531">
        <v>9672.03</v>
      </c>
      <c r="I4531">
        <v>58212.38</v>
      </c>
      <c r="J4531">
        <v>53</v>
      </c>
      <c r="K4531">
        <v>1</v>
      </c>
      <c r="L4531">
        <v>5.9</v>
      </c>
      <c r="M4531">
        <v>43.8</v>
      </c>
      <c r="N4531" t="s">
        <v>81</v>
      </c>
      <c r="O4531" t="s">
        <v>47</v>
      </c>
      <c r="P4531" t="s">
        <v>48</v>
      </c>
      <c r="R4531">
        <f>SUMIF(A4531:A9530,"C04530",I4531:I9530)</f>
        <v>58212.38</v>
      </c>
      <c r="S4531" s="1">
        <v>43463.34</v>
      </c>
      <c r="T4531">
        <f t="shared" si="514"/>
        <v>1098.34679245283</v>
      </c>
      <c r="U4531">
        <f t="shared" si="512"/>
        <v>2321.4</v>
      </c>
      <c r="V4531">
        <f>U4531*1</f>
        <v>2321.4</v>
      </c>
      <c r="W4531">
        <f t="shared" si="510"/>
        <v>22628.47</v>
      </c>
      <c r="X4531">
        <f t="shared" si="513"/>
        <v>0.0729939836828463</v>
      </c>
      <c r="AH4531" t="str">
        <f t="shared" si="511"/>
        <v>2nd Quality</v>
      </c>
      <c r="AJ4531">
        <f>((T4531-X4531)*2)/5.9</f>
        <v>372.296202870897</v>
      </c>
      <c r="AK4531">
        <f t="shared" si="509"/>
        <v>775432.835471698</v>
      </c>
    </row>
    <row r="4532" spans="1:37">
      <c r="A4532" t="s">
        <v>4598</v>
      </c>
      <c r="B4532">
        <v>34</v>
      </c>
      <c r="C4532" t="s">
        <v>44</v>
      </c>
      <c r="D4532" t="s">
        <v>45</v>
      </c>
      <c r="E4532">
        <v>645</v>
      </c>
      <c r="F4532">
        <v>116</v>
      </c>
      <c r="G4532">
        <v>2</v>
      </c>
      <c r="H4532">
        <v>1031.65</v>
      </c>
      <c r="I4532">
        <v>2272.18</v>
      </c>
      <c r="J4532">
        <v>17</v>
      </c>
      <c r="K4532">
        <v>0</v>
      </c>
      <c r="L4532">
        <v>25.2</v>
      </c>
      <c r="M4532">
        <v>28.1</v>
      </c>
      <c r="N4532" t="s">
        <v>52</v>
      </c>
      <c r="O4532" t="s">
        <v>75</v>
      </c>
      <c r="P4532" t="s">
        <v>66</v>
      </c>
      <c r="R4532">
        <f>SUMIF(A4532:A9531,"C04531",I4532:I9531)</f>
        <v>2272.18</v>
      </c>
      <c r="S4532" s="1">
        <v>16112.35</v>
      </c>
      <c r="T4532">
        <f t="shared" si="514"/>
        <v>133.657647058824</v>
      </c>
      <c r="U4532">
        <f t="shared" si="512"/>
        <v>477.7</v>
      </c>
      <c r="V4532">
        <f t="shared" si="507"/>
        <v>39.8083333333333</v>
      </c>
      <c r="W4532">
        <f t="shared" si="510"/>
        <v>1101.61</v>
      </c>
      <c r="X4532">
        <f t="shared" si="513"/>
        <v>0.625212038966704</v>
      </c>
      <c r="AH4532" t="str">
        <f t="shared" si="511"/>
        <v>3rd Quality</v>
      </c>
      <c r="AJ4532">
        <f>((T4532-X4532)*2)/25.2</f>
        <v>10.5581297634807</v>
      </c>
      <c r="AK4532">
        <f t="shared" si="509"/>
        <v>86209.1823529412</v>
      </c>
    </row>
    <row r="4533" spans="1:37">
      <c r="A4533" t="s">
        <v>4599</v>
      </c>
      <c r="B4533">
        <v>37</v>
      </c>
      <c r="C4533" t="s">
        <v>44</v>
      </c>
      <c r="D4533" t="s">
        <v>51</v>
      </c>
      <c r="E4533">
        <v>902</v>
      </c>
      <c r="F4533">
        <v>35</v>
      </c>
      <c r="G4533">
        <v>11</v>
      </c>
      <c r="H4533">
        <v>1422.98</v>
      </c>
      <c r="I4533">
        <v>14144.41</v>
      </c>
      <c r="J4533">
        <v>75</v>
      </c>
      <c r="K4533">
        <v>2</v>
      </c>
      <c r="L4533">
        <v>28.5</v>
      </c>
      <c r="M4533">
        <v>20.6</v>
      </c>
      <c r="N4533" t="s">
        <v>61</v>
      </c>
      <c r="O4533" t="s">
        <v>75</v>
      </c>
      <c r="P4533" t="s">
        <v>48</v>
      </c>
      <c r="R4533">
        <f>SUMIF(A4533:A9532,"C04532",I4533:I9532)</f>
        <v>14144.41</v>
      </c>
      <c r="S4533" s="1">
        <v>53116.7</v>
      </c>
      <c r="T4533">
        <f t="shared" si="514"/>
        <v>188.592133333333</v>
      </c>
      <c r="U4533">
        <f t="shared" si="512"/>
        <v>1545</v>
      </c>
      <c r="V4533">
        <f>U4533*2</f>
        <v>3090</v>
      </c>
      <c r="W4533">
        <f t="shared" si="510"/>
        <v>5189.46333333333</v>
      </c>
      <c r="X4533">
        <f t="shared" si="513"/>
        <v>0.633881010274213</v>
      </c>
      <c r="AH4533" t="str">
        <f t="shared" si="511"/>
        <v>3rd Quality</v>
      </c>
      <c r="AJ4533">
        <f>((T4533-X4533)*2)/28.5</f>
        <v>13.1900527946006</v>
      </c>
      <c r="AK4533">
        <f t="shared" si="509"/>
        <v>170110.104266667</v>
      </c>
    </row>
    <row r="4534" spans="1:37">
      <c r="A4534" t="s">
        <v>4600</v>
      </c>
      <c r="B4534">
        <v>24</v>
      </c>
      <c r="C4534" t="s">
        <v>50</v>
      </c>
      <c r="D4534" t="s">
        <v>60</v>
      </c>
      <c r="E4534">
        <v>683</v>
      </c>
      <c r="F4534">
        <v>40</v>
      </c>
      <c r="G4534">
        <v>4</v>
      </c>
      <c r="H4534">
        <v>10681.98</v>
      </c>
      <c r="I4534">
        <v>43463.34</v>
      </c>
      <c r="J4534">
        <v>37</v>
      </c>
      <c r="K4534">
        <v>0</v>
      </c>
      <c r="L4534">
        <v>0</v>
      </c>
      <c r="M4534">
        <v>33.7</v>
      </c>
      <c r="N4534" t="s">
        <v>78</v>
      </c>
      <c r="O4534" t="s">
        <v>47</v>
      </c>
      <c r="P4534" t="s">
        <v>48</v>
      </c>
      <c r="R4534">
        <f>SUMIF(A4534:A9533,"C04533",I4534:I9533)</f>
        <v>43463.34</v>
      </c>
      <c r="S4534" s="1">
        <v>43836.64</v>
      </c>
      <c r="T4534">
        <f t="shared" si="514"/>
        <v>1174.68486486486</v>
      </c>
      <c r="U4534">
        <f t="shared" si="512"/>
        <v>1246.9</v>
      </c>
      <c r="V4534">
        <f t="shared" ref="V4534:V4597" si="515">U4534/12</f>
        <v>103.908333333333</v>
      </c>
      <c r="W4534">
        <f t="shared" si="510"/>
        <v>18048.7733333333</v>
      </c>
      <c r="X4534">
        <f t="shared" si="513"/>
        <v>0.0639394569171633</v>
      </c>
      <c r="AH4534" t="str">
        <f t="shared" si="511"/>
        <v>2nd Quality</v>
      </c>
      <c r="AJ4534">
        <f>((T4534-X4534)*2)</f>
        <v>2349.24185081589</v>
      </c>
      <c r="AK4534">
        <f t="shared" si="509"/>
        <v>802309.762702703</v>
      </c>
    </row>
    <row r="4535" spans="1:37">
      <c r="A4535" t="s">
        <v>4601</v>
      </c>
      <c r="B4535">
        <v>47</v>
      </c>
      <c r="C4535" t="s">
        <v>50</v>
      </c>
      <c r="D4535" t="s">
        <v>60</v>
      </c>
      <c r="E4535">
        <v>847</v>
      </c>
      <c r="F4535">
        <v>26</v>
      </c>
      <c r="G4535">
        <v>15</v>
      </c>
      <c r="H4535">
        <v>999.55</v>
      </c>
      <c r="I4535">
        <v>16112.35</v>
      </c>
      <c r="J4535">
        <v>95</v>
      </c>
      <c r="K4535">
        <v>0</v>
      </c>
      <c r="L4535">
        <v>25.3</v>
      </c>
      <c r="M4535">
        <v>39.7</v>
      </c>
      <c r="N4535" t="s">
        <v>52</v>
      </c>
      <c r="O4535" t="s">
        <v>47</v>
      </c>
      <c r="P4535" t="s">
        <v>58</v>
      </c>
      <c r="R4535">
        <f>SUMIF(A4535:A9534,"C04534",I4535:I9534)</f>
        <v>16112.35</v>
      </c>
      <c r="S4535" s="1">
        <v>2728.28</v>
      </c>
      <c r="T4535">
        <f t="shared" si="514"/>
        <v>169.603684210526</v>
      </c>
      <c r="U4535">
        <f t="shared" si="512"/>
        <v>3771.5</v>
      </c>
      <c r="V4535">
        <f t="shared" si="515"/>
        <v>314.291666666667</v>
      </c>
      <c r="W4535">
        <f t="shared" si="510"/>
        <v>5704.3</v>
      </c>
      <c r="X4535">
        <f t="shared" si="513"/>
        <v>0.847381321594718</v>
      </c>
      <c r="AH4535" t="str">
        <f t="shared" si="511"/>
        <v>3rd Quality</v>
      </c>
      <c r="AJ4535">
        <f>((T4535-X4535)*2)/25.3</f>
        <v>13.340419200706</v>
      </c>
      <c r="AK4535">
        <f t="shared" si="509"/>
        <v>143654.320526316</v>
      </c>
    </row>
    <row r="4536" spans="1:37">
      <c r="A4536" t="s">
        <v>4602</v>
      </c>
      <c r="B4536">
        <v>26</v>
      </c>
      <c r="C4536" t="s">
        <v>44</v>
      </c>
      <c r="D4536" t="s">
        <v>60</v>
      </c>
      <c r="E4536">
        <v>401</v>
      </c>
      <c r="F4536">
        <v>41</v>
      </c>
      <c r="G4536">
        <v>3</v>
      </c>
      <c r="H4536">
        <v>15866.02</v>
      </c>
      <c r="I4536">
        <v>53116.7</v>
      </c>
      <c r="J4536">
        <v>31</v>
      </c>
      <c r="K4536">
        <v>0</v>
      </c>
      <c r="L4536">
        <v>8.8</v>
      </c>
      <c r="M4536">
        <v>10</v>
      </c>
      <c r="N4536" t="s">
        <v>63</v>
      </c>
      <c r="O4536" t="s">
        <v>47</v>
      </c>
      <c r="P4536" t="s">
        <v>58</v>
      </c>
      <c r="R4536">
        <f>SUMIF(A4536:A9535,"C04535",I4536:I9535)</f>
        <v>53116.7</v>
      </c>
      <c r="S4536" s="1">
        <v>1269.86</v>
      </c>
      <c r="T4536">
        <f t="shared" si="514"/>
        <v>1713.44193548387</v>
      </c>
      <c r="U4536">
        <f t="shared" si="512"/>
        <v>310</v>
      </c>
      <c r="V4536">
        <f t="shared" si="515"/>
        <v>25.8333333333333</v>
      </c>
      <c r="W4536">
        <f t="shared" si="510"/>
        <v>22994.5733333333</v>
      </c>
      <c r="X4536">
        <f t="shared" si="513"/>
        <v>0.0252741393241657</v>
      </c>
      <c r="AH4536" t="str">
        <f t="shared" si="511"/>
        <v>3rd Quality</v>
      </c>
      <c r="AJ4536">
        <f>((T4536-X4536)*2)/8.8</f>
        <v>389.412877578306</v>
      </c>
      <c r="AK4536">
        <f t="shared" si="509"/>
        <v>687090.216129032</v>
      </c>
    </row>
    <row r="4537" spans="1:37">
      <c r="A4537" t="s">
        <v>4603</v>
      </c>
      <c r="B4537">
        <v>34</v>
      </c>
      <c r="C4537" t="s">
        <v>44</v>
      </c>
      <c r="D4537" t="s">
        <v>45</v>
      </c>
      <c r="E4537">
        <v>575</v>
      </c>
      <c r="F4537">
        <v>6</v>
      </c>
      <c r="G4537">
        <v>19</v>
      </c>
      <c r="H4537">
        <v>2101.42</v>
      </c>
      <c r="I4537">
        <v>43836.64</v>
      </c>
      <c r="J4537">
        <v>156</v>
      </c>
      <c r="K4537">
        <v>2</v>
      </c>
      <c r="L4537">
        <v>3.3</v>
      </c>
      <c r="M4537">
        <v>31.1</v>
      </c>
      <c r="N4537" t="s">
        <v>57</v>
      </c>
      <c r="O4537" t="s">
        <v>47</v>
      </c>
      <c r="P4537" t="s">
        <v>58</v>
      </c>
      <c r="R4537">
        <f>SUMIF(A4537:A9536,"C04536",I4537:I9536)</f>
        <v>43836.64</v>
      </c>
      <c r="S4537" s="1">
        <v>85244.05</v>
      </c>
      <c r="T4537">
        <f t="shared" si="514"/>
        <v>281.004102564103</v>
      </c>
      <c r="U4537">
        <f t="shared" si="512"/>
        <v>4851.6</v>
      </c>
      <c r="V4537">
        <f>U4537*2</f>
        <v>9703.2</v>
      </c>
      <c r="W4537">
        <f t="shared" si="510"/>
        <v>15313.02</v>
      </c>
      <c r="X4537">
        <f t="shared" si="513"/>
        <v>0.273624501527539</v>
      </c>
      <c r="AH4537" t="str">
        <f t="shared" si="511"/>
        <v>2nd Quality</v>
      </c>
      <c r="AJ4537">
        <f>((T4537-X4537)*2)/3.3</f>
        <v>170.139683674288</v>
      </c>
      <c r="AK4537">
        <f t="shared" si="509"/>
        <v>161577.358974359</v>
      </c>
    </row>
    <row r="4538" spans="1:37">
      <c r="A4538" t="s">
        <v>4604</v>
      </c>
      <c r="B4538">
        <v>42</v>
      </c>
      <c r="C4538" t="s">
        <v>44</v>
      </c>
      <c r="D4538" t="s">
        <v>45</v>
      </c>
      <c r="E4538">
        <v>1427</v>
      </c>
      <c r="F4538">
        <v>210</v>
      </c>
      <c r="G4538">
        <v>3</v>
      </c>
      <c r="H4538">
        <v>1004.39</v>
      </c>
      <c r="I4538">
        <v>2728.28</v>
      </c>
      <c r="J4538">
        <v>36</v>
      </c>
      <c r="K4538">
        <v>1</v>
      </c>
      <c r="L4538">
        <v>28.3</v>
      </c>
      <c r="M4538">
        <v>46.3</v>
      </c>
      <c r="N4538" t="s">
        <v>81</v>
      </c>
      <c r="O4538" t="s">
        <v>75</v>
      </c>
      <c r="P4538" t="s">
        <v>54</v>
      </c>
      <c r="R4538">
        <f>SUMIF(A4538:A9537,"C04537",I4538:I9537)</f>
        <v>2728.28</v>
      </c>
      <c r="S4538" s="1">
        <v>17889.93</v>
      </c>
      <c r="T4538">
        <f t="shared" si="514"/>
        <v>75.7855555555556</v>
      </c>
      <c r="U4538">
        <f t="shared" si="512"/>
        <v>1666.8</v>
      </c>
      <c r="V4538">
        <f>U4538*1</f>
        <v>1666.8</v>
      </c>
      <c r="W4538">
        <f t="shared" si="510"/>
        <v>1244.55666666667</v>
      </c>
      <c r="X4538">
        <f t="shared" si="513"/>
        <v>1.42076285108374</v>
      </c>
      <c r="AH4538" t="str">
        <f t="shared" si="511"/>
        <v>3rd Quality</v>
      </c>
      <c r="AJ4538">
        <f>((T4538-X4538)*2)/28.3</f>
        <v>5.25546238194147</v>
      </c>
      <c r="AK4538">
        <f t="shared" si="509"/>
        <v>108145.987777778</v>
      </c>
    </row>
    <row r="4539" spans="1:37">
      <c r="A4539" t="s">
        <v>4605</v>
      </c>
      <c r="B4539">
        <v>23</v>
      </c>
      <c r="C4539" t="s">
        <v>44</v>
      </c>
      <c r="D4539" t="s">
        <v>45</v>
      </c>
      <c r="E4539">
        <v>760</v>
      </c>
      <c r="F4539">
        <v>214</v>
      </c>
      <c r="G4539">
        <v>1</v>
      </c>
      <c r="H4539">
        <v>1413.42</v>
      </c>
      <c r="I4539">
        <v>1269.86</v>
      </c>
      <c r="J4539">
        <v>16</v>
      </c>
      <c r="K4539">
        <v>0</v>
      </c>
      <c r="L4539">
        <v>19.7</v>
      </c>
      <c r="M4539">
        <v>12.1</v>
      </c>
      <c r="N4539" t="s">
        <v>61</v>
      </c>
      <c r="O4539" t="s">
        <v>47</v>
      </c>
      <c r="P4539" t="s">
        <v>58</v>
      </c>
      <c r="R4539">
        <f>SUMIF(A4539:A9538,"C04538",I4539:I9538)</f>
        <v>1269.86</v>
      </c>
      <c r="S4539" s="1">
        <v>97390.43</v>
      </c>
      <c r="T4539">
        <f t="shared" si="514"/>
        <v>79.36625</v>
      </c>
      <c r="U4539">
        <f t="shared" si="512"/>
        <v>193.6</v>
      </c>
      <c r="V4539">
        <f t="shared" si="515"/>
        <v>16.1333333333333</v>
      </c>
      <c r="W4539">
        <f t="shared" si="510"/>
        <v>894.76</v>
      </c>
      <c r="X4539">
        <f t="shared" si="513"/>
        <v>0.53770287671039</v>
      </c>
      <c r="AH4539" t="str">
        <f t="shared" si="511"/>
        <v>3rd Quality</v>
      </c>
      <c r="AJ4539">
        <f>((T4539-X4539)*2)/19.7</f>
        <v>8.00289818510555</v>
      </c>
      <c r="AK4539">
        <f t="shared" si="509"/>
        <v>60318.35</v>
      </c>
    </row>
    <row r="4540" spans="1:37">
      <c r="A4540" t="s">
        <v>4606</v>
      </c>
      <c r="B4540">
        <v>18</v>
      </c>
      <c r="C4540" t="s">
        <v>50</v>
      </c>
      <c r="D4540" t="s">
        <v>60</v>
      </c>
      <c r="E4540">
        <v>842</v>
      </c>
      <c r="F4540">
        <v>29</v>
      </c>
      <c r="G4540">
        <v>19</v>
      </c>
      <c r="H4540">
        <v>4828.05</v>
      </c>
      <c r="I4540">
        <v>85244.05</v>
      </c>
      <c r="J4540">
        <v>64</v>
      </c>
      <c r="K4540">
        <v>2</v>
      </c>
      <c r="L4540">
        <v>4.2</v>
      </c>
      <c r="M4540">
        <v>17.4</v>
      </c>
      <c r="N4540" t="s">
        <v>78</v>
      </c>
      <c r="O4540" t="s">
        <v>47</v>
      </c>
      <c r="P4540" t="s">
        <v>58</v>
      </c>
      <c r="R4540">
        <f>SUMIF(A4540:A9539,"C04539",I4540:I9539)</f>
        <v>85244.05</v>
      </c>
      <c r="S4540" s="1">
        <v>113595.22</v>
      </c>
      <c r="T4540">
        <f t="shared" si="514"/>
        <v>1331.93828125</v>
      </c>
      <c r="U4540">
        <f t="shared" si="512"/>
        <v>1113.6</v>
      </c>
      <c r="V4540">
        <f>U4540*2</f>
        <v>2227.2</v>
      </c>
      <c r="W4540">
        <f t="shared" si="510"/>
        <v>30024.3666666667</v>
      </c>
      <c r="X4540">
        <f t="shared" si="513"/>
        <v>0.174397531094334</v>
      </c>
      <c r="AH4540" t="str">
        <f t="shared" si="511"/>
        <v>2nd Quality</v>
      </c>
      <c r="AJ4540">
        <f>((T4540-X4540)*2)/4.2</f>
        <v>634.173277961384</v>
      </c>
      <c r="AK4540">
        <f t="shared" si="509"/>
        <v>1121492.0328125</v>
      </c>
    </row>
    <row r="4541" spans="1:37">
      <c r="A4541" t="s">
        <v>4607</v>
      </c>
      <c r="B4541">
        <v>30</v>
      </c>
      <c r="C4541" t="s">
        <v>50</v>
      </c>
      <c r="D4541" t="s">
        <v>60</v>
      </c>
      <c r="E4541">
        <v>577</v>
      </c>
      <c r="F4541">
        <v>79</v>
      </c>
      <c r="G4541">
        <v>10</v>
      </c>
      <c r="H4541">
        <v>1888.77</v>
      </c>
      <c r="I4541">
        <v>17889.93</v>
      </c>
      <c r="J4541">
        <v>34</v>
      </c>
      <c r="K4541">
        <v>0</v>
      </c>
      <c r="L4541">
        <v>17</v>
      </c>
      <c r="M4541">
        <v>16.4</v>
      </c>
      <c r="N4541" t="s">
        <v>78</v>
      </c>
      <c r="O4541" t="s">
        <v>53</v>
      </c>
      <c r="P4541" t="s">
        <v>68</v>
      </c>
      <c r="R4541">
        <f>SUMIF(A4541:A9540,"C04540",I4541:I9540)</f>
        <v>17889.93</v>
      </c>
      <c r="S4541" s="1">
        <v>1751.18</v>
      </c>
      <c r="T4541">
        <f t="shared" si="514"/>
        <v>526.174411764706</v>
      </c>
      <c r="U4541">
        <f t="shared" si="512"/>
        <v>557.6</v>
      </c>
      <c r="V4541">
        <f t="shared" si="515"/>
        <v>46.4666666666667</v>
      </c>
      <c r="W4541">
        <f t="shared" si="510"/>
        <v>6593.23333333333</v>
      </c>
      <c r="X4541">
        <f t="shared" si="513"/>
        <v>0.305489816123721</v>
      </c>
      <c r="AH4541" t="str">
        <f t="shared" si="511"/>
        <v>2nd Quality</v>
      </c>
      <c r="AJ4541">
        <f>((T4541-X4541)*2)/17</f>
        <v>61.8669319939509</v>
      </c>
      <c r="AK4541">
        <f t="shared" si="509"/>
        <v>303602.635588235</v>
      </c>
    </row>
    <row r="4542" spans="1:37">
      <c r="A4542" t="s">
        <v>4608</v>
      </c>
      <c r="B4542">
        <v>35</v>
      </c>
      <c r="C4542" t="s">
        <v>44</v>
      </c>
      <c r="D4542" t="s">
        <v>60</v>
      </c>
      <c r="E4542">
        <v>1323</v>
      </c>
      <c r="F4542">
        <v>12</v>
      </c>
      <c r="G4542">
        <v>28</v>
      </c>
      <c r="H4542">
        <v>3197.51</v>
      </c>
      <c r="I4542">
        <v>97390.43</v>
      </c>
      <c r="J4542">
        <v>175</v>
      </c>
      <c r="K4542">
        <v>3</v>
      </c>
      <c r="L4542">
        <v>0.4</v>
      </c>
      <c r="M4542">
        <v>31.5</v>
      </c>
      <c r="N4542" t="s">
        <v>46</v>
      </c>
      <c r="O4542" t="s">
        <v>47</v>
      </c>
      <c r="P4542" t="s">
        <v>58</v>
      </c>
      <c r="R4542">
        <f>SUMIF(A4542:A9541,"C04541",I4542:I9541)</f>
        <v>97390.43</v>
      </c>
      <c r="S4542" s="1">
        <v>52089.33</v>
      </c>
      <c r="T4542">
        <f t="shared" si="514"/>
        <v>556.516742857143</v>
      </c>
      <c r="U4542">
        <f t="shared" si="512"/>
        <v>5512.5</v>
      </c>
      <c r="V4542">
        <f>U4542*3</f>
        <v>16537.5</v>
      </c>
      <c r="W4542">
        <f t="shared" si="510"/>
        <v>33529.6466666667</v>
      </c>
      <c r="X4542">
        <f t="shared" si="513"/>
        <v>0.413759456577149</v>
      </c>
      <c r="AH4542" t="str">
        <f t="shared" si="511"/>
        <v>2nd Quality</v>
      </c>
      <c r="AJ4542">
        <f>((T4542-X4542)*2)/0.4</f>
        <v>2780.51491700283</v>
      </c>
      <c r="AK4542">
        <f t="shared" si="509"/>
        <v>736271.6508</v>
      </c>
    </row>
    <row r="4543" spans="1:37">
      <c r="A4543" t="s">
        <v>4609</v>
      </c>
      <c r="B4543">
        <v>45</v>
      </c>
      <c r="C4543" t="s">
        <v>56</v>
      </c>
      <c r="D4543" t="s">
        <v>60</v>
      </c>
      <c r="E4543">
        <v>675</v>
      </c>
      <c r="F4543">
        <v>17</v>
      </c>
      <c r="G4543">
        <v>19</v>
      </c>
      <c r="H4543">
        <v>5777.35</v>
      </c>
      <c r="I4543">
        <v>113595.22</v>
      </c>
      <c r="J4543">
        <v>65</v>
      </c>
      <c r="K4543">
        <v>3</v>
      </c>
      <c r="L4543">
        <v>23.2</v>
      </c>
      <c r="M4543">
        <v>38.5</v>
      </c>
      <c r="N4543" t="s">
        <v>61</v>
      </c>
      <c r="O4543" t="s">
        <v>53</v>
      </c>
      <c r="P4543" t="s">
        <v>68</v>
      </c>
      <c r="R4543">
        <f>SUMIF(A4543:A9542,"C04542",I4543:I9542)</f>
        <v>113595.22</v>
      </c>
      <c r="S4543" s="1">
        <v>7016.33</v>
      </c>
      <c r="T4543">
        <f t="shared" si="514"/>
        <v>1747.61876923077</v>
      </c>
      <c r="U4543">
        <f t="shared" si="512"/>
        <v>2502.5</v>
      </c>
      <c r="V4543">
        <f>U4543*3</f>
        <v>7507.5</v>
      </c>
      <c r="W4543">
        <f t="shared" si="510"/>
        <v>39791.19</v>
      </c>
      <c r="X4543">
        <f t="shared" si="513"/>
        <v>0.116835573403031</v>
      </c>
      <c r="AH4543" t="str">
        <f t="shared" si="511"/>
        <v>3rd Quality</v>
      </c>
      <c r="AJ4543">
        <f>((T4543-X4543)*2)/23.2</f>
        <v>150.646718418739</v>
      </c>
      <c r="AK4543">
        <f t="shared" si="509"/>
        <v>1179642.66923077</v>
      </c>
    </row>
    <row r="4544" spans="1:37">
      <c r="A4544" t="s">
        <v>4610</v>
      </c>
      <c r="B4544">
        <v>31</v>
      </c>
      <c r="C4544" t="s">
        <v>44</v>
      </c>
      <c r="D4544" t="s">
        <v>60</v>
      </c>
      <c r="E4544">
        <v>690</v>
      </c>
      <c r="F4544">
        <v>297</v>
      </c>
      <c r="G4544">
        <v>1</v>
      </c>
      <c r="H4544">
        <v>1583.15</v>
      </c>
      <c r="I4544">
        <v>1751.18</v>
      </c>
      <c r="J4544">
        <v>14</v>
      </c>
      <c r="K4544">
        <v>0</v>
      </c>
      <c r="L4544">
        <v>13.7</v>
      </c>
      <c r="M4544">
        <v>12.2</v>
      </c>
      <c r="N4544" t="s">
        <v>57</v>
      </c>
      <c r="O4544" t="s">
        <v>53</v>
      </c>
      <c r="P4544" t="s">
        <v>68</v>
      </c>
      <c r="R4544">
        <f>SUMIF(A4544:A9543,"C04543",I4544:I9543)</f>
        <v>1751.18</v>
      </c>
      <c r="S4544" s="1">
        <v>7456.53</v>
      </c>
      <c r="T4544">
        <f t="shared" si="514"/>
        <v>125.084285714286</v>
      </c>
      <c r="U4544">
        <f t="shared" si="512"/>
        <v>170.8</v>
      </c>
      <c r="V4544">
        <f t="shared" si="515"/>
        <v>14.2333333333333</v>
      </c>
      <c r="W4544">
        <f t="shared" si="510"/>
        <v>1111.77666666667</v>
      </c>
      <c r="X4544">
        <f t="shared" si="513"/>
        <v>0.4358399393614</v>
      </c>
      <c r="AH4544" t="str">
        <f t="shared" si="511"/>
        <v>3rd Quality</v>
      </c>
      <c r="AJ4544">
        <f>((T4544-X4544)*2)/13.7</f>
        <v>18.1968533977992</v>
      </c>
      <c r="AK4544">
        <f t="shared" si="509"/>
        <v>86308.1571428571</v>
      </c>
    </row>
    <row r="4545" spans="1:37">
      <c r="A4545" t="s">
        <v>4611</v>
      </c>
      <c r="B4545">
        <v>38</v>
      </c>
      <c r="C4545" t="s">
        <v>50</v>
      </c>
      <c r="D4545" t="s">
        <v>51</v>
      </c>
      <c r="E4545">
        <v>825</v>
      </c>
      <c r="F4545">
        <v>11</v>
      </c>
      <c r="G4545">
        <v>4</v>
      </c>
      <c r="H4545">
        <v>13281</v>
      </c>
      <c r="I4545">
        <v>52089.33</v>
      </c>
      <c r="J4545">
        <v>31</v>
      </c>
      <c r="K4545">
        <v>0</v>
      </c>
      <c r="L4545">
        <v>0</v>
      </c>
      <c r="M4545">
        <v>48.9</v>
      </c>
      <c r="N4545" t="s">
        <v>61</v>
      </c>
      <c r="O4545" t="s">
        <v>75</v>
      </c>
      <c r="P4545" t="s">
        <v>58</v>
      </c>
      <c r="R4545">
        <f>SUMIF(A4545:A9544,"C04544",I4545:I9544)</f>
        <v>52089.33</v>
      </c>
      <c r="S4545" s="1">
        <v>1174.9</v>
      </c>
      <c r="T4545">
        <f t="shared" si="514"/>
        <v>1680.30096774194</v>
      </c>
      <c r="U4545">
        <f t="shared" si="512"/>
        <v>1515.9</v>
      </c>
      <c r="V4545">
        <f t="shared" si="515"/>
        <v>126.325</v>
      </c>
      <c r="W4545">
        <f t="shared" si="510"/>
        <v>21790.4433333333</v>
      </c>
      <c r="X4545">
        <f t="shared" si="513"/>
        <v>0.0621188163541902</v>
      </c>
      <c r="AH4545" t="str">
        <f t="shared" si="511"/>
        <v>2nd Quality</v>
      </c>
      <c r="AJ4545">
        <f>((T4545-X4545)*2)</f>
        <v>3360.47769785117</v>
      </c>
      <c r="AK4545">
        <f t="shared" si="509"/>
        <v>1386248.2983871</v>
      </c>
    </row>
    <row r="4546" spans="1:37">
      <c r="A4546" t="s">
        <v>4612</v>
      </c>
      <c r="B4546">
        <v>50</v>
      </c>
      <c r="C4546" t="s">
        <v>44</v>
      </c>
      <c r="D4546" t="s">
        <v>45</v>
      </c>
      <c r="E4546">
        <v>1251</v>
      </c>
      <c r="F4546">
        <v>44</v>
      </c>
      <c r="G4546">
        <v>7</v>
      </c>
      <c r="H4546">
        <v>1024.43</v>
      </c>
      <c r="I4546">
        <v>7016.33</v>
      </c>
      <c r="J4546">
        <v>63</v>
      </c>
      <c r="K4546">
        <v>0</v>
      </c>
      <c r="L4546">
        <v>9.6</v>
      </c>
      <c r="M4546">
        <v>45.4</v>
      </c>
      <c r="N4546" t="s">
        <v>78</v>
      </c>
      <c r="O4546" t="s">
        <v>47</v>
      </c>
      <c r="P4546" t="s">
        <v>58</v>
      </c>
      <c r="R4546">
        <f>SUMIF(A4546:A9545,"C04545",I4546:I9545)</f>
        <v>7016.33</v>
      </c>
      <c r="S4546" s="1">
        <v>11639.9</v>
      </c>
      <c r="T4546">
        <f t="shared" si="514"/>
        <v>111.370317460317</v>
      </c>
      <c r="U4546">
        <f t="shared" si="512"/>
        <v>2860.2</v>
      </c>
      <c r="V4546">
        <f t="shared" si="515"/>
        <v>238.35</v>
      </c>
      <c r="W4546">
        <f t="shared" si="510"/>
        <v>2680.58666666667</v>
      </c>
      <c r="X4546">
        <f t="shared" si="513"/>
        <v>1.22116689280868</v>
      </c>
      <c r="AH4546" t="str">
        <f t="shared" si="511"/>
        <v>3rd Quality</v>
      </c>
      <c r="AJ4546">
        <f>((T4546-X4546)*2)/9.6</f>
        <v>22.9477397015642</v>
      </c>
      <c r="AK4546">
        <f t="shared" si="509"/>
        <v>139324.267142857</v>
      </c>
    </row>
    <row r="4547" spans="1:37">
      <c r="A4547" t="s">
        <v>4613</v>
      </c>
      <c r="B4547">
        <v>25</v>
      </c>
      <c r="C4547" t="s">
        <v>44</v>
      </c>
      <c r="D4547" t="s">
        <v>60</v>
      </c>
      <c r="E4547">
        <v>1237</v>
      </c>
      <c r="F4547">
        <v>42</v>
      </c>
      <c r="G4547">
        <v>5</v>
      </c>
      <c r="H4547">
        <v>1574.59</v>
      </c>
      <c r="I4547">
        <v>7456.53</v>
      </c>
      <c r="J4547">
        <v>47</v>
      </c>
      <c r="K4547">
        <v>0</v>
      </c>
      <c r="L4547">
        <v>16.4</v>
      </c>
      <c r="M4547">
        <v>15.2</v>
      </c>
      <c r="N4547" t="s">
        <v>63</v>
      </c>
      <c r="O4547" t="s">
        <v>47</v>
      </c>
      <c r="P4547" t="s">
        <v>58</v>
      </c>
      <c r="R4547">
        <f>SUMIF(A4547:A9546,"C04546",I4547:I9546)</f>
        <v>7456.53</v>
      </c>
      <c r="S4547" s="1">
        <v>2618.73</v>
      </c>
      <c r="T4547">
        <f t="shared" si="514"/>
        <v>158.649574468085</v>
      </c>
      <c r="U4547">
        <f t="shared" si="512"/>
        <v>714.4</v>
      </c>
      <c r="V4547">
        <f t="shared" si="515"/>
        <v>59.5333333333333</v>
      </c>
      <c r="W4547">
        <f t="shared" si="510"/>
        <v>3010.70666666667</v>
      </c>
      <c r="X4547">
        <f t="shared" si="513"/>
        <v>0.78560133114017</v>
      </c>
      <c r="AH4547" t="str">
        <f t="shared" si="511"/>
        <v>3rd Quality</v>
      </c>
      <c r="AJ4547">
        <f>((T4547-X4547)*2)/16.4</f>
        <v>19.2517040410908</v>
      </c>
      <c r="AK4547">
        <f t="shared" ref="AK4547:AK4610" si="516">I4547/J4547*E4547</f>
        <v>196249.523617021</v>
      </c>
    </row>
    <row r="4548" spans="1:37">
      <c r="A4548" t="s">
        <v>4614</v>
      </c>
      <c r="B4548">
        <v>39</v>
      </c>
      <c r="C4548" t="s">
        <v>50</v>
      </c>
      <c r="D4548" t="s">
        <v>60</v>
      </c>
      <c r="E4548">
        <v>569</v>
      </c>
      <c r="F4548">
        <v>203</v>
      </c>
      <c r="G4548">
        <v>1</v>
      </c>
      <c r="H4548">
        <v>1192.79</v>
      </c>
      <c r="I4548">
        <v>1174.9</v>
      </c>
      <c r="J4548">
        <v>11</v>
      </c>
      <c r="K4548">
        <v>0</v>
      </c>
      <c r="L4548">
        <v>18.9</v>
      </c>
      <c r="M4548">
        <v>44</v>
      </c>
      <c r="N4548" t="s">
        <v>46</v>
      </c>
      <c r="O4548" t="s">
        <v>47</v>
      </c>
      <c r="P4548" t="s">
        <v>68</v>
      </c>
      <c r="R4548">
        <f>SUMIF(A4548:A9547,"C04547",I4548:I9547)</f>
        <v>1174.9</v>
      </c>
      <c r="S4548" s="1">
        <v>22177.41</v>
      </c>
      <c r="T4548">
        <f t="shared" si="514"/>
        <v>106.809090909091</v>
      </c>
      <c r="U4548">
        <f t="shared" si="512"/>
        <v>484</v>
      </c>
      <c r="V4548">
        <f t="shared" si="515"/>
        <v>40.3333333333333</v>
      </c>
      <c r="W4548">
        <f t="shared" si="510"/>
        <v>789.563333333333</v>
      </c>
      <c r="X4548">
        <f t="shared" si="513"/>
        <v>0.47703283897417</v>
      </c>
      <c r="AH4548" t="str">
        <f t="shared" si="511"/>
        <v>3rd Quality</v>
      </c>
      <c r="AJ4548">
        <f>((T4548-X4548)*2)/18.9</f>
        <v>11.2520696370494</v>
      </c>
      <c r="AK4548">
        <f t="shared" si="516"/>
        <v>60774.3727272727</v>
      </c>
    </row>
    <row r="4549" spans="1:37">
      <c r="A4549" t="s">
        <v>4615</v>
      </c>
      <c r="B4549">
        <v>46</v>
      </c>
      <c r="C4549" t="s">
        <v>50</v>
      </c>
      <c r="D4549" t="s">
        <v>45</v>
      </c>
      <c r="E4549">
        <v>584</v>
      </c>
      <c r="F4549">
        <v>53</v>
      </c>
      <c r="G4549">
        <v>8</v>
      </c>
      <c r="H4549">
        <v>1360.03</v>
      </c>
      <c r="I4549">
        <v>11639.9</v>
      </c>
      <c r="J4549">
        <v>44</v>
      </c>
      <c r="K4549">
        <v>1</v>
      </c>
      <c r="L4549">
        <v>20.2</v>
      </c>
      <c r="M4549">
        <v>24.7</v>
      </c>
      <c r="N4549" t="s">
        <v>63</v>
      </c>
      <c r="O4549" t="s">
        <v>53</v>
      </c>
      <c r="P4549" t="s">
        <v>54</v>
      </c>
      <c r="R4549">
        <f>SUMIF(A4549:A9548,"C04548",I4549:I9548)</f>
        <v>11639.9</v>
      </c>
      <c r="S4549" s="1">
        <v>80305.54</v>
      </c>
      <c r="T4549">
        <f t="shared" si="514"/>
        <v>264.543181818182</v>
      </c>
      <c r="U4549">
        <f t="shared" si="512"/>
        <v>1086.8</v>
      </c>
      <c r="V4549">
        <f>U4549*1</f>
        <v>1086.8</v>
      </c>
      <c r="W4549">
        <f t="shared" si="510"/>
        <v>4333.64333333333</v>
      </c>
      <c r="X4549">
        <f t="shared" si="513"/>
        <v>0.429402292596487</v>
      </c>
      <c r="AH4549" t="str">
        <f t="shared" si="511"/>
        <v>3rd Quality</v>
      </c>
      <c r="AJ4549">
        <f>((T4549-X4549)*2)/20.2</f>
        <v>26.1498791609491</v>
      </c>
      <c r="AK4549">
        <f t="shared" si="516"/>
        <v>154493.218181818</v>
      </c>
    </row>
    <row r="4550" spans="1:37">
      <c r="A4550" t="s">
        <v>4616</v>
      </c>
      <c r="B4550">
        <v>25</v>
      </c>
      <c r="C4550" t="s">
        <v>44</v>
      </c>
      <c r="D4550" t="s">
        <v>51</v>
      </c>
      <c r="E4550">
        <v>648</v>
      </c>
      <c r="F4550">
        <v>117</v>
      </c>
      <c r="G4550">
        <v>3</v>
      </c>
      <c r="H4550">
        <v>833.56</v>
      </c>
      <c r="I4550">
        <v>2618.73</v>
      </c>
      <c r="J4550">
        <v>24</v>
      </c>
      <c r="K4550">
        <v>0</v>
      </c>
      <c r="L4550">
        <v>31.5</v>
      </c>
      <c r="M4550">
        <v>20.5</v>
      </c>
      <c r="N4550" t="s">
        <v>46</v>
      </c>
      <c r="O4550" t="s">
        <v>53</v>
      </c>
      <c r="P4550" t="s">
        <v>58</v>
      </c>
      <c r="R4550">
        <f>SUMIF(A4550:A9549,"C04549",I4550:I9549)</f>
        <v>2618.73</v>
      </c>
      <c r="S4550" s="1">
        <v>7223.25</v>
      </c>
      <c r="T4550">
        <f t="shared" si="514"/>
        <v>109.11375</v>
      </c>
      <c r="U4550">
        <f t="shared" si="512"/>
        <v>492</v>
      </c>
      <c r="V4550">
        <f t="shared" si="515"/>
        <v>41</v>
      </c>
      <c r="W4550">
        <f t="shared" si="510"/>
        <v>1151.09666666667</v>
      </c>
      <c r="X4550">
        <f t="shared" si="513"/>
        <v>0.777388550314315</v>
      </c>
      <c r="AH4550" t="str">
        <f t="shared" si="511"/>
        <v>3rd Quality</v>
      </c>
      <c r="AJ4550">
        <f>((T4550-X4550)*2)/31.5</f>
        <v>6.87849913966258</v>
      </c>
      <c r="AK4550">
        <f t="shared" si="516"/>
        <v>70705.71</v>
      </c>
    </row>
    <row r="4551" spans="1:37">
      <c r="A4551" t="s">
        <v>4617</v>
      </c>
      <c r="B4551">
        <v>27</v>
      </c>
      <c r="C4551" t="s">
        <v>50</v>
      </c>
      <c r="D4551" t="s">
        <v>60</v>
      </c>
      <c r="E4551">
        <v>583</v>
      </c>
      <c r="F4551">
        <v>47</v>
      </c>
      <c r="G4551">
        <v>11</v>
      </c>
      <c r="H4551">
        <v>1885.05</v>
      </c>
      <c r="I4551">
        <v>22177.41</v>
      </c>
      <c r="J4551">
        <v>76</v>
      </c>
      <c r="K4551">
        <v>4</v>
      </c>
      <c r="L4551">
        <v>27</v>
      </c>
      <c r="M4551">
        <v>48.4</v>
      </c>
      <c r="N4551" t="s">
        <v>52</v>
      </c>
      <c r="O4551" t="s">
        <v>53</v>
      </c>
      <c r="P4551" t="s">
        <v>48</v>
      </c>
      <c r="R4551">
        <f>SUMIF(A4551:A9550,"C04550",I4551:I9550)</f>
        <v>22177.41</v>
      </c>
      <c r="S4551" s="1">
        <v>47878.52</v>
      </c>
      <c r="T4551">
        <f t="shared" si="514"/>
        <v>291.808026315789</v>
      </c>
      <c r="U4551">
        <f t="shared" si="512"/>
        <v>3678.4</v>
      </c>
      <c r="V4551">
        <f>U4551*4</f>
        <v>14713.6</v>
      </c>
      <c r="W4551">
        <f t="shared" si="510"/>
        <v>8021.15333333333</v>
      </c>
      <c r="X4551">
        <f t="shared" si="513"/>
        <v>0.309275616031405</v>
      </c>
      <c r="AH4551" t="str">
        <f t="shared" si="511"/>
        <v>2nd Quality</v>
      </c>
      <c r="AJ4551">
        <f>((T4551-X4551)*2)/27</f>
        <v>21.5925000518339</v>
      </c>
      <c r="AK4551">
        <f t="shared" si="516"/>
        <v>170124.079342105</v>
      </c>
    </row>
    <row r="4552" spans="1:37">
      <c r="A4552" t="s">
        <v>4618</v>
      </c>
      <c r="B4552">
        <v>36</v>
      </c>
      <c r="C4552" t="s">
        <v>44</v>
      </c>
      <c r="D4552" t="s">
        <v>45</v>
      </c>
      <c r="E4552">
        <v>916</v>
      </c>
      <c r="F4552">
        <v>28</v>
      </c>
      <c r="G4552">
        <v>30</v>
      </c>
      <c r="H4552">
        <v>2480.02</v>
      </c>
      <c r="I4552">
        <v>80305.54</v>
      </c>
      <c r="J4552">
        <v>130</v>
      </c>
      <c r="K4552">
        <v>0</v>
      </c>
      <c r="L4552">
        <v>7.9</v>
      </c>
      <c r="M4552">
        <v>58.5</v>
      </c>
      <c r="N4552" t="s">
        <v>81</v>
      </c>
      <c r="O4552" t="s">
        <v>47</v>
      </c>
      <c r="P4552" t="s">
        <v>58</v>
      </c>
      <c r="R4552">
        <f>SUMIF(A4552:A9551,"C04551",I4552:I9551)</f>
        <v>80305.54</v>
      </c>
      <c r="S4552" s="1">
        <v>2889.15</v>
      </c>
      <c r="T4552">
        <f t="shared" si="514"/>
        <v>617.734923076923</v>
      </c>
      <c r="U4552">
        <f t="shared" si="512"/>
        <v>7605</v>
      </c>
      <c r="V4552">
        <f t="shared" si="515"/>
        <v>633.75</v>
      </c>
      <c r="W4552">
        <f t="shared" si="510"/>
        <v>27595.52</v>
      </c>
      <c r="X4552">
        <f t="shared" si="513"/>
        <v>0.369351860065645</v>
      </c>
      <c r="AH4552" t="str">
        <f t="shared" si="511"/>
        <v>2nd Quality</v>
      </c>
      <c r="AJ4552">
        <f>((T4552-X4552)*2)/7.9</f>
        <v>156.295081320723</v>
      </c>
      <c r="AK4552">
        <f t="shared" si="516"/>
        <v>565845.189538462</v>
      </c>
    </row>
    <row r="4553" spans="1:37">
      <c r="A4553" t="s">
        <v>4619</v>
      </c>
      <c r="B4553">
        <v>22</v>
      </c>
      <c r="C4553" t="s">
        <v>44</v>
      </c>
      <c r="D4553" t="s">
        <v>45</v>
      </c>
      <c r="E4553">
        <v>639</v>
      </c>
      <c r="F4553">
        <v>104</v>
      </c>
      <c r="G4553">
        <v>3</v>
      </c>
      <c r="H4553">
        <v>2732.88</v>
      </c>
      <c r="I4553">
        <v>7223.25</v>
      </c>
      <c r="J4553">
        <v>28</v>
      </c>
      <c r="K4553">
        <v>0</v>
      </c>
      <c r="L4553">
        <v>28.1</v>
      </c>
      <c r="M4553">
        <v>29.4</v>
      </c>
      <c r="N4553" t="s">
        <v>78</v>
      </c>
      <c r="O4553" t="s">
        <v>47</v>
      </c>
      <c r="P4553" t="s">
        <v>66</v>
      </c>
      <c r="R4553">
        <f>SUMIF(A4553:A9552,"C04552",I4553:I9552)</f>
        <v>7223.25</v>
      </c>
      <c r="S4553" s="1">
        <v>13379.14</v>
      </c>
      <c r="T4553">
        <f t="shared" si="514"/>
        <v>257.973214285714</v>
      </c>
      <c r="U4553">
        <f t="shared" si="512"/>
        <v>823.2</v>
      </c>
      <c r="V4553">
        <f t="shared" si="515"/>
        <v>68.6</v>
      </c>
      <c r="W4553">
        <f t="shared" ref="W4553:W4616" si="517">(H4553+I4553+1)/3</f>
        <v>3319.04333333333</v>
      </c>
      <c r="X4553">
        <f t="shared" si="513"/>
        <v>0.233819267585844</v>
      </c>
      <c r="AH4553" t="str">
        <f t="shared" si="511"/>
        <v>3rd Quality</v>
      </c>
      <c r="AJ4553">
        <f>((T4553-X4553)*2)/28.1</f>
        <v>18.3444409265572</v>
      </c>
      <c r="AK4553">
        <f t="shared" si="516"/>
        <v>164844.883928571</v>
      </c>
    </row>
    <row r="4554" spans="1:37">
      <c r="A4554" t="s">
        <v>4620</v>
      </c>
      <c r="B4554">
        <v>20</v>
      </c>
      <c r="C4554" t="s">
        <v>50</v>
      </c>
      <c r="D4554" t="s">
        <v>51</v>
      </c>
      <c r="E4554">
        <v>449</v>
      </c>
      <c r="F4554">
        <v>19</v>
      </c>
      <c r="G4554">
        <v>27</v>
      </c>
      <c r="H4554">
        <v>1892.61</v>
      </c>
      <c r="I4554">
        <v>47878.52</v>
      </c>
      <c r="J4554">
        <v>85</v>
      </c>
      <c r="K4554">
        <v>0</v>
      </c>
      <c r="L4554">
        <v>20</v>
      </c>
      <c r="M4554">
        <v>34.6</v>
      </c>
      <c r="N4554" t="s">
        <v>81</v>
      </c>
      <c r="O4554" t="s">
        <v>47</v>
      </c>
      <c r="P4554" t="s">
        <v>58</v>
      </c>
      <c r="R4554">
        <f>SUMIF(A4554:A9553,"C04553",I4554:I9553)</f>
        <v>47878.52</v>
      </c>
      <c r="S4554" s="1">
        <v>5682.63</v>
      </c>
      <c r="T4554">
        <f t="shared" si="514"/>
        <v>563.276705882353</v>
      </c>
      <c r="U4554">
        <f t="shared" si="512"/>
        <v>2941</v>
      </c>
      <c r="V4554">
        <f t="shared" si="515"/>
        <v>245.083333333333</v>
      </c>
      <c r="W4554">
        <f t="shared" si="517"/>
        <v>16590.71</v>
      </c>
      <c r="X4554">
        <f t="shared" si="513"/>
        <v>0.237238522463688</v>
      </c>
      <c r="AH4554" t="str">
        <f t="shared" si="511"/>
        <v>3rd Quality</v>
      </c>
      <c r="AJ4554">
        <f>((T4554-X4554)*2)/20</f>
        <v>56.3039467359889</v>
      </c>
      <c r="AK4554">
        <f t="shared" si="516"/>
        <v>252911.240941176</v>
      </c>
    </row>
    <row r="4555" spans="1:37">
      <c r="A4555" t="s">
        <v>4621</v>
      </c>
      <c r="B4555">
        <v>29</v>
      </c>
      <c r="C4555" t="s">
        <v>50</v>
      </c>
      <c r="D4555" t="s">
        <v>45</v>
      </c>
      <c r="E4555">
        <v>1231</v>
      </c>
      <c r="F4555">
        <v>95</v>
      </c>
      <c r="G4555">
        <v>3</v>
      </c>
      <c r="H4555">
        <v>928.67</v>
      </c>
      <c r="I4555">
        <v>2889.15</v>
      </c>
      <c r="J4555">
        <v>15</v>
      </c>
      <c r="K4555">
        <v>0</v>
      </c>
      <c r="L4555">
        <v>34.2</v>
      </c>
      <c r="M4555">
        <v>15.8</v>
      </c>
      <c r="N4555" t="s">
        <v>61</v>
      </c>
      <c r="O4555" t="s">
        <v>75</v>
      </c>
      <c r="P4555" t="s">
        <v>58</v>
      </c>
      <c r="R4555">
        <f>SUMIF(A4555:A9554,"C04554",I4555:I9554)</f>
        <v>2889.15</v>
      </c>
      <c r="S4555" s="1">
        <v>625.83</v>
      </c>
      <c r="T4555">
        <f t="shared" si="514"/>
        <v>192.61</v>
      </c>
      <c r="U4555">
        <f t="shared" si="512"/>
        <v>237</v>
      </c>
      <c r="V4555">
        <f t="shared" si="515"/>
        <v>19.75</v>
      </c>
      <c r="W4555">
        <f t="shared" si="517"/>
        <v>1272.94</v>
      </c>
      <c r="X4555">
        <f t="shared" si="513"/>
        <v>1.32555159529219</v>
      </c>
      <c r="AH4555" t="str">
        <f t="shared" si="511"/>
        <v>3rd Quality</v>
      </c>
      <c r="AJ4555">
        <f>((T4555-X4555)*2)/34.2</f>
        <v>11.1862250529069</v>
      </c>
      <c r="AK4555">
        <f t="shared" si="516"/>
        <v>237102.91</v>
      </c>
    </row>
    <row r="4556" spans="1:37">
      <c r="A4556" t="s">
        <v>4622</v>
      </c>
      <c r="B4556">
        <v>23</v>
      </c>
      <c r="C4556" t="s">
        <v>44</v>
      </c>
      <c r="D4556" t="s">
        <v>60</v>
      </c>
      <c r="E4556">
        <v>743</v>
      </c>
      <c r="F4556">
        <v>101</v>
      </c>
      <c r="G4556">
        <v>9</v>
      </c>
      <c r="H4556">
        <v>1506.01</v>
      </c>
      <c r="I4556">
        <v>13379.14</v>
      </c>
      <c r="J4556">
        <v>49</v>
      </c>
      <c r="K4556">
        <v>0</v>
      </c>
      <c r="L4556">
        <v>24.7</v>
      </c>
      <c r="M4556">
        <v>27.7</v>
      </c>
      <c r="N4556" t="s">
        <v>46</v>
      </c>
      <c r="O4556" t="s">
        <v>47</v>
      </c>
      <c r="P4556" t="s">
        <v>66</v>
      </c>
      <c r="R4556">
        <f>SUMIF(A4556:A9555,"C04555",I4556:I9555)</f>
        <v>13379.14</v>
      </c>
      <c r="S4556" s="1">
        <v>3092.81</v>
      </c>
      <c r="T4556">
        <f t="shared" si="514"/>
        <v>273.043673469388</v>
      </c>
      <c r="U4556">
        <f t="shared" si="512"/>
        <v>1357.3</v>
      </c>
      <c r="V4556">
        <f t="shared" si="515"/>
        <v>113.108333333333</v>
      </c>
      <c r="W4556">
        <f t="shared" si="517"/>
        <v>4962.05</v>
      </c>
      <c r="X4556">
        <f t="shared" si="513"/>
        <v>0.493356617817943</v>
      </c>
      <c r="AH4556" t="str">
        <f t="shared" si="511"/>
        <v>3rd Quality</v>
      </c>
      <c r="AJ4556">
        <f>((T4556-X4556)*2)/24.7</f>
        <v>22.0688515669288</v>
      </c>
      <c r="AK4556">
        <f t="shared" si="516"/>
        <v>202871.449387755</v>
      </c>
    </row>
    <row r="4557" spans="1:37">
      <c r="A4557" t="s">
        <v>4623</v>
      </c>
      <c r="B4557">
        <v>29</v>
      </c>
      <c r="C4557" t="s">
        <v>44</v>
      </c>
      <c r="D4557" t="s">
        <v>60</v>
      </c>
      <c r="E4557">
        <v>639</v>
      </c>
      <c r="F4557">
        <v>153</v>
      </c>
      <c r="G4557">
        <v>6</v>
      </c>
      <c r="H4557">
        <v>1042.85</v>
      </c>
      <c r="I4557">
        <v>5682.63</v>
      </c>
      <c r="J4557">
        <v>43</v>
      </c>
      <c r="K4557">
        <v>0</v>
      </c>
      <c r="L4557">
        <v>26.6</v>
      </c>
      <c r="M4557">
        <v>41.5</v>
      </c>
      <c r="N4557" t="s">
        <v>61</v>
      </c>
      <c r="O4557" t="s">
        <v>47</v>
      </c>
      <c r="P4557" t="s">
        <v>66</v>
      </c>
      <c r="R4557">
        <f>SUMIF(A4557:A9556,"C04556",I4557:I9556)</f>
        <v>5682.63</v>
      </c>
      <c r="S4557" s="1">
        <v>72753.16</v>
      </c>
      <c r="T4557">
        <f t="shared" si="514"/>
        <v>132.154186046512</v>
      </c>
      <c r="U4557">
        <f t="shared" si="512"/>
        <v>1784.5</v>
      </c>
      <c r="V4557">
        <f t="shared" si="515"/>
        <v>148.708333333333</v>
      </c>
      <c r="W4557">
        <f t="shared" si="517"/>
        <v>2242.16</v>
      </c>
      <c r="X4557">
        <f t="shared" si="513"/>
        <v>0.612743922903582</v>
      </c>
      <c r="AH4557" t="str">
        <f t="shared" si="511"/>
        <v>3rd Quality</v>
      </c>
      <c r="AJ4557">
        <f>((T4557-X4557)*2)/26.6</f>
        <v>9.89033399425627</v>
      </c>
      <c r="AK4557">
        <f t="shared" si="516"/>
        <v>84446.5248837209</v>
      </c>
    </row>
    <row r="4558" spans="1:37">
      <c r="A4558" t="s">
        <v>4624</v>
      </c>
      <c r="B4558">
        <v>34</v>
      </c>
      <c r="C4558" t="s">
        <v>50</v>
      </c>
      <c r="D4558" t="s">
        <v>51</v>
      </c>
      <c r="E4558">
        <v>526</v>
      </c>
      <c r="F4558">
        <v>119</v>
      </c>
      <c r="G4558">
        <v>1</v>
      </c>
      <c r="H4558">
        <v>698.82</v>
      </c>
      <c r="I4558">
        <v>625.83</v>
      </c>
      <c r="J4558">
        <v>16</v>
      </c>
      <c r="K4558">
        <v>0</v>
      </c>
      <c r="L4558">
        <v>33.7</v>
      </c>
      <c r="M4558">
        <v>26.6</v>
      </c>
      <c r="N4558" t="s">
        <v>61</v>
      </c>
      <c r="O4558" t="s">
        <v>47</v>
      </c>
      <c r="P4558" t="s">
        <v>68</v>
      </c>
      <c r="R4558">
        <f>SUMIF(A4558:A9557,"C04557",I4558:I9557)</f>
        <v>625.83</v>
      </c>
      <c r="S4558" s="1">
        <v>4970.34</v>
      </c>
      <c r="T4558">
        <f t="shared" si="514"/>
        <v>39.114375</v>
      </c>
      <c r="U4558">
        <f t="shared" si="512"/>
        <v>425.6</v>
      </c>
      <c r="V4558">
        <f t="shared" si="515"/>
        <v>35.4666666666667</v>
      </c>
      <c r="W4558">
        <f t="shared" si="517"/>
        <v>441.883333333333</v>
      </c>
      <c r="X4558">
        <f t="shared" si="513"/>
        <v>0.752697404195644</v>
      </c>
      <c r="AH4558" t="str">
        <f t="shared" ref="AH4558:AH4621" si="518">IF(AND(W4558&gt;=12550,B4558&lt;=33,E4558&gt;=915),"1st Quality",IF(AND(W4558&gt;=6275,B4558&lt;=43,E4558&gt;=457),"2nd Quality","3rd Quality"))</f>
        <v>3rd Quality</v>
      </c>
      <c r="AJ4558">
        <f>((T4558-X4558)*2)/33.7</f>
        <v>2.27665742408334</v>
      </c>
      <c r="AK4558">
        <f t="shared" si="516"/>
        <v>20574.16125</v>
      </c>
    </row>
    <row r="4559" spans="1:37">
      <c r="A4559" t="s">
        <v>4625</v>
      </c>
      <c r="B4559">
        <v>49</v>
      </c>
      <c r="C4559" t="s">
        <v>44</v>
      </c>
      <c r="D4559" t="s">
        <v>45</v>
      </c>
      <c r="E4559">
        <v>1264</v>
      </c>
      <c r="F4559">
        <v>61</v>
      </c>
      <c r="G4559">
        <v>3</v>
      </c>
      <c r="H4559">
        <v>931.79</v>
      </c>
      <c r="I4559">
        <v>3092.81</v>
      </c>
      <c r="J4559">
        <v>35</v>
      </c>
      <c r="K4559">
        <v>0</v>
      </c>
      <c r="L4559">
        <v>31.5</v>
      </c>
      <c r="M4559">
        <v>8.8</v>
      </c>
      <c r="N4559" t="s">
        <v>81</v>
      </c>
      <c r="O4559" t="s">
        <v>47</v>
      </c>
      <c r="P4559" t="s">
        <v>58</v>
      </c>
      <c r="R4559">
        <f>SUMIF(A4559:A9558,"C04558",I4559:I9558)</f>
        <v>3092.81</v>
      </c>
      <c r="S4559" s="1">
        <v>2760.25</v>
      </c>
      <c r="T4559">
        <f t="shared" si="514"/>
        <v>88.366</v>
      </c>
      <c r="U4559">
        <f t="shared" si="512"/>
        <v>308</v>
      </c>
      <c r="V4559">
        <f t="shared" si="515"/>
        <v>25.6666666666667</v>
      </c>
      <c r="W4559">
        <f t="shared" si="517"/>
        <v>1341.86666666667</v>
      </c>
      <c r="X4559">
        <f t="shared" si="513"/>
        <v>1.35652883160369</v>
      </c>
      <c r="AH4559" t="str">
        <f t="shared" si="518"/>
        <v>3rd Quality</v>
      </c>
      <c r="AJ4559">
        <f>((T4559-X4559)*2)/31.5</f>
        <v>5.52441086783469</v>
      </c>
      <c r="AK4559">
        <f t="shared" si="516"/>
        <v>111694.624</v>
      </c>
    </row>
    <row r="4560" spans="1:37">
      <c r="A4560" t="s">
        <v>4626</v>
      </c>
      <c r="B4560">
        <v>39</v>
      </c>
      <c r="C4560" t="s">
        <v>44</v>
      </c>
      <c r="D4560" t="s">
        <v>60</v>
      </c>
      <c r="E4560">
        <v>1026</v>
      </c>
      <c r="F4560">
        <v>29</v>
      </c>
      <c r="G4560">
        <v>26</v>
      </c>
      <c r="H4560">
        <v>2582.25</v>
      </c>
      <c r="I4560">
        <v>72753.16</v>
      </c>
      <c r="J4560">
        <v>113</v>
      </c>
      <c r="K4560">
        <v>3</v>
      </c>
      <c r="L4560">
        <v>11.2</v>
      </c>
      <c r="M4560">
        <v>13.6</v>
      </c>
      <c r="N4560" t="s">
        <v>57</v>
      </c>
      <c r="O4560" t="s">
        <v>47</v>
      </c>
      <c r="P4560" t="s">
        <v>58</v>
      </c>
      <c r="R4560">
        <f>SUMIF(A4560:A9559,"C04559",I4560:I9559)</f>
        <v>72753.16</v>
      </c>
      <c r="S4560" s="1">
        <v>9343.75</v>
      </c>
      <c r="T4560">
        <f t="shared" si="514"/>
        <v>643.833274336283</v>
      </c>
      <c r="U4560">
        <f t="shared" si="512"/>
        <v>1536.8</v>
      </c>
      <c r="V4560">
        <f>U4560*3</f>
        <v>4610.4</v>
      </c>
      <c r="W4560">
        <f t="shared" si="517"/>
        <v>25112.1366666667</v>
      </c>
      <c r="X4560">
        <f t="shared" si="513"/>
        <v>0.397327911704908</v>
      </c>
      <c r="AH4560" t="str">
        <f t="shared" si="518"/>
        <v>2nd Quality</v>
      </c>
      <c r="AJ4560">
        <f>((T4560-X4560)*2)/11.2</f>
        <v>114.899276147246</v>
      </c>
      <c r="AK4560">
        <f t="shared" si="516"/>
        <v>660572.939469027</v>
      </c>
    </row>
    <row r="4561" spans="1:37">
      <c r="A4561" t="s">
        <v>4627</v>
      </c>
      <c r="B4561">
        <v>35</v>
      </c>
      <c r="C4561" t="s">
        <v>50</v>
      </c>
      <c r="D4561" t="s">
        <v>45</v>
      </c>
      <c r="E4561">
        <v>722</v>
      </c>
      <c r="F4561">
        <v>198</v>
      </c>
      <c r="G4561">
        <v>3</v>
      </c>
      <c r="H4561">
        <v>1732</v>
      </c>
      <c r="I4561">
        <v>4970.34</v>
      </c>
      <c r="J4561">
        <v>13</v>
      </c>
      <c r="K4561">
        <v>0</v>
      </c>
      <c r="L4561">
        <v>34</v>
      </c>
      <c r="M4561">
        <v>23</v>
      </c>
      <c r="N4561" t="s">
        <v>61</v>
      </c>
      <c r="O4561" t="s">
        <v>47</v>
      </c>
      <c r="P4561" t="s">
        <v>58</v>
      </c>
      <c r="R4561">
        <f>SUMIF(A4561:A9560,"C04560",I4561:I9560)</f>
        <v>4970.34</v>
      </c>
      <c r="S4561" s="1">
        <v>10530.22</v>
      </c>
      <c r="T4561">
        <f t="shared" si="514"/>
        <v>382.333846153846</v>
      </c>
      <c r="U4561">
        <f t="shared" si="512"/>
        <v>299</v>
      </c>
      <c r="V4561">
        <f t="shared" si="515"/>
        <v>24.9166666666667</v>
      </c>
      <c r="W4561">
        <f t="shared" si="517"/>
        <v>2234.44666666667</v>
      </c>
      <c r="X4561">
        <f t="shared" si="513"/>
        <v>0.416859122401848</v>
      </c>
      <c r="AH4561" t="str">
        <f t="shared" si="518"/>
        <v>3rd Quality</v>
      </c>
      <c r="AJ4561">
        <f>((T4561-X4561)*2)/34</f>
        <v>22.4657051194967</v>
      </c>
      <c r="AK4561">
        <f t="shared" si="516"/>
        <v>276045.036923077</v>
      </c>
    </row>
    <row r="4562" spans="1:37">
      <c r="A4562" t="s">
        <v>4628</v>
      </c>
      <c r="B4562">
        <v>19</v>
      </c>
      <c r="C4562" t="s">
        <v>101</v>
      </c>
      <c r="D4562" t="s">
        <v>45</v>
      </c>
      <c r="E4562">
        <v>1273</v>
      </c>
      <c r="F4562">
        <v>129</v>
      </c>
      <c r="G4562">
        <v>2</v>
      </c>
      <c r="H4562">
        <v>1335.48</v>
      </c>
      <c r="I4562">
        <v>2760.25</v>
      </c>
      <c r="J4562">
        <v>14</v>
      </c>
      <c r="K4562">
        <v>0</v>
      </c>
      <c r="L4562">
        <v>19.3</v>
      </c>
      <c r="M4562">
        <v>38</v>
      </c>
      <c r="N4562" t="s">
        <v>81</v>
      </c>
      <c r="O4562" t="s">
        <v>47</v>
      </c>
      <c r="P4562" t="s">
        <v>66</v>
      </c>
      <c r="R4562">
        <f>SUMIF(A4562:A9561,"C04561",I4562:I9561)</f>
        <v>2760.25</v>
      </c>
      <c r="S4562" s="1">
        <v>3612.49</v>
      </c>
      <c r="T4562">
        <f t="shared" si="514"/>
        <v>197.160714285714</v>
      </c>
      <c r="U4562">
        <f t="shared" si="512"/>
        <v>532</v>
      </c>
      <c r="V4562">
        <f t="shared" si="515"/>
        <v>44.3333333333333</v>
      </c>
      <c r="W4562">
        <f t="shared" si="517"/>
        <v>1365.57666666667</v>
      </c>
      <c r="X4562">
        <f t="shared" si="513"/>
        <v>0.95321532332944</v>
      </c>
      <c r="AH4562" t="str">
        <f t="shared" si="518"/>
        <v>3rd Quality</v>
      </c>
      <c r="AJ4562">
        <f>((T4562-X4562)*2)/19.3</f>
        <v>20.3323833121642</v>
      </c>
      <c r="AK4562">
        <f t="shared" si="516"/>
        <v>250985.589285714</v>
      </c>
    </row>
    <row r="4563" spans="1:37">
      <c r="A4563" t="s">
        <v>4629</v>
      </c>
      <c r="B4563">
        <v>18</v>
      </c>
      <c r="C4563" t="s">
        <v>44</v>
      </c>
      <c r="D4563" t="s">
        <v>60</v>
      </c>
      <c r="E4563">
        <v>700</v>
      </c>
      <c r="F4563">
        <v>10</v>
      </c>
      <c r="G4563">
        <v>8</v>
      </c>
      <c r="H4563">
        <v>1276.16</v>
      </c>
      <c r="I4563">
        <v>9343.75</v>
      </c>
      <c r="J4563">
        <v>62</v>
      </c>
      <c r="K4563">
        <v>0</v>
      </c>
      <c r="L4563">
        <v>11.4</v>
      </c>
      <c r="M4563">
        <v>7.4</v>
      </c>
      <c r="N4563" t="s">
        <v>63</v>
      </c>
      <c r="O4563" t="s">
        <v>47</v>
      </c>
      <c r="P4563" t="s">
        <v>58</v>
      </c>
      <c r="R4563">
        <f>SUMIF(A4563:A9562,"C04562",I4563:I9562)</f>
        <v>9343.75</v>
      </c>
      <c r="S4563" s="1">
        <v>42728.34</v>
      </c>
      <c r="T4563">
        <f t="shared" si="514"/>
        <v>150.70564516129</v>
      </c>
      <c r="U4563">
        <f t="shared" si="512"/>
        <v>458.8</v>
      </c>
      <c r="V4563">
        <f t="shared" si="515"/>
        <v>38.2333333333333</v>
      </c>
      <c r="W4563">
        <f t="shared" si="517"/>
        <v>3540.30333333333</v>
      </c>
      <c r="X4563">
        <f t="shared" si="513"/>
        <v>0.548520561685055</v>
      </c>
      <c r="AH4563" t="str">
        <f t="shared" si="518"/>
        <v>3rd Quality</v>
      </c>
      <c r="AJ4563">
        <f>((T4563-X4563)*2)/11.4</f>
        <v>26.3433551929131</v>
      </c>
      <c r="AK4563">
        <f t="shared" si="516"/>
        <v>105493.951612903</v>
      </c>
    </row>
    <row r="4564" spans="1:37">
      <c r="A4564" t="s">
        <v>4630</v>
      </c>
      <c r="B4564">
        <v>29</v>
      </c>
      <c r="C4564" t="s">
        <v>101</v>
      </c>
      <c r="D4564" t="s">
        <v>45</v>
      </c>
      <c r="E4564">
        <v>642</v>
      </c>
      <c r="F4564">
        <v>31</v>
      </c>
      <c r="G4564">
        <v>11</v>
      </c>
      <c r="H4564">
        <v>1049.21</v>
      </c>
      <c r="I4564">
        <v>10530.22</v>
      </c>
      <c r="J4564">
        <v>97</v>
      </c>
      <c r="K4564">
        <v>0</v>
      </c>
      <c r="L4564">
        <v>22.4</v>
      </c>
      <c r="M4564">
        <v>18.3</v>
      </c>
      <c r="N4564" t="s">
        <v>46</v>
      </c>
      <c r="O4564" t="s">
        <v>47</v>
      </c>
      <c r="P4564" t="s">
        <v>48</v>
      </c>
      <c r="R4564">
        <f>SUMIF(A4564:A9563,"C04563",I4564:I9563)</f>
        <v>10530.22</v>
      </c>
      <c r="S4564" s="1">
        <v>2447.14</v>
      </c>
      <c r="T4564">
        <f t="shared" si="514"/>
        <v>108.558969072165</v>
      </c>
      <c r="U4564">
        <f t="shared" si="512"/>
        <v>1775.1</v>
      </c>
      <c r="V4564">
        <f t="shared" si="515"/>
        <v>147.925</v>
      </c>
      <c r="W4564">
        <f t="shared" si="517"/>
        <v>3860.14333333333</v>
      </c>
      <c r="X4564">
        <f t="shared" si="513"/>
        <v>0.611888945015774</v>
      </c>
      <c r="AH4564" t="str">
        <f t="shared" si="518"/>
        <v>3rd Quality</v>
      </c>
      <c r="AJ4564">
        <f>((T4564-X4564)*2)/22.4</f>
        <v>9.63813215420975</v>
      </c>
      <c r="AK4564">
        <f t="shared" si="516"/>
        <v>69694.8581443299</v>
      </c>
    </row>
    <row r="4565" spans="1:37">
      <c r="A4565" t="s">
        <v>4631</v>
      </c>
      <c r="B4565">
        <v>41</v>
      </c>
      <c r="C4565" t="s">
        <v>44</v>
      </c>
      <c r="D4565" t="s">
        <v>60</v>
      </c>
      <c r="E4565">
        <v>782</v>
      </c>
      <c r="F4565">
        <v>47</v>
      </c>
      <c r="G4565">
        <v>6</v>
      </c>
      <c r="H4565">
        <v>627.12</v>
      </c>
      <c r="I4565">
        <v>3612.49</v>
      </c>
      <c r="J4565">
        <v>39</v>
      </c>
      <c r="K4565">
        <v>0</v>
      </c>
      <c r="L4565">
        <v>21.2</v>
      </c>
      <c r="M4565">
        <v>10.8</v>
      </c>
      <c r="N4565" t="s">
        <v>61</v>
      </c>
      <c r="O4565" t="s">
        <v>53</v>
      </c>
      <c r="P4565" t="s">
        <v>58</v>
      </c>
      <c r="R4565">
        <f>SUMIF(A4565:A9564,"C04564",I4565:I9564)</f>
        <v>3612.49</v>
      </c>
      <c r="S4565" s="1">
        <v>1166.2</v>
      </c>
      <c r="T4565">
        <f t="shared" si="514"/>
        <v>92.6279487179487</v>
      </c>
      <c r="U4565">
        <f t="shared" si="512"/>
        <v>421.2</v>
      </c>
      <c r="V4565">
        <f t="shared" si="515"/>
        <v>35.1</v>
      </c>
      <c r="W4565">
        <f t="shared" si="517"/>
        <v>1413.53666666667</v>
      </c>
      <c r="X4565">
        <f t="shared" si="513"/>
        <v>1.24697027682102</v>
      </c>
      <c r="AH4565" t="str">
        <f t="shared" si="518"/>
        <v>3rd Quality</v>
      </c>
      <c r="AJ4565">
        <f>((T4565-X4565)*2)/21.2</f>
        <v>8.6208470227479</v>
      </c>
      <c r="AK4565">
        <f t="shared" si="516"/>
        <v>72435.0558974359</v>
      </c>
    </row>
    <row r="4566" spans="1:37">
      <c r="A4566" t="s">
        <v>4632</v>
      </c>
      <c r="B4566">
        <v>53</v>
      </c>
      <c r="C4566" t="s">
        <v>44</v>
      </c>
      <c r="D4566" t="s">
        <v>45</v>
      </c>
      <c r="E4566">
        <v>412</v>
      </c>
      <c r="F4566">
        <v>9</v>
      </c>
      <c r="G4566">
        <v>24</v>
      </c>
      <c r="H4566">
        <v>1879</v>
      </c>
      <c r="I4566">
        <v>42728.34</v>
      </c>
      <c r="J4566">
        <v>78</v>
      </c>
      <c r="K4566">
        <v>0</v>
      </c>
      <c r="L4566">
        <v>13.4</v>
      </c>
      <c r="M4566">
        <v>32</v>
      </c>
      <c r="N4566" t="s">
        <v>57</v>
      </c>
      <c r="O4566" t="s">
        <v>47</v>
      </c>
      <c r="P4566" t="s">
        <v>66</v>
      </c>
      <c r="R4566">
        <f>SUMIF(A4566:A9565,"C04565",I4566:I9565)</f>
        <v>42728.34</v>
      </c>
      <c r="S4566" s="1">
        <v>54982.37</v>
      </c>
      <c r="T4566">
        <f t="shared" si="514"/>
        <v>547.799230769231</v>
      </c>
      <c r="U4566">
        <f t="shared" si="512"/>
        <v>2496</v>
      </c>
      <c r="V4566">
        <f t="shared" si="515"/>
        <v>208</v>
      </c>
      <c r="W4566">
        <f t="shared" si="517"/>
        <v>14869.4466666667</v>
      </c>
      <c r="X4566">
        <f t="shared" si="513"/>
        <v>0.219265566790846</v>
      </c>
      <c r="AH4566" t="str">
        <f t="shared" si="518"/>
        <v>3rd Quality</v>
      </c>
      <c r="AJ4566">
        <f>((T4566-X4566)*2)/13.4</f>
        <v>81.7283530152896</v>
      </c>
      <c r="AK4566">
        <f t="shared" si="516"/>
        <v>225693.283076923</v>
      </c>
    </row>
    <row r="4567" spans="1:37">
      <c r="A4567" t="s">
        <v>4633</v>
      </c>
      <c r="B4567">
        <v>36</v>
      </c>
      <c r="C4567" t="s">
        <v>44</v>
      </c>
      <c r="D4567" t="s">
        <v>60</v>
      </c>
      <c r="E4567">
        <v>858</v>
      </c>
      <c r="F4567">
        <v>168</v>
      </c>
      <c r="G4567">
        <v>2</v>
      </c>
      <c r="H4567">
        <v>1097.32</v>
      </c>
      <c r="I4567">
        <v>2447.14</v>
      </c>
      <c r="J4567">
        <v>27</v>
      </c>
      <c r="K4567">
        <v>0</v>
      </c>
      <c r="L4567">
        <v>18</v>
      </c>
      <c r="M4567">
        <v>43.5</v>
      </c>
      <c r="N4567" t="s">
        <v>52</v>
      </c>
      <c r="O4567" t="s">
        <v>47</v>
      </c>
      <c r="P4567" t="s">
        <v>66</v>
      </c>
      <c r="R4567">
        <f>SUMIF(A4567:A9566,"C04566",I4567:I9566)</f>
        <v>2447.14</v>
      </c>
      <c r="S4567" s="1">
        <v>42889.09</v>
      </c>
      <c r="T4567">
        <f t="shared" si="514"/>
        <v>90.6348148148148</v>
      </c>
      <c r="U4567">
        <f t="shared" si="512"/>
        <v>1174.5</v>
      </c>
      <c r="V4567">
        <f t="shared" si="515"/>
        <v>97.875</v>
      </c>
      <c r="W4567">
        <f t="shared" si="517"/>
        <v>1181.82</v>
      </c>
      <c r="X4567">
        <f t="shared" si="513"/>
        <v>0.781905004921081</v>
      </c>
      <c r="AH4567" t="str">
        <f t="shared" si="518"/>
        <v>3rd Quality</v>
      </c>
      <c r="AJ4567">
        <f>((T4567-X4567)*2)/18</f>
        <v>9.98365664554375</v>
      </c>
      <c r="AK4567">
        <f t="shared" si="516"/>
        <v>77764.6711111111</v>
      </c>
    </row>
    <row r="4568" spans="1:37">
      <c r="A4568" t="s">
        <v>4634</v>
      </c>
      <c r="B4568">
        <v>51</v>
      </c>
      <c r="C4568" t="s">
        <v>44</v>
      </c>
      <c r="D4568" t="s">
        <v>45</v>
      </c>
      <c r="E4568">
        <v>1189</v>
      </c>
      <c r="F4568">
        <v>198</v>
      </c>
      <c r="G4568">
        <v>2</v>
      </c>
      <c r="H4568">
        <v>658.24</v>
      </c>
      <c r="I4568">
        <v>1166.2</v>
      </c>
      <c r="J4568">
        <v>17</v>
      </c>
      <c r="K4568">
        <v>0</v>
      </c>
      <c r="L4568">
        <v>28.8</v>
      </c>
      <c r="M4568">
        <v>40</v>
      </c>
      <c r="N4568" t="s">
        <v>52</v>
      </c>
      <c r="O4568" t="s">
        <v>75</v>
      </c>
      <c r="P4568" t="s">
        <v>66</v>
      </c>
      <c r="R4568">
        <f>SUMIF(A4568:A9567,"C04567",I4568:I9567)</f>
        <v>1166.2</v>
      </c>
      <c r="S4568" s="1">
        <v>37805.68</v>
      </c>
      <c r="T4568">
        <f t="shared" si="514"/>
        <v>68.6</v>
      </c>
      <c r="U4568">
        <f t="shared" si="512"/>
        <v>680</v>
      </c>
      <c r="V4568">
        <f t="shared" si="515"/>
        <v>56.6666666666667</v>
      </c>
      <c r="W4568">
        <f t="shared" si="517"/>
        <v>608.48</v>
      </c>
      <c r="X4568">
        <f t="shared" si="513"/>
        <v>1.80633203694701</v>
      </c>
      <c r="AH4568" t="str">
        <f t="shared" si="518"/>
        <v>3rd Quality</v>
      </c>
      <c r="AJ4568">
        <f>((T4568-X4568)*2)/28.8</f>
        <v>4.6384491641009</v>
      </c>
      <c r="AK4568">
        <f t="shared" si="516"/>
        <v>81565.4</v>
      </c>
    </row>
    <row r="4569" spans="1:37">
      <c r="A4569" t="s">
        <v>4635</v>
      </c>
      <c r="B4569">
        <v>24</v>
      </c>
      <c r="C4569" t="s">
        <v>50</v>
      </c>
      <c r="D4569" t="s">
        <v>60</v>
      </c>
      <c r="E4569">
        <v>827</v>
      </c>
      <c r="F4569">
        <v>2</v>
      </c>
      <c r="G4569">
        <v>23</v>
      </c>
      <c r="H4569">
        <v>2363.71</v>
      </c>
      <c r="I4569">
        <v>54982.37</v>
      </c>
      <c r="J4569">
        <v>192</v>
      </c>
      <c r="K4569">
        <v>0</v>
      </c>
      <c r="L4569">
        <v>9.4</v>
      </c>
      <c r="M4569">
        <v>7.2</v>
      </c>
      <c r="N4569" t="s">
        <v>78</v>
      </c>
      <c r="O4569" t="s">
        <v>47</v>
      </c>
      <c r="P4569" t="s">
        <v>68</v>
      </c>
      <c r="R4569">
        <f>SUMIF(A4569:A9568,"C04568",I4569:I9568)</f>
        <v>54982.37</v>
      </c>
      <c r="S4569" s="1">
        <v>17923.25</v>
      </c>
      <c r="T4569">
        <f t="shared" si="514"/>
        <v>286.366510416667</v>
      </c>
      <c r="U4569">
        <f t="shared" si="512"/>
        <v>1382.4</v>
      </c>
      <c r="V4569">
        <f t="shared" si="515"/>
        <v>115.2</v>
      </c>
      <c r="W4569">
        <f t="shared" si="517"/>
        <v>19115.6933333333</v>
      </c>
      <c r="X4569">
        <f t="shared" si="513"/>
        <v>0.34987371547271</v>
      </c>
      <c r="AH4569" t="str">
        <f t="shared" si="518"/>
        <v>2nd Quality</v>
      </c>
      <c r="AJ4569">
        <f>((T4569-X4569)*2)/9.4</f>
        <v>60.8546035534456</v>
      </c>
      <c r="AK4569">
        <f t="shared" si="516"/>
        <v>236825.104114583</v>
      </c>
    </row>
    <row r="4570" spans="1:37">
      <c r="A4570" t="s">
        <v>4636</v>
      </c>
      <c r="B4570">
        <v>36</v>
      </c>
      <c r="C4570" t="s">
        <v>44</v>
      </c>
      <c r="D4570" t="s">
        <v>60</v>
      </c>
      <c r="E4570">
        <v>1003</v>
      </c>
      <c r="F4570">
        <v>10</v>
      </c>
      <c r="G4570">
        <v>6</v>
      </c>
      <c r="H4570">
        <v>6588.25</v>
      </c>
      <c r="I4570">
        <v>42889.09</v>
      </c>
      <c r="J4570">
        <v>26</v>
      </c>
      <c r="K4570">
        <v>0</v>
      </c>
      <c r="L4570">
        <v>0</v>
      </c>
      <c r="M4570">
        <v>16.5</v>
      </c>
      <c r="N4570" t="s">
        <v>57</v>
      </c>
      <c r="O4570" t="s">
        <v>47</v>
      </c>
      <c r="P4570" t="s">
        <v>58</v>
      </c>
      <c r="R4570">
        <f>SUMIF(A4570:A9569,"C04569",I4570:I9569)</f>
        <v>42889.09</v>
      </c>
      <c r="S4570" s="1">
        <v>1667.6</v>
      </c>
      <c r="T4570">
        <f t="shared" si="514"/>
        <v>1649.58038461538</v>
      </c>
      <c r="U4570">
        <f t="shared" si="512"/>
        <v>429</v>
      </c>
      <c r="V4570">
        <f t="shared" si="515"/>
        <v>35.75</v>
      </c>
      <c r="W4570">
        <f t="shared" si="517"/>
        <v>16492.78</v>
      </c>
      <c r="X4570">
        <f t="shared" si="513"/>
        <v>0.15224073160551</v>
      </c>
      <c r="AH4570" t="str">
        <f t="shared" si="518"/>
        <v>2nd Quality</v>
      </c>
      <c r="AJ4570">
        <f>((T4570-X4570)*2)</f>
        <v>3298.85628776755</v>
      </c>
      <c r="AK4570">
        <f t="shared" si="516"/>
        <v>1654529.12576923</v>
      </c>
    </row>
    <row r="4571" spans="1:37">
      <c r="A4571" t="s">
        <v>4637</v>
      </c>
      <c r="B4571">
        <v>18</v>
      </c>
      <c r="C4571" t="s">
        <v>44</v>
      </c>
      <c r="D4571" t="s">
        <v>45</v>
      </c>
      <c r="E4571">
        <v>800</v>
      </c>
      <c r="F4571">
        <v>14</v>
      </c>
      <c r="G4571">
        <v>4</v>
      </c>
      <c r="H4571">
        <v>10664.9</v>
      </c>
      <c r="I4571">
        <v>37805.68</v>
      </c>
      <c r="J4571">
        <v>41</v>
      </c>
      <c r="K4571">
        <v>0</v>
      </c>
      <c r="L4571">
        <v>5.4</v>
      </c>
      <c r="M4571">
        <v>19.6</v>
      </c>
      <c r="N4571" t="s">
        <v>78</v>
      </c>
      <c r="O4571" t="s">
        <v>47</v>
      </c>
      <c r="P4571" t="s">
        <v>58</v>
      </c>
      <c r="R4571">
        <f>SUMIF(A4571:A9570,"C04570",I4571:I9570)</f>
        <v>37805.68</v>
      </c>
      <c r="S4571" s="1">
        <v>64748.4</v>
      </c>
      <c r="T4571">
        <f t="shared" si="514"/>
        <v>922.089756097561</v>
      </c>
      <c r="U4571">
        <f t="shared" si="512"/>
        <v>803.6</v>
      </c>
      <c r="V4571">
        <f t="shared" si="515"/>
        <v>66.9666666666667</v>
      </c>
      <c r="W4571">
        <f t="shared" si="517"/>
        <v>16157.1933333333</v>
      </c>
      <c r="X4571">
        <f t="shared" si="513"/>
        <v>0.0750124239327139</v>
      </c>
      <c r="AH4571" t="str">
        <f t="shared" si="518"/>
        <v>2nd Quality</v>
      </c>
      <c r="AJ4571">
        <f>((T4571-X4571)*2)/5.4</f>
        <v>341.486942101344</v>
      </c>
      <c r="AK4571">
        <f t="shared" si="516"/>
        <v>737671.804878049</v>
      </c>
    </row>
    <row r="4572" spans="1:37">
      <c r="A4572" t="s">
        <v>4638</v>
      </c>
      <c r="B4572">
        <v>27</v>
      </c>
      <c r="C4572" t="s">
        <v>101</v>
      </c>
      <c r="D4572" t="s">
        <v>60</v>
      </c>
      <c r="E4572">
        <v>1267</v>
      </c>
      <c r="F4572">
        <v>43</v>
      </c>
      <c r="G4572">
        <v>13</v>
      </c>
      <c r="H4572">
        <v>1361.16</v>
      </c>
      <c r="I4572">
        <v>17923.25</v>
      </c>
      <c r="J4572">
        <v>82</v>
      </c>
      <c r="K4572">
        <v>1</v>
      </c>
      <c r="L4572">
        <v>27.4</v>
      </c>
      <c r="M4572">
        <v>68.3</v>
      </c>
      <c r="N4572" t="s">
        <v>63</v>
      </c>
      <c r="O4572" t="s">
        <v>75</v>
      </c>
      <c r="P4572" t="s">
        <v>68</v>
      </c>
      <c r="R4572">
        <f>SUMIF(A4572:A9571,"C04571",I4572:I9571)</f>
        <v>17923.25</v>
      </c>
      <c r="S4572" s="1">
        <v>13424.74</v>
      </c>
      <c r="T4572">
        <f t="shared" si="514"/>
        <v>218.576219512195</v>
      </c>
      <c r="U4572">
        <f t="shared" si="512"/>
        <v>5600.6</v>
      </c>
      <c r="V4572">
        <f>U4572*1</f>
        <v>5600.6</v>
      </c>
      <c r="W4572">
        <f t="shared" si="517"/>
        <v>6428.47</v>
      </c>
      <c r="X4572">
        <f t="shared" si="513"/>
        <v>0.930823709189221</v>
      </c>
      <c r="AH4572" t="str">
        <f t="shared" si="518"/>
        <v>2nd Quality</v>
      </c>
      <c r="AJ4572">
        <f>((T4572-X4572)*2)/27.4</f>
        <v>15.8865252410953</v>
      </c>
      <c r="AK4572">
        <f t="shared" si="516"/>
        <v>276936.070121951</v>
      </c>
    </row>
    <row r="4573" spans="1:37">
      <c r="A4573" t="s">
        <v>4639</v>
      </c>
      <c r="B4573">
        <v>47</v>
      </c>
      <c r="C4573" t="s">
        <v>50</v>
      </c>
      <c r="D4573" t="s">
        <v>51</v>
      </c>
      <c r="E4573">
        <v>1458</v>
      </c>
      <c r="F4573">
        <v>365</v>
      </c>
      <c r="G4573">
        <v>1</v>
      </c>
      <c r="H4573">
        <v>1717.05</v>
      </c>
      <c r="I4573">
        <v>1667.6</v>
      </c>
      <c r="J4573">
        <v>13</v>
      </c>
      <c r="K4573">
        <v>0</v>
      </c>
      <c r="L4573">
        <v>13.1</v>
      </c>
      <c r="M4573">
        <v>30.7</v>
      </c>
      <c r="N4573" t="s">
        <v>78</v>
      </c>
      <c r="O4573" t="s">
        <v>47</v>
      </c>
      <c r="P4573" t="s">
        <v>66</v>
      </c>
      <c r="R4573">
        <f>SUMIF(A4573:A9572,"C04572",I4573:I9572)</f>
        <v>1667.6</v>
      </c>
      <c r="S4573" s="1">
        <v>2132.2</v>
      </c>
      <c r="T4573">
        <f t="shared" si="514"/>
        <v>128.276923076923</v>
      </c>
      <c r="U4573">
        <f t="shared" si="512"/>
        <v>399.1</v>
      </c>
      <c r="V4573">
        <f t="shared" si="515"/>
        <v>33.2583333333333</v>
      </c>
      <c r="W4573">
        <f t="shared" si="517"/>
        <v>1128.55</v>
      </c>
      <c r="X4573">
        <f t="shared" si="513"/>
        <v>0.849130776622696</v>
      </c>
      <c r="AH4573" t="str">
        <f t="shared" si="518"/>
        <v>3rd Quality</v>
      </c>
      <c r="AJ4573">
        <f>((T4573-X4573)*2)/13.1</f>
        <v>19.4546247786718</v>
      </c>
      <c r="AK4573">
        <f t="shared" si="516"/>
        <v>187027.753846154</v>
      </c>
    </row>
    <row r="4574" spans="1:37">
      <c r="A4574" t="s">
        <v>4640</v>
      </c>
      <c r="B4574">
        <v>28</v>
      </c>
      <c r="C4574" t="s">
        <v>44</v>
      </c>
      <c r="D4574" t="s">
        <v>60</v>
      </c>
      <c r="E4574">
        <v>961</v>
      </c>
      <c r="F4574">
        <v>10</v>
      </c>
      <c r="G4574">
        <v>29</v>
      </c>
      <c r="H4574">
        <v>2396.08</v>
      </c>
      <c r="I4574">
        <v>64748.4</v>
      </c>
      <c r="J4574">
        <v>181</v>
      </c>
      <c r="K4574">
        <v>1</v>
      </c>
      <c r="L4574">
        <v>11</v>
      </c>
      <c r="M4574">
        <v>26.4</v>
      </c>
      <c r="N4574" t="s">
        <v>78</v>
      </c>
      <c r="O4574" t="s">
        <v>53</v>
      </c>
      <c r="P4574" t="s">
        <v>54</v>
      </c>
      <c r="R4574">
        <f>SUMIF(A4574:A9573,"C04573",I4574:I9573)</f>
        <v>64748.4</v>
      </c>
      <c r="S4574" s="1">
        <v>68427.5</v>
      </c>
      <c r="T4574">
        <f t="shared" si="514"/>
        <v>357.725966850829</v>
      </c>
      <c r="U4574">
        <f t="shared" si="512"/>
        <v>4778.4</v>
      </c>
      <c r="V4574">
        <f>U4574*1</f>
        <v>4778.4</v>
      </c>
      <c r="W4574">
        <f t="shared" si="517"/>
        <v>22381.8266666667</v>
      </c>
      <c r="X4574">
        <f t="shared" si="513"/>
        <v>0.401071750525859</v>
      </c>
      <c r="AH4574" t="str">
        <f t="shared" si="518"/>
        <v>1st Quality</v>
      </c>
      <c r="AJ4574">
        <f>((T4574-X4574)*2)/11</f>
        <v>64.9681627455097</v>
      </c>
      <c r="AK4574">
        <f t="shared" si="516"/>
        <v>343774.654143646</v>
      </c>
    </row>
    <row r="4575" spans="1:37">
      <c r="A4575" t="s">
        <v>4641</v>
      </c>
      <c r="B4575">
        <v>24</v>
      </c>
      <c r="C4575" t="s">
        <v>50</v>
      </c>
      <c r="D4575" t="s">
        <v>45</v>
      </c>
      <c r="E4575">
        <v>1126</v>
      </c>
      <c r="F4575">
        <v>9</v>
      </c>
      <c r="G4575">
        <v>9</v>
      </c>
      <c r="H4575">
        <v>1592.8</v>
      </c>
      <c r="I4575">
        <v>13424.74</v>
      </c>
      <c r="J4575">
        <v>50</v>
      </c>
      <c r="K4575">
        <v>1</v>
      </c>
      <c r="L4575">
        <v>25.6</v>
      </c>
      <c r="M4575">
        <v>45.8</v>
      </c>
      <c r="N4575" t="s">
        <v>52</v>
      </c>
      <c r="O4575" t="s">
        <v>47</v>
      </c>
      <c r="P4575" t="s">
        <v>66</v>
      </c>
      <c r="R4575">
        <f>SUMIF(A4575:A9574,"C04574",I4575:I9574)</f>
        <v>13424.74</v>
      </c>
      <c r="S4575" s="1">
        <v>718.19</v>
      </c>
      <c r="T4575">
        <f t="shared" si="514"/>
        <v>268.4948</v>
      </c>
      <c r="U4575">
        <f t="shared" si="512"/>
        <v>2290</v>
      </c>
      <c r="V4575">
        <f>U4575*1</f>
        <v>2290</v>
      </c>
      <c r="W4575">
        <f t="shared" si="517"/>
        <v>5006.18</v>
      </c>
      <c r="X4575">
        <f t="shared" si="513"/>
        <v>0.706931190356605</v>
      </c>
      <c r="AH4575" t="str">
        <f t="shared" si="518"/>
        <v>3rd Quality</v>
      </c>
      <c r="AJ4575">
        <f>((T4575-X4575)*2)/25.6</f>
        <v>20.9209272507534</v>
      </c>
      <c r="AK4575">
        <f t="shared" si="516"/>
        <v>302325.1448</v>
      </c>
    </row>
    <row r="4576" spans="1:37">
      <c r="A4576" t="s">
        <v>4642</v>
      </c>
      <c r="B4576">
        <v>22</v>
      </c>
      <c r="C4576" t="s">
        <v>44</v>
      </c>
      <c r="D4576" t="s">
        <v>45</v>
      </c>
      <c r="E4576">
        <v>1034</v>
      </c>
      <c r="F4576">
        <v>124</v>
      </c>
      <c r="G4576">
        <v>3</v>
      </c>
      <c r="H4576">
        <v>660.86</v>
      </c>
      <c r="I4576">
        <v>2132.2</v>
      </c>
      <c r="J4576">
        <v>26</v>
      </c>
      <c r="K4576">
        <v>1</v>
      </c>
      <c r="L4576">
        <v>21.5</v>
      </c>
      <c r="M4576">
        <v>34.3</v>
      </c>
      <c r="N4576" t="s">
        <v>81</v>
      </c>
      <c r="O4576" t="s">
        <v>47</v>
      </c>
      <c r="P4576" t="s">
        <v>66</v>
      </c>
      <c r="R4576">
        <f>SUMIF(A4576:A9575,"C04575",I4576:I9575)</f>
        <v>2132.2</v>
      </c>
      <c r="S4576" s="1">
        <v>41193.46</v>
      </c>
      <c r="T4576">
        <f t="shared" si="514"/>
        <v>82.0076923076923</v>
      </c>
      <c r="U4576">
        <f t="shared" si="512"/>
        <v>891.8</v>
      </c>
      <c r="V4576">
        <f>U4576*1</f>
        <v>891.8</v>
      </c>
      <c r="W4576">
        <f t="shared" si="517"/>
        <v>931.353333333333</v>
      </c>
      <c r="X4576">
        <f t="shared" si="513"/>
        <v>1.56462790908816</v>
      </c>
      <c r="AH4576" t="str">
        <f t="shared" si="518"/>
        <v>3rd Quality</v>
      </c>
      <c r="AJ4576">
        <f>((T4576-X4576)*2)/21.5</f>
        <v>7.48307575800969</v>
      </c>
      <c r="AK4576">
        <f t="shared" si="516"/>
        <v>84795.9538461538</v>
      </c>
    </row>
    <row r="4577" spans="1:37">
      <c r="A4577" t="s">
        <v>4643</v>
      </c>
      <c r="B4577">
        <v>43</v>
      </c>
      <c r="C4577" t="s">
        <v>50</v>
      </c>
      <c r="D4577" t="s">
        <v>60</v>
      </c>
      <c r="E4577">
        <v>1331</v>
      </c>
      <c r="F4577">
        <v>7</v>
      </c>
      <c r="G4577">
        <v>21</v>
      </c>
      <c r="H4577">
        <v>3286.49</v>
      </c>
      <c r="I4577">
        <v>68427.5</v>
      </c>
      <c r="J4577">
        <v>68</v>
      </c>
      <c r="K4577">
        <v>1</v>
      </c>
      <c r="L4577">
        <v>9.3</v>
      </c>
      <c r="M4577">
        <v>44.9</v>
      </c>
      <c r="N4577" t="s">
        <v>81</v>
      </c>
      <c r="O4577" t="s">
        <v>47</v>
      </c>
      <c r="P4577" t="s">
        <v>58</v>
      </c>
      <c r="R4577">
        <f>SUMIF(A4577:A9576,"C04576",I4577:I9576)</f>
        <v>68427.5</v>
      </c>
      <c r="S4577" s="1">
        <v>37683.12</v>
      </c>
      <c r="T4577">
        <f t="shared" si="514"/>
        <v>1006.28676470588</v>
      </c>
      <c r="U4577">
        <f t="shared" si="512"/>
        <v>3053.2</v>
      </c>
      <c r="V4577">
        <f>U4577*1</f>
        <v>3053.2</v>
      </c>
      <c r="W4577">
        <f t="shared" si="517"/>
        <v>23904.9966666667</v>
      </c>
      <c r="X4577">
        <f t="shared" si="513"/>
        <v>0.40499134334807</v>
      </c>
      <c r="AH4577" t="str">
        <f t="shared" si="518"/>
        <v>2nd Quality</v>
      </c>
      <c r="AJ4577">
        <f>((T4577-X4577)*2)/9.3</f>
        <v>216.318660938179</v>
      </c>
      <c r="AK4577">
        <f t="shared" si="516"/>
        <v>1339367.68382353</v>
      </c>
    </row>
    <row r="4578" spans="1:37">
      <c r="A4578" t="s">
        <v>4644</v>
      </c>
      <c r="B4578">
        <v>41</v>
      </c>
      <c r="C4578" t="s">
        <v>50</v>
      </c>
      <c r="D4578" t="s">
        <v>60</v>
      </c>
      <c r="E4578">
        <v>1358</v>
      </c>
      <c r="F4578">
        <v>72</v>
      </c>
      <c r="G4578">
        <v>1</v>
      </c>
      <c r="H4578">
        <v>806.04</v>
      </c>
      <c r="I4578">
        <v>718.19</v>
      </c>
      <c r="J4578">
        <v>16</v>
      </c>
      <c r="K4578">
        <v>0</v>
      </c>
      <c r="L4578">
        <v>27.5</v>
      </c>
      <c r="M4578">
        <v>13.2</v>
      </c>
      <c r="N4578" t="s">
        <v>46</v>
      </c>
      <c r="O4578" t="s">
        <v>47</v>
      </c>
      <c r="P4578" t="s">
        <v>58</v>
      </c>
      <c r="R4578">
        <f>SUMIF(A4578:A9577,"C04577",I4578:I9577)</f>
        <v>718.19</v>
      </c>
      <c r="S4578" s="1">
        <v>83237.69</v>
      </c>
      <c r="T4578">
        <f t="shared" si="514"/>
        <v>44.886875</v>
      </c>
      <c r="U4578">
        <f t="shared" ref="U4578:U4641" si="519">J4578*M4578</f>
        <v>211.2</v>
      </c>
      <c r="V4578">
        <f t="shared" si="515"/>
        <v>17.6</v>
      </c>
      <c r="W4578">
        <f t="shared" si="517"/>
        <v>508.41</v>
      </c>
      <c r="X4578">
        <f t="shared" si="513"/>
        <v>1.68477991166691</v>
      </c>
      <c r="AH4578" t="str">
        <f t="shared" si="518"/>
        <v>3rd Quality</v>
      </c>
      <c r="AJ4578">
        <f>((T4578-X4578)*2)/27.5</f>
        <v>3.14197055187877</v>
      </c>
      <c r="AK4578">
        <f t="shared" si="516"/>
        <v>60956.37625</v>
      </c>
    </row>
    <row r="4579" spans="1:37">
      <c r="A4579" t="s">
        <v>4645</v>
      </c>
      <c r="B4579">
        <v>34</v>
      </c>
      <c r="C4579" t="s">
        <v>44</v>
      </c>
      <c r="D4579" t="s">
        <v>60</v>
      </c>
      <c r="E4579">
        <v>1344</v>
      </c>
      <c r="F4579">
        <v>12</v>
      </c>
      <c r="G4579">
        <v>25</v>
      </c>
      <c r="H4579">
        <v>1684.6</v>
      </c>
      <c r="I4579">
        <v>41193.46</v>
      </c>
      <c r="J4579">
        <v>188</v>
      </c>
      <c r="K4579">
        <v>2</v>
      </c>
      <c r="L4579">
        <v>8.9</v>
      </c>
      <c r="M4579">
        <v>25.9</v>
      </c>
      <c r="N4579" t="s">
        <v>46</v>
      </c>
      <c r="O4579" t="s">
        <v>75</v>
      </c>
      <c r="P4579" t="s">
        <v>68</v>
      </c>
      <c r="R4579">
        <f>SUMIF(A4579:A9578,"C04578",I4579:I9578)</f>
        <v>41193.46</v>
      </c>
      <c r="S4579" s="1">
        <v>2019.28</v>
      </c>
      <c r="T4579">
        <f t="shared" si="514"/>
        <v>219.11414893617</v>
      </c>
      <c r="U4579">
        <f t="shared" si="519"/>
        <v>4869.2</v>
      </c>
      <c r="V4579">
        <f>U4579*2</f>
        <v>9738.4</v>
      </c>
      <c r="W4579">
        <f t="shared" si="517"/>
        <v>14293.02</v>
      </c>
      <c r="X4579">
        <f t="shared" si="513"/>
        <v>0.797815505164431</v>
      </c>
      <c r="AH4579" t="str">
        <f t="shared" si="518"/>
        <v>2nd Quality</v>
      </c>
      <c r="AJ4579">
        <f>((T4579-X4579)*2)/8.9</f>
        <v>49.0598502092147</v>
      </c>
      <c r="AK4579">
        <f t="shared" si="516"/>
        <v>294489.416170213</v>
      </c>
    </row>
    <row r="4580" spans="1:37">
      <c r="A4580" t="s">
        <v>4646</v>
      </c>
      <c r="B4580">
        <v>34</v>
      </c>
      <c r="C4580" t="s">
        <v>50</v>
      </c>
      <c r="D4580" t="s">
        <v>51</v>
      </c>
      <c r="E4580">
        <v>446</v>
      </c>
      <c r="F4580">
        <v>55</v>
      </c>
      <c r="G4580">
        <v>12</v>
      </c>
      <c r="H4580">
        <v>2918.42</v>
      </c>
      <c r="I4580">
        <v>37683.12</v>
      </c>
      <c r="J4580">
        <v>30</v>
      </c>
      <c r="K4580">
        <v>1</v>
      </c>
      <c r="L4580">
        <v>10.8</v>
      </c>
      <c r="M4580">
        <v>10.3</v>
      </c>
      <c r="N4580" t="s">
        <v>46</v>
      </c>
      <c r="O4580" t="s">
        <v>47</v>
      </c>
      <c r="P4580" t="s">
        <v>48</v>
      </c>
      <c r="R4580">
        <f>SUMIF(A4580:A9579,"C04579",I4580:I9579)</f>
        <v>37683.12</v>
      </c>
      <c r="S4580" s="1">
        <v>3089.57</v>
      </c>
      <c r="T4580">
        <f t="shared" si="514"/>
        <v>1256.104</v>
      </c>
      <c r="U4580">
        <f t="shared" si="519"/>
        <v>309</v>
      </c>
      <c r="V4580">
        <f>U4580*1</f>
        <v>309</v>
      </c>
      <c r="W4580">
        <f t="shared" si="517"/>
        <v>13534.18</v>
      </c>
      <c r="X4580">
        <f t="shared" si="513"/>
        <v>0.152822417609528</v>
      </c>
      <c r="AH4580" t="str">
        <f t="shared" si="518"/>
        <v>3rd Quality</v>
      </c>
      <c r="AJ4580">
        <f>((T4580-X4580)*2)/10.8</f>
        <v>232.583551404146</v>
      </c>
      <c r="AK4580">
        <f t="shared" si="516"/>
        <v>560222.384</v>
      </c>
    </row>
    <row r="4581" spans="1:37">
      <c r="A4581" t="s">
        <v>4647</v>
      </c>
      <c r="B4581">
        <v>18</v>
      </c>
      <c r="C4581" t="s">
        <v>50</v>
      </c>
      <c r="D4581" t="s">
        <v>60</v>
      </c>
      <c r="E4581">
        <v>835</v>
      </c>
      <c r="F4581">
        <v>20</v>
      </c>
      <c r="G4581">
        <v>20</v>
      </c>
      <c r="H4581">
        <v>3981.15</v>
      </c>
      <c r="I4581">
        <v>83237.69</v>
      </c>
      <c r="J4581">
        <v>146</v>
      </c>
      <c r="K4581">
        <v>1</v>
      </c>
      <c r="L4581">
        <v>0</v>
      </c>
      <c r="M4581">
        <v>24.9</v>
      </c>
      <c r="N4581" t="s">
        <v>63</v>
      </c>
      <c r="O4581" t="s">
        <v>47</v>
      </c>
      <c r="P4581" t="s">
        <v>58</v>
      </c>
      <c r="R4581">
        <f>SUMIF(A4581:A9580,"C04580",I4581:I9580)</f>
        <v>83237.69</v>
      </c>
      <c r="S4581" s="1">
        <v>5122.87</v>
      </c>
      <c r="T4581">
        <f t="shared" si="514"/>
        <v>570.121164383562</v>
      </c>
      <c r="U4581">
        <f t="shared" si="519"/>
        <v>3635.4</v>
      </c>
      <c r="V4581">
        <f>U4581*1</f>
        <v>3635.4</v>
      </c>
      <c r="W4581">
        <f t="shared" si="517"/>
        <v>29073.28</v>
      </c>
      <c r="X4581">
        <f t="shared" si="513"/>
        <v>0.209738392173116</v>
      </c>
      <c r="AH4581" t="str">
        <f t="shared" si="518"/>
        <v>2nd Quality</v>
      </c>
      <c r="AJ4581">
        <f>((T4581-X4581)*2)</f>
        <v>1139.82285198278</v>
      </c>
      <c r="AK4581">
        <f t="shared" si="516"/>
        <v>476051.172260274</v>
      </c>
    </row>
    <row r="4582" spans="1:37">
      <c r="A4582" t="s">
        <v>4648</v>
      </c>
      <c r="B4582">
        <v>25</v>
      </c>
      <c r="C4582" t="s">
        <v>44</v>
      </c>
      <c r="D4582" t="s">
        <v>60</v>
      </c>
      <c r="E4582">
        <v>916</v>
      </c>
      <c r="F4582">
        <v>210</v>
      </c>
      <c r="G4582">
        <v>2</v>
      </c>
      <c r="H4582">
        <v>910.25</v>
      </c>
      <c r="I4582">
        <v>2019.28</v>
      </c>
      <c r="J4582">
        <v>13</v>
      </c>
      <c r="K4582">
        <v>0</v>
      </c>
      <c r="L4582">
        <v>37.5</v>
      </c>
      <c r="M4582">
        <v>18.4</v>
      </c>
      <c r="N4582" t="s">
        <v>63</v>
      </c>
      <c r="O4582" t="s">
        <v>47</v>
      </c>
      <c r="P4582" t="s">
        <v>58</v>
      </c>
      <c r="R4582">
        <f>SUMIF(A4582:A9581,"C04581",I4582:I9581)</f>
        <v>2019.28</v>
      </c>
      <c r="S4582" s="1">
        <v>2346.36</v>
      </c>
      <c r="T4582">
        <f t="shared" si="514"/>
        <v>155.329230769231</v>
      </c>
      <c r="U4582">
        <f t="shared" si="519"/>
        <v>239.2</v>
      </c>
      <c r="V4582">
        <f t="shared" si="515"/>
        <v>19.9333333333333</v>
      </c>
      <c r="W4582">
        <f t="shared" si="517"/>
        <v>976.843333333333</v>
      </c>
      <c r="X4582">
        <f t="shared" ref="X4582:X4645" si="520">E4582/H4582</f>
        <v>1.00631694589399</v>
      </c>
      <c r="AH4582" t="str">
        <f t="shared" si="518"/>
        <v>3rd Quality</v>
      </c>
      <c r="AJ4582">
        <f>((T4582-X4582)*2)/37.5</f>
        <v>8.23055540391131</v>
      </c>
      <c r="AK4582">
        <f t="shared" si="516"/>
        <v>142281.575384615</v>
      </c>
    </row>
    <row r="4583" spans="1:37">
      <c r="A4583" t="s">
        <v>4649</v>
      </c>
      <c r="B4583">
        <v>42</v>
      </c>
      <c r="C4583" t="s">
        <v>50</v>
      </c>
      <c r="D4583" t="s">
        <v>45</v>
      </c>
      <c r="E4583">
        <v>1215</v>
      </c>
      <c r="F4583">
        <v>175</v>
      </c>
      <c r="G4583">
        <v>3</v>
      </c>
      <c r="H4583">
        <v>966.51</v>
      </c>
      <c r="I4583">
        <v>3089.57</v>
      </c>
      <c r="J4583">
        <v>16</v>
      </c>
      <c r="K4583">
        <v>0</v>
      </c>
      <c r="L4583">
        <v>34.3</v>
      </c>
      <c r="M4583">
        <v>37.3</v>
      </c>
      <c r="N4583" t="s">
        <v>78</v>
      </c>
      <c r="O4583" t="s">
        <v>47</v>
      </c>
      <c r="P4583" t="s">
        <v>68</v>
      </c>
      <c r="R4583">
        <f>SUMIF(A4583:A9582,"C04582",I4583:I9582)</f>
        <v>3089.57</v>
      </c>
      <c r="S4583" s="1">
        <v>6732.17</v>
      </c>
      <c r="T4583">
        <f t="shared" ref="T4583:T4646" si="521">I4583/J4583</f>
        <v>193.098125</v>
      </c>
      <c r="U4583">
        <f t="shared" si="519"/>
        <v>596.8</v>
      </c>
      <c r="V4583">
        <f t="shared" si="515"/>
        <v>49.7333333333333</v>
      </c>
      <c r="W4583">
        <f t="shared" si="517"/>
        <v>1352.36</v>
      </c>
      <c r="X4583">
        <f t="shared" si="520"/>
        <v>1.25710028866747</v>
      </c>
      <c r="AH4583" t="str">
        <f t="shared" si="518"/>
        <v>3rd Quality</v>
      </c>
      <c r="AJ4583">
        <f>((T4583-X4583)*2)/34.3</f>
        <v>11.1860655808357</v>
      </c>
      <c r="AK4583">
        <f t="shared" si="516"/>
        <v>234614.221875</v>
      </c>
    </row>
    <row r="4584" spans="1:37">
      <c r="A4584" t="s">
        <v>4650</v>
      </c>
      <c r="B4584">
        <v>35</v>
      </c>
      <c r="C4584" t="s">
        <v>50</v>
      </c>
      <c r="D4584" t="s">
        <v>60</v>
      </c>
      <c r="E4584">
        <v>985</v>
      </c>
      <c r="F4584">
        <v>162</v>
      </c>
      <c r="G4584">
        <v>3</v>
      </c>
      <c r="H4584">
        <v>1854.04</v>
      </c>
      <c r="I4584">
        <v>5122.87</v>
      </c>
      <c r="J4584">
        <v>16</v>
      </c>
      <c r="K4584">
        <v>0</v>
      </c>
      <c r="L4584">
        <v>30.5</v>
      </c>
      <c r="M4584">
        <v>4.9</v>
      </c>
      <c r="N4584" t="s">
        <v>81</v>
      </c>
      <c r="O4584" t="s">
        <v>47</v>
      </c>
      <c r="P4584" t="s">
        <v>66</v>
      </c>
      <c r="R4584">
        <f>SUMIF(A4584:A9583,"C04583",I4584:I9583)</f>
        <v>5122.87</v>
      </c>
      <c r="S4584" s="1">
        <v>2563.27</v>
      </c>
      <c r="T4584">
        <f t="shared" si="521"/>
        <v>320.179375</v>
      </c>
      <c r="U4584">
        <f t="shared" si="519"/>
        <v>78.4</v>
      </c>
      <c r="V4584">
        <f t="shared" si="515"/>
        <v>6.53333333333333</v>
      </c>
      <c r="W4584">
        <f t="shared" si="517"/>
        <v>2325.97</v>
      </c>
      <c r="X4584">
        <f t="shared" si="520"/>
        <v>0.531272248710923</v>
      </c>
      <c r="AH4584" t="str">
        <f t="shared" si="518"/>
        <v>3rd Quality</v>
      </c>
      <c r="AJ4584">
        <f>((T4584-X4584)*2)/30.5</f>
        <v>20.9605313279534</v>
      </c>
      <c r="AK4584">
        <f t="shared" si="516"/>
        <v>315376.684375</v>
      </c>
    </row>
    <row r="4585" spans="1:37">
      <c r="A4585" t="s">
        <v>4651</v>
      </c>
      <c r="B4585">
        <v>35</v>
      </c>
      <c r="C4585" t="s">
        <v>44</v>
      </c>
      <c r="D4585" t="s">
        <v>60</v>
      </c>
      <c r="E4585">
        <v>883</v>
      </c>
      <c r="F4585">
        <v>71</v>
      </c>
      <c r="G4585">
        <v>1</v>
      </c>
      <c r="H4585">
        <v>2618.59</v>
      </c>
      <c r="I4585">
        <v>2346.36</v>
      </c>
      <c r="J4585">
        <v>17</v>
      </c>
      <c r="K4585">
        <v>0</v>
      </c>
      <c r="L4585">
        <v>23.3</v>
      </c>
      <c r="M4585">
        <v>51.1</v>
      </c>
      <c r="N4585" t="s">
        <v>81</v>
      </c>
      <c r="O4585" t="s">
        <v>75</v>
      </c>
      <c r="P4585" t="s">
        <v>58</v>
      </c>
      <c r="R4585">
        <f>SUMIF(A4585:A9584,"C04584",I4585:I9584)</f>
        <v>2346.36</v>
      </c>
      <c r="S4585" s="1">
        <v>23384.69</v>
      </c>
      <c r="T4585">
        <f t="shared" si="521"/>
        <v>138.021176470588</v>
      </c>
      <c r="U4585">
        <f t="shared" si="519"/>
        <v>868.7</v>
      </c>
      <c r="V4585">
        <f t="shared" si="515"/>
        <v>72.3916666666667</v>
      </c>
      <c r="W4585">
        <f t="shared" si="517"/>
        <v>1655.31666666667</v>
      </c>
      <c r="X4585">
        <f t="shared" si="520"/>
        <v>0.337204373345961</v>
      </c>
      <c r="AH4585" t="str">
        <f t="shared" si="518"/>
        <v>3rd Quality</v>
      </c>
      <c r="AJ4585">
        <f>((T4585-X4585)*2)/23.3</f>
        <v>11.8183667036259</v>
      </c>
      <c r="AK4585">
        <f t="shared" si="516"/>
        <v>121872.698823529</v>
      </c>
    </row>
    <row r="4586" spans="1:37">
      <c r="A4586" t="s">
        <v>4652</v>
      </c>
      <c r="B4586">
        <v>41</v>
      </c>
      <c r="C4586" t="s">
        <v>44</v>
      </c>
      <c r="D4586" t="s">
        <v>60</v>
      </c>
      <c r="E4586">
        <v>951</v>
      </c>
      <c r="F4586">
        <v>153</v>
      </c>
      <c r="G4586">
        <v>7</v>
      </c>
      <c r="H4586">
        <v>970.46</v>
      </c>
      <c r="I4586">
        <v>6732.17</v>
      </c>
      <c r="J4586">
        <v>23</v>
      </c>
      <c r="K4586">
        <v>0</v>
      </c>
      <c r="L4586">
        <v>19.7</v>
      </c>
      <c r="M4586">
        <v>25.2</v>
      </c>
      <c r="N4586" t="s">
        <v>61</v>
      </c>
      <c r="O4586" t="s">
        <v>53</v>
      </c>
      <c r="P4586" t="s">
        <v>68</v>
      </c>
      <c r="R4586">
        <f>SUMIF(A4586:A9585,"C04585",I4586:I9585)</f>
        <v>6732.17</v>
      </c>
      <c r="S4586" s="1">
        <v>3568.18</v>
      </c>
      <c r="T4586">
        <f t="shared" si="521"/>
        <v>292.703043478261</v>
      </c>
      <c r="U4586">
        <f t="shared" si="519"/>
        <v>579.6</v>
      </c>
      <c r="V4586">
        <f t="shared" si="515"/>
        <v>48.3</v>
      </c>
      <c r="W4586">
        <f t="shared" si="517"/>
        <v>2567.87666666667</v>
      </c>
      <c r="X4586">
        <f t="shared" si="520"/>
        <v>0.979947653690003</v>
      </c>
      <c r="AH4586" t="str">
        <f t="shared" si="518"/>
        <v>3rd Quality</v>
      </c>
      <c r="AJ4586">
        <f>((T4586-X4586)*2)/19.7</f>
        <v>29.6165579517331</v>
      </c>
      <c r="AK4586">
        <f t="shared" si="516"/>
        <v>278360.594347826</v>
      </c>
    </row>
    <row r="4587" spans="1:37">
      <c r="A4587" t="s">
        <v>4653</v>
      </c>
      <c r="B4587">
        <v>29</v>
      </c>
      <c r="C4587" t="s">
        <v>44</v>
      </c>
      <c r="D4587" t="s">
        <v>51</v>
      </c>
      <c r="E4587">
        <v>1018</v>
      </c>
      <c r="F4587">
        <v>90</v>
      </c>
      <c r="G4587">
        <v>4</v>
      </c>
      <c r="H4587">
        <v>649.42</v>
      </c>
      <c r="I4587">
        <v>2563.27</v>
      </c>
      <c r="J4587">
        <v>35</v>
      </c>
      <c r="K4587">
        <v>0</v>
      </c>
      <c r="L4587">
        <v>27.4</v>
      </c>
      <c r="M4587">
        <v>46.4</v>
      </c>
      <c r="N4587" t="s">
        <v>52</v>
      </c>
      <c r="O4587" t="s">
        <v>47</v>
      </c>
      <c r="P4587" t="s">
        <v>58</v>
      </c>
      <c r="R4587">
        <f>SUMIF(A4587:A9586,"C04586",I4587:I9586)</f>
        <v>2563.27</v>
      </c>
      <c r="S4587" s="1">
        <v>31089.39</v>
      </c>
      <c r="T4587">
        <f t="shared" si="521"/>
        <v>73.2362857142857</v>
      </c>
      <c r="U4587">
        <f t="shared" si="519"/>
        <v>1624</v>
      </c>
      <c r="V4587">
        <f t="shared" si="515"/>
        <v>135.333333333333</v>
      </c>
      <c r="W4587">
        <f t="shared" si="517"/>
        <v>1071.23</v>
      </c>
      <c r="X4587">
        <f t="shared" si="520"/>
        <v>1.56755258538388</v>
      </c>
      <c r="AH4587" t="str">
        <f t="shared" si="518"/>
        <v>3rd Quality</v>
      </c>
      <c r="AJ4587">
        <f>((T4587-X4587)*2)/27.4</f>
        <v>5.23129438897094</v>
      </c>
      <c r="AK4587">
        <f t="shared" si="516"/>
        <v>74554.5388571429</v>
      </c>
    </row>
    <row r="4588" spans="1:37">
      <c r="A4588" t="s">
        <v>4654</v>
      </c>
      <c r="B4588">
        <v>51</v>
      </c>
      <c r="C4588" t="s">
        <v>44</v>
      </c>
      <c r="D4588" t="s">
        <v>60</v>
      </c>
      <c r="E4588">
        <v>1028</v>
      </c>
      <c r="F4588">
        <v>66</v>
      </c>
      <c r="G4588">
        <v>3</v>
      </c>
      <c r="H4588">
        <v>7706.67</v>
      </c>
      <c r="I4588">
        <v>23384.69</v>
      </c>
      <c r="J4588">
        <v>31</v>
      </c>
      <c r="K4588">
        <v>0</v>
      </c>
      <c r="L4588">
        <v>3.8</v>
      </c>
      <c r="M4588">
        <v>39.5</v>
      </c>
      <c r="N4588" t="s">
        <v>57</v>
      </c>
      <c r="O4588" t="s">
        <v>53</v>
      </c>
      <c r="P4588" t="s">
        <v>48</v>
      </c>
      <c r="R4588">
        <f>SUMIF(A4588:A9587,"C04587",I4588:I9587)</f>
        <v>23384.69</v>
      </c>
      <c r="S4588" s="1">
        <v>2442.33</v>
      </c>
      <c r="T4588">
        <f t="shared" si="521"/>
        <v>754.344838709677</v>
      </c>
      <c r="U4588">
        <f t="shared" si="519"/>
        <v>1224.5</v>
      </c>
      <c r="V4588">
        <f t="shared" si="515"/>
        <v>102.041666666667</v>
      </c>
      <c r="W4588">
        <f t="shared" si="517"/>
        <v>10364.12</v>
      </c>
      <c r="X4588">
        <f t="shared" si="520"/>
        <v>0.133390945765162</v>
      </c>
      <c r="AH4588" t="str">
        <f t="shared" si="518"/>
        <v>3rd Quality</v>
      </c>
      <c r="AJ4588">
        <f>((T4588-X4588)*2)/3.8</f>
        <v>396.953393559954</v>
      </c>
      <c r="AK4588">
        <f t="shared" si="516"/>
        <v>775466.494193548</v>
      </c>
    </row>
    <row r="4589" spans="1:37">
      <c r="A4589" t="s">
        <v>4655</v>
      </c>
      <c r="B4589">
        <v>18</v>
      </c>
      <c r="C4589" t="s">
        <v>44</v>
      </c>
      <c r="D4589" t="s">
        <v>60</v>
      </c>
      <c r="E4589">
        <v>1171</v>
      </c>
      <c r="F4589">
        <v>151</v>
      </c>
      <c r="G4589">
        <v>4</v>
      </c>
      <c r="H4589">
        <v>856.75</v>
      </c>
      <c r="I4589">
        <v>3568.18</v>
      </c>
      <c r="J4589">
        <v>29</v>
      </c>
      <c r="K4589">
        <v>0</v>
      </c>
      <c r="L4589">
        <v>11.6</v>
      </c>
      <c r="M4589">
        <v>49.4</v>
      </c>
      <c r="N4589" t="s">
        <v>52</v>
      </c>
      <c r="O4589" t="s">
        <v>47</v>
      </c>
      <c r="P4589" t="s">
        <v>66</v>
      </c>
      <c r="R4589">
        <f>SUMIF(A4589:A9588,"C04588",I4589:I9588)</f>
        <v>3568.18</v>
      </c>
      <c r="S4589" s="1">
        <v>12007.53</v>
      </c>
      <c r="T4589">
        <f t="shared" si="521"/>
        <v>123.040689655172</v>
      </c>
      <c r="U4589">
        <f t="shared" si="519"/>
        <v>1432.6</v>
      </c>
      <c r="V4589">
        <f t="shared" si="515"/>
        <v>119.383333333333</v>
      </c>
      <c r="W4589">
        <f t="shared" si="517"/>
        <v>1475.31</v>
      </c>
      <c r="X4589">
        <f t="shared" si="520"/>
        <v>1.36679311351036</v>
      </c>
      <c r="AH4589" t="str">
        <f t="shared" si="518"/>
        <v>3rd Quality</v>
      </c>
      <c r="AJ4589">
        <f>((T4589-X4589)*2)/11.6</f>
        <v>20.9782580244244</v>
      </c>
      <c r="AK4589">
        <f t="shared" si="516"/>
        <v>144080.647586207</v>
      </c>
    </row>
    <row r="4590" spans="1:37">
      <c r="A4590" t="s">
        <v>4656</v>
      </c>
      <c r="B4590">
        <v>42</v>
      </c>
      <c r="C4590" t="s">
        <v>44</v>
      </c>
      <c r="D4590" t="s">
        <v>51</v>
      </c>
      <c r="E4590">
        <v>806</v>
      </c>
      <c r="F4590">
        <v>27</v>
      </c>
      <c r="G4590">
        <v>4</v>
      </c>
      <c r="H4590">
        <v>8259.34</v>
      </c>
      <c r="I4590">
        <v>31089.39</v>
      </c>
      <c r="J4590">
        <v>15</v>
      </c>
      <c r="K4590">
        <v>0</v>
      </c>
      <c r="L4590">
        <v>0</v>
      </c>
      <c r="M4590">
        <v>11.5</v>
      </c>
      <c r="N4590" t="s">
        <v>57</v>
      </c>
      <c r="O4590" t="s">
        <v>47</v>
      </c>
      <c r="P4590" t="s">
        <v>58</v>
      </c>
      <c r="R4590">
        <f>SUMIF(A4590:A9589,"C04589",I4590:I9589)</f>
        <v>31089.39</v>
      </c>
      <c r="S4590" s="1">
        <v>12625.68</v>
      </c>
      <c r="T4590">
        <f t="shared" si="521"/>
        <v>2072.626</v>
      </c>
      <c r="U4590">
        <f t="shared" si="519"/>
        <v>172.5</v>
      </c>
      <c r="V4590">
        <f t="shared" si="515"/>
        <v>14.375</v>
      </c>
      <c r="W4590">
        <f t="shared" si="517"/>
        <v>13116.5766666667</v>
      </c>
      <c r="X4590">
        <f t="shared" si="520"/>
        <v>0.0975864899616676</v>
      </c>
      <c r="AH4590" t="str">
        <f t="shared" si="518"/>
        <v>2nd Quality</v>
      </c>
      <c r="AJ4590">
        <f>((T4590-X4590)*2)</f>
        <v>4145.05682702008</v>
      </c>
      <c r="AK4590">
        <f t="shared" si="516"/>
        <v>1670536.556</v>
      </c>
    </row>
    <row r="4591" spans="1:37">
      <c r="A4591" t="s">
        <v>4657</v>
      </c>
      <c r="B4591">
        <v>40</v>
      </c>
      <c r="C4591" t="s">
        <v>44</v>
      </c>
      <c r="D4591" t="s">
        <v>45</v>
      </c>
      <c r="E4591">
        <v>1004</v>
      </c>
      <c r="F4591">
        <v>136</v>
      </c>
      <c r="G4591">
        <v>1</v>
      </c>
      <c r="H4591">
        <v>2186.12</v>
      </c>
      <c r="I4591">
        <v>2442.33</v>
      </c>
      <c r="J4591">
        <v>17</v>
      </c>
      <c r="K4591">
        <v>0</v>
      </c>
      <c r="L4591">
        <v>26.2</v>
      </c>
      <c r="M4591">
        <v>31.1</v>
      </c>
      <c r="N4591" t="s">
        <v>46</v>
      </c>
      <c r="O4591" t="s">
        <v>75</v>
      </c>
      <c r="P4591" t="s">
        <v>68</v>
      </c>
      <c r="R4591">
        <f>SUMIF(A4591:A9590,"C04590",I4591:I9590)</f>
        <v>2442.33</v>
      </c>
      <c r="S4591" s="1">
        <v>2733.83</v>
      </c>
      <c r="T4591">
        <f t="shared" si="521"/>
        <v>143.666470588235</v>
      </c>
      <c r="U4591">
        <f t="shared" si="519"/>
        <v>528.7</v>
      </c>
      <c r="V4591">
        <f t="shared" si="515"/>
        <v>44.0583333333333</v>
      </c>
      <c r="W4591">
        <f t="shared" si="517"/>
        <v>1543.15</v>
      </c>
      <c r="X4591">
        <f t="shared" si="520"/>
        <v>0.459261156752603</v>
      </c>
      <c r="AH4591" t="str">
        <f t="shared" si="518"/>
        <v>3rd Quality</v>
      </c>
      <c r="AJ4591">
        <f>((T4591-X4591)*2)/26.2</f>
        <v>10.9318480482048</v>
      </c>
      <c r="AK4591">
        <f t="shared" si="516"/>
        <v>144241.136470588</v>
      </c>
    </row>
    <row r="4592" spans="1:37">
      <c r="A4592" t="s">
        <v>4658</v>
      </c>
      <c r="B4592">
        <v>37</v>
      </c>
      <c r="C4592" t="s">
        <v>44</v>
      </c>
      <c r="D4592" t="s">
        <v>60</v>
      </c>
      <c r="E4592">
        <v>501</v>
      </c>
      <c r="F4592">
        <v>26</v>
      </c>
      <c r="G4592">
        <v>7</v>
      </c>
      <c r="H4592">
        <v>1717.52</v>
      </c>
      <c r="I4592">
        <v>12007.53</v>
      </c>
      <c r="J4592">
        <v>32</v>
      </c>
      <c r="K4592">
        <v>1</v>
      </c>
      <c r="L4592">
        <v>17.6</v>
      </c>
      <c r="M4592">
        <v>17</v>
      </c>
      <c r="N4592" t="s">
        <v>52</v>
      </c>
      <c r="O4592" t="s">
        <v>75</v>
      </c>
      <c r="P4592" t="s">
        <v>58</v>
      </c>
      <c r="R4592">
        <f>SUMIF(A4592:A9591,"C04591",I4592:I9591)</f>
        <v>12007.53</v>
      </c>
      <c r="S4592" s="1">
        <v>74160.33</v>
      </c>
      <c r="T4592">
        <f t="shared" si="521"/>
        <v>375.2353125</v>
      </c>
      <c r="U4592">
        <f t="shared" si="519"/>
        <v>544</v>
      </c>
      <c r="V4592">
        <f>U4592*1</f>
        <v>544</v>
      </c>
      <c r="W4592">
        <f t="shared" si="517"/>
        <v>4575.35</v>
      </c>
      <c r="X4592">
        <f t="shared" si="520"/>
        <v>0.291699659974847</v>
      </c>
      <c r="AH4592" t="str">
        <f t="shared" si="518"/>
        <v>3rd Quality</v>
      </c>
      <c r="AJ4592">
        <f>((T4592-X4592)*2)/17.6</f>
        <v>42.607228731821</v>
      </c>
      <c r="AK4592">
        <f t="shared" si="516"/>
        <v>187992.8915625</v>
      </c>
    </row>
    <row r="4593" spans="1:37">
      <c r="A4593" t="s">
        <v>4659</v>
      </c>
      <c r="B4593">
        <v>18</v>
      </c>
      <c r="C4593" t="s">
        <v>44</v>
      </c>
      <c r="D4593" t="s">
        <v>45</v>
      </c>
      <c r="E4593">
        <v>923</v>
      </c>
      <c r="F4593">
        <v>75</v>
      </c>
      <c r="G4593">
        <v>1</v>
      </c>
      <c r="H4593">
        <v>12006.25</v>
      </c>
      <c r="I4593">
        <v>12625.68</v>
      </c>
      <c r="J4593">
        <v>18</v>
      </c>
      <c r="K4593">
        <v>1</v>
      </c>
      <c r="L4593">
        <v>9.2</v>
      </c>
      <c r="M4593">
        <v>25.1</v>
      </c>
      <c r="N4593" t="s">
        <v>63</v>
      </c>
      <c r="O4593" t="s">
        <v>53</v>
      </c>
      <c r="P4593" t="s">
        <v>66</v>
      </c>
      <c r="R4593">
        <f>SUMIF(A4593:A9592,"C04592",I4593:I9592)</f>
        <v>12625.68</v>
      </c>
      <c r="S4593" s="1">
        <v>141655.91</v>
      </c>
      <c r="T4593">
        <f t="shared" si="521"/>
        <v>701.426666666667</v>
      </c>
      <c r="U4593">
        <f t="shared" si="519"/>
        <v>451.8</v>
      </c>
      <c r="V4593">
        <f>U4593*1</f>
        <v>451.8</v>
      </c>
      <c r="W4593">
        <f t="shared" si="517"/>
        <v>8210.97666666667</v>
      </c>
      <c r="X4593">
        <f t="shared" si="520"/>
        <v>0.0768766267568975</v>
      </c>
      <c r="AH4593" t="str">
        <f t="shared" si="518"/>
        <v>2nd Quality</v>
      </c>
      <c r="AJ4593">
        <f>((T4593-X4593)*2)/9.2</f>
        <v>152.46734566085</v>
      </c>
      <c r="AK4593">
        <f t="shared" si="516"/>
        <v>647416.813333333</v>
      </c>
    </row>
    <row r="4594" spans="1:37">
      <c r="A4594" t="s">
        <v>4660</v>
      </c>
      <c r="B4594">
        <v>38</v>
      </c>
      <c r="C4594" t="s">
        <v>44</v>
      </c>
      <c r="D4594" t="s">
        <v>60</v>
      </c>
      <c r="E4594">
        <v>778</v>
      </c>
      <c r="F4594">
        <v>63</v>
      </c>
      <c r="G4594">
        <v>4</v>
      </c>
      <c r="H4594">
        <v>698.82</v>
      </c>
      <c r="I4594">
        <v>2733.83</v>
      </c>
      <c r="J4594">
        <v>35</v>
      </c>
      <c r="K4594">
        <v>0</v>
      </c>
      <c r="L4594">
        <v>31.3</v>
      </c>
      <c r="M4594">
        <v>29.1</v>
      </c>
      <c r="N4594" t="s">
        <v>46</v>
      </c>
      <c r="O4594" t="s">
        <v>47</v>
      </c>
      <c r="P4594" t="s">
        <v>66</v>
      </c>
      <c r="R4594">
        <f>SUMIF(A4594:A9593,"C04593",I4594:I9593)</f>
        <v>2733.83</v>
      </c>
      <c r="S4594" s="1">
        <v>668.7</v>
      </c>
      <c r="T4594">
        <f t="shared" si="521"/>
        <v>78.1094285714286</v>
      </c>
      <c r="U4594">
        <f t="shared" si="519"/>
        <v>1018.5</v>
      </c>
      <c r="V4594">
        <f t="shared" si="515"/>
        <v>84.875</v>
      </c>
      <c r="W4594">
        <f t="shared" si="517"/>
        <v>1144.55</v>
      </c>
      <c r="X4594">
        <f t="shared" si="520"/>
        <v>1.11330528605363</v>
      </c>
      <c r="AH4594" t="str">
        <f t="shared" si="518"/>
        <v>3rd Quality</v>
      </c>
      <c r="AJ4594">
        <f>((T4594-X4594)*2)/31.3</f>
        <v>4.91988008213259</v>
      </c>
      <c r="AK4594">
        <f t="shared" si="516"/>
        <v>60769.1354285714</v>
      </c>
    </row>
    <row r="4595" spans="1:37">
      <c r="A4595" t="s">
        <v>4661</v>
      </c>
      <c r="B4595">
        <v>27</v>
      </c>
      <c r="C4595" t="s">
        <v>44</v>
      </c>
      <c r="D4595" t="s">
        <v>45</v>
      </c>
      <c r="E4595">
        <v>382</v>
      </c>
      <c r="F4595">
        <v>11</v>
      </c>
      <c r="G4595">
        <v>18</v>
      </c>
      <c r="H4595">
        <v>3945.39</v>
      </c>
      <c r="I4595">
        <v>74160.33</v>
      </c>
      <c r="J4595">
        <v>57</v>
      </c>
      <c r="K4595">
        <v>2</v>
      </c>
      <c r="L4595">
        <v>16.3</v>
      </c>
      <c r="M4595">
        <v>54.4</v>
      </c>
      <c r="N4595" t="s">
        <v>78</v>
      </c>
      <c r="O4595" t="s">
        <v>47</v>
      </c>
      <c r="P4595" t="s">
        <v>58</v>
      </c>
      <c r="R4595">
        <f>SUMIF(A4595:A9594,"C04594",I4595:I9594)</f>
        <v>74160.33</v>
      </c>
      <c r="S4595" s="1">
        <v>14922.54</v>
      </c>
      <c r="T4595">
        <f t="shared" si="521"/>
        <v>1301.05842105263</v>
      </c>
      <c r="U4595">
        <f t="shared" si="519"/>
        <v>3100.8</v>
      </c>
      <c r="V4595">
        <f>U4595*2</f>
        <v>6201.6</v>
      </c>
      <c r="W4595">
        <f t="shared" si="517"/>
        <v>26035.5733333333</v>
      </c>
      <c r="X4595">
        <f t="shared" si="520"/>
        <v>0.0968218604497908</v>
      </c>
      <c r="AH4595" t="str">
        <f t="shared" si="518"/>
        <v>3rd Quality</v>
      </c>
      <c r="AJ4595">
        <f>((T4595-X4595)*2)/16.3</f>
        <v>159.62719008493</v>
      </c>
      <c r="AK4595">
        <f t="shared" si="516"/>
        <v>497004.316842105</v>
      </c>
    </row>
    <row r="4596" spans="1:37">
      <c r="A4596" t="s">
        <v>4662</v>
      </c>
      <c r="B4596">
        <v>49</v>
      </c>
      <c r="C4596" t="s">
        <v>50</v>
      </c>
      <c r="D4596" t="s">
        <v>45</v>
      </c>
      <c r="E4596">
        <v>595</v>
      </c>
      <c r="F4596">
        <v>7</v>
      </c>
      <c r="G4596">
        <v>29</v>
      </c>
      <c r="H4596">
        <v>4376.9</v>
      </c>
      <c r="I4596">
        <v>141655.91</v>
      </c>
      <c r="J4596">
        <v>70</v>
      </c>
      <c r="K4596">
        <v>1</v>
      </c>
      <c r="L4596">
        <v>14.1</v>
      </c>
      <c r="M4596">
        <v>27.8</v>
      </c>
      <c r="N4596" t="s">
        <v>63</v>
      </c>
      <c r="O4596" t="s">
        <v>53</v>
      </c>
      <c r="P4596" t="s">
        <v>58</v>
      </c>
      <c r="R4596">
        <f>SUMIF(A4596:A9595,"C04595",I4596:I9595)</f>
        <v>141655.91</v>
      </c>
      <c r="S4596" s="1">
        <v>155193.88</v>
      </c>
      <c r="T4596">
        <f t="shared" si="521"/>
        <v>2023.65585714286</v>
      </c>
      <c r="U4596">
        <f t="shared" si="519"/>
        <v>1946</v>
      </c>
      <c r="V4596">
        <f>U4596*1</f>
        <v>1946</v>
      </c>
      <c r="W4596">
        <f t="shared" si="517"/>
        <v>48677.9366666667</v>
      </c>
      <c r="X4596">
        <f t="shared" si="520"/>
        <v>0.135940962781878</v>
      </c>
      <c r="AH4596" t="str">
        <f t="shared" si="518"/>
        <v>3rd Quality</v>
      </c>
      <c r="AJ4596">
        <f>((T4596-X4596)*2)/14.1</f>
        <v>287.024101585827</v>
      </c>
      <c r="AK4596">
        <f t="shared" si="516"/>
        <v>1204075.235</v>
      </c>
    </row>
    <row r="4597" spans="1:37">
      <c r="A4597" t="s">
        <v>4663</v>
      </c>
      <c r="B4597">
        <v>23</v>
      </c>
      <c r="C4597" t="s">
        <v>44</v>
      </c>
      <c r="D4597" t="s">
        <v>45</v>
      </c>
      <c r="E4597">
        <v>1428</v>
      </c>
      <c r="F4597">
        <v>236</v>
      </c>
      <c r="G4597">
        <v>1</v>
      </c>
      <c r="H4597">
        <v>729.34</v>
      </c>
      <c r="I4597">
        <v>668.7</v>
      </c>
      <c r="J4597">
        <v>11</v>
      </c>
      <c r="K4597">
        <v>0</v>
      </c>
      <c r="L4597">
        <v>14.8</v>
      </c>
      <c r="M4597">
        <v>41.1</v>
      </c>
      <c r="N4597" t="s">
        <v>78</v>
      </c>
      <c r="O4597" t="s">
        <v>47</v>
      </c>
      <c r="P4597" t="s">
        <v>58</v>
      </c>
      <c r="R4597">
        <f>SUMIF(A4597:A9596,"C04596",I4597:I9596)</f>
        <v>668.7</v>
      </c>
      <c r="S4597" s="1">
        <v>10495.67</v>
      </c>
      <c r="T4597">
        <f t="shared" si="521"/>
        <v>60.7909090909091</v>
      </c>
      <c r="U4597">
        <f t="shared" si="519"/>
        <v>452.1</v>
      </c>
      <c r="V4597">
        <f t="shared" si="515"/>
        <v>37.675</v>
      </c>
      <c r="W4597">
        <f t="shared" si="517"/>
        <v>466.346666666667</v>
      </c>
      <c r="X4597">
        <f t="shared" si="520"/>
        <v>1.95793457098198</v>
      </c>
      <c r="AH4597" t="str">
        <f t="shared" si="518"/>
        <v>3rd Quality</v>
      </c>
      <c r="AJ4597">
        <f>((T4597-X4597)*2)/14.8</f>
        <v>7.95040196215231</v>
      </c>
      <c r="AK4597">
        <f t="shared" si="516"/>
        <v>86809.4181818182</v>
      </c>
    </row>
    <row r="4598" spans="1:37">
      <c r="A4598" t="s">
        <v>4664</v>
      </c>
      <c r="B4598">
        <v>41</v>
      </c>
      <c r="C4598" t="s">
        <v>101</v>
      </c>
      <c r="D4598" t="s">
        <v>60</v>
      </c>
      <c r="E4598">
        <v>969</v>
      </c>
      <c r="F4598">
        <v>47</v>
      </c>
      <c r="G4598">
        <v>10</v>
      </c>
      <c r="H4598">
        <v>1515.56</v>
      </c>
      <c r="I4598">
        <v>14922.54</v>
      </c>
      <c r="J4598">
        <v>69</v>
      </c>
      <c r="K4598">
        <v>0</v>
      </c>
      <c r="L4598">
        <v>13.1</v>
      </c>
      <c r="M4598">
        <v>45.7</v>
      </c>
      <c r="N4598" t="s">
        <v>81</v>
      </c>
      <c r="O4598" t="s">
        <v>47</v>
      </c>
      <c r="P4598" t="s">
        <v>66</v>
      </c>
      <c r="R4598">
        <f>SUMIF(A4598:A9597,"C04597",I4598:I9597)</f>
        <v>14922.54</v>
      </c>
      <c r="S4598" s="1">
        <v>3743.87</v>
      </c>
      <c r="T4598">
        <f t="shared" si="521"/>
        <v>216.268695652174</v>
      </c>
      <c r="U4598">
        <f t="shared" si="519"/>
        <v>3153.3</v>
      </c>
      <c r="V4598">
        <f t="shared" ref="V4598:V4661" si="522">U4598/12</f>
        <v>262.775</v>
      </c>
      <c r="W4598">
        <f t="shared" si="517"/>
        <v>5479.7</v>
      </c>
      <c r="X4598">
        <f t="shared" si="520"/>
        <v>0.639367626487899</v>
      </c>
      <c r="AH4598" t="str">
        <f t="shared" si="518"/>
        <v>3rd Quality</v>
      </c>
      <c r="AJ4598">
        <f>((T4598-X4598)*2)/13.1</f>
        <v>32.9205080955246</v>
      </c>
      <c r="AK4598">
        <f t="shared" si="516"/>
        <v>209564.366086957</v>
      </c>
    </row>
    <row r="4599" spans="1:37">
      <c r="A4599" t="s">
        <v>4665</v>
      </c>
      <c r="B4599">
        <v>27</v>
      </c>
      <c r="C4599" t="s">
        <v>44</v>
      </c>
      <c r="D4599" t="s">
        <v>45</v>
      </c>
      <c r="E4599">
        <v>411</v>
      </c>
      <c r="F4599">
        <v>16</v>
      </c>
      <c r="G4599">
        <v>21</v>
      </c>
      <c r="H4599">
        <v>7056.51</v>
      </c>
      <c r="I4599">
        <v>155193.88</v>
      </c>
      <c r="J4599">
        <v>53</v>
      </c>
      <c r="K4599">
        <v>2</v>
      </c>
      <c r="L4599">
        <v>15.2</v>
      </c>
      <c r="M4599">
        <v>70.9</v>
      </c>
      <c r="N4599" t="s">
        <v>57</v>
      </c>
      <c r="O4599" t="s">
        <v>47</v>
      </c>
      <c r="P4599" t="s">
        <v>68</v>
      </c>
      <c r="R4599">
        <f>SUMIF(A4599:A9598,"C04598",I4599:I9598)</f>
        <v>155193.88</v>
      </c>
      <c r="S4599" s="1">
        <v>26104.57</v>
      </c>
      <c r="T4599">
        <f t="shared" si="521"/>
        <v>2928.18641509434</v>
      </c>
      <c r="U4599">
        <f t="shared" si="519"/>
        <v>3757.7</v>
      </c>
      <c r="V4599">
        <f>U4599*2</f>
        <v>7515.4</v>
      </c>
      <c r="W4599">
        <f t="shared" si="517"/>
        <v>54083.7966666667</v>
      </c>
      <c r="X4599">
        <f t="shared" si="520"/>
        <v>0.0582440895003337</v>
      </c>
      <c r="AH4599" t="str">
        <f t="shared" si="518"/>
        <v>3rd Quality</v>
      </c>
      <c r="AJ4599">
        <f>((T4599-X4599)*2)/15.2</f>
        <v>385.280022500637</v>
      </c>
      <c r="AK4599">
        <f t="shared" si="516"/>
        <v>1203484.61660377</v>
      </c>
    </row>
    <row r="4600" spans="1:37">
      <c r="A4600" t="s">
        <v>4666</v>
      </c>
      <c r="B4600">
        <v>18</v>
      </c>
      <c r="C4600" t="s">
        <v>44</v>
      </c>
      <c r="D4600" t="s">
        <v>45</v>
      </c>
      <c r="E4600">
        <v>1336</v>
      </c>
      <c r="F4600">
        <v>37</v>
      </c>
      <c r="G4600">
        <v>8</v>
      </c>
      <c r="H4600">
        <v>1208.46</v>
      </c>
      <c r="I4600">
        <v>10495.67</v>
      </c>
      <c r="J4600">
        <v>49</v>
      </c>
      <c r="K4600">
        <v>0</v>
      </c>
      <c r="L4600">
        <v>30.6</v>
      </c>
      <c r="M4600">
        <v>3.6</v>
      </c>
      <c r="N4600" t="s">
        <v>78</v>
      </c>
      <c r="O4600" t="s">
        <v>47</v>
      </c>
      <c r="P4600" t="s">
        <v>48</v>
      </c>
      <c r="R4600">
        <f>SUMIF(A4600:A9599,"C04599",I4600:I9599)</f>
        <v>10495.67</v>
      </c>
      <c r="S4600" s="1">
        <v>882.8</v>
      </c>
      <c r="T4600">
        <f t="shared" si="521"/>
        <v>214.197346938776</v>
      </c>
      <c r="U4600">
        <f t="shared" si="519"/>
        <v>176.4</v>
      </c>
      <c r="V4600">
        <f t="shared" si="522"/>
        <v>14.7</v>
      </c>
      <c r="W4600">
        <f t="shared" si="517"/>
        <v>3901.71</v>
      </c>
      <c r="X4600">
        <f t="shared" si="520"/>
        <v>1.10553928139947</v>
      </c>
      <c r="AH4600" t="str">
        <f t="shared" si="518"/>
        <v>3rd Quality</v>
      </c>
      <c r="AJ4600">
        <f>((T4600-X4600)*2)/30.6</f>
        <v>13.9275691279331</v>
      </c>
      <c r="AK4600">
        <f t="shared" si="516"/>
        <v>286167.655510204</v>
      </c>
    </row>
    <row r="4601" spans="1:37">
      <c r="A4601" t="s">
        <v>4667</v>
      </c>
      <c r="B4601">
        <v>32</v>
      </c>
      <c r="C4601" t="s">
        <v>101</v>
      </c>
      <c r="D4601" t="s">
        <v>60</v>
      </c>
      <c r="E4601">
        <v>501</v>
      </c>
      <c r="F4601">
        <v>96</v>
      </c>
      <c r="G4601">
        <v>7</v>
      </c>
      <c r="H4601">
        <v>517.79</v>
      </c>
      <c r="I4601">
        <v>3743.87</v>
      </c>
      <c r="J4601">
        <v>70</v>
      </c>
      <c r="K4601">
        <v>0</v>
      </c>
      <c r="L4601">
        <v>39.2</v>
      </c>
      <c r="M4601">
        <v>20.4</v>
      </c>
      <c r="N4601" t="s">
        <v>78</v>
      </c>
      <c r="O4601" t="s">
        <v>47</v>
      </c>
      <c r="P4601" t="s">
        <v>58</v>
      </c>
      <c r="R4601">
        <f>SUMIF(A4601:A9600,"C04600",I4601:I9600)</f>
        <v>3743.87</v>
      </c>
      <c r="S4601" s="1">
        <v>1375.2</v>
      </c>
      <c r="T4601">
        <f t="shared" si="521"/>
        <v>53.4838571428571</v>
      </c>
      <c r="U4601">
        <f t="shared" si="519"/>
        <v>1428</v>
      </c>
      <c r="V4601">
        <f t="shared" si="522"/>
        <v>119</v>
      </c>
      <c r="W4601">
        <f t="shared" si="517"/>
        <v>1420.88666666667</v>
      </c>
      <c r="X4601">
        <f t="shared" si="520"/>
        <v>0.96757372680044</v>
      </c>
      <c r="AH4601" t="str">
        <f t="shared" si="518"/>
        <v>3rd Quality</v>
      </c>
      <c r="AJ4601">
        <f>((T4601-X4601)*2)/39.2</f>
        <v>2.67940221510493</v>
      </c>
      <c r="AK4601">
        <f t="shared" si="516"/>
        <v>26795.4124285714</v>
      </c>
    </row>
    <row r="4602" spans="1:37">
      <c r="A4602" t="s">
        <v>4668</v>
      </c>
      <c r="B4602">
        <v>40</v>
      </c>
      <c r="C4602" t="s">
        <v>50</v>
      </c>
      <c r="D4602" t="s">
        <v>51</v>
      </c>
      <c r="E4602">
        <v>1051</v>
      </c>
      <c r="F4602">
        <v>8</v>
      </c>
      <c r="G4602">
        <v>4</v>
      </c>
      <c r="H4602">
        <v>6976.04</v>
      </c>
      <c r="I4602">
        <v>26104.57</v>
      </c>
      <c r="J4602">
        <v>41</v>
      </c>
      <c r="K4602">
        <v>0</v>
      </c>
      <c r="L4602">
        <v>12.8</v>
      </c>
      <c r="M4602">
        <v>10.7</v>
      </c>
      <c r="N4602" t="s">
        <v>46</v>
      </c>
      <c r="O4602" t="s">
        <v>47</v>
      </c>
      <c r="P4602" t="s">
        <v>48</v>
      </c>
      <c r="R4602">
        <f>SUMIF(A4602:A9601,"C04601",I4602:I9601)</f>
        <v>26104.57</v>
      </c>
      <c r="S4602" s="1">
        <v>10625.89</v>
      </c>
      <c r="T4602">
        <f t="shared" si="521"/>
        <v>636.696829268293</v>
      </c>
      <c r="U4602">
        <f t="shared" si="519"/>
        <v>438.7</v>
      </c>
      <c r="V4602">
        <f t="shared" si="522"/>
        <v>36.5583333333333</v>
      </c>
      <c r="W4602">
        <f t="shared" si="517"/>
        <v>11027.2033333333</v>
      </c>
      <c r="X4602">
        <f t="shared" si="520"/>
        <v>0.150658539801951</v>
      </c>
      <c r="AH4602" t="str">
        <f t="shared" si="518"/>
        <v>2nd Quality</v>
      </c>
      <c r="AJ4602">
        <f>((T4602-X4602)*2)/12.8</f>
        <v>99.4603391763267</v>
      </c>
      <c r="AK4602">
        <f t="shared" si="516"/>
        <v>669168.367560976</v>
      </c>
    </row>
    <row r="4603" spans="1:37">
      <c r="A4603" t="s">
        <v>4669</v>
      </c>
      <c r="B4603">
        <v>31</v>
      </c>
      <c r="C4603" t="s">
        <v>44</v>
      </c>
      <c r="D4603" t="s">
        <v>51</v>
      </c>
      <c r="E4603">
        <v>416</v>
      </c>
      <c r="F4603">
        <v>136</v>
      </c>
      <c r="G4603">
        <v>1</v>
      </c>
      <c r="H4603">
        <v>853.08</v>
      </c>
      <c r="I4603">
        <v>882.8</v>
      </c>
      <c r="J4603">
        <v>12</v>
      </c>
      <c r="K4603">
        <v>0</v>
      </c>
      <c r="L4603">
        <v>12.5</v>
      </c>
      <c r="M4603">
        <v>7.8</v>
      </c>
      <c r="N4603" t="s">
        <v>46</v>
      </c>
      <c r="O4603" t="s">
        <v>47</v>
      </c>
      <c r="P4603" t="s">
        <v>58</v>
      </c>
      <c r="R4603">
        <f>SUMIF(A4603:A9602,"C04602",I4603:I9602)</f>
        <v>882.8</v>
      </c>
      <c r="S4603" s="1">
        <v>4967.08</v>
      </c>
      <c r="T4603">
        <f t="shared" si="521"/>
        <v>73.5666666666667</v>
      </c>
      <c r="U4603">
        <f t="shared" si="519"/>
        <v>93.6</v>
      </c>
      <c r="V4603">
        <f t="shared" si="522"/>
        <v>7.8</v>
      </c>
      <c r="W4603">
        <f t="shared" si="517"/>
        <v>578.96</v>
      </c>
      <c r="X4603">
        <f t="shared" si="520"/>
        <v>0.487644769540957</v>
      </c>
      <c r="AH4603" t="str">
        <f t="shared" si="518"/>
        <v>3rd Quality</v>
      </c>
      <c r="AJ4603">
        <f>((T4603-X4603)*2)/12.5</f>
        <v>11.6926435035401</v>
      </c>
      <c r="AK4603">
        <f t="shared" si="516"/>
        <v>30603.7333333333</v>
      </c>
    </row>
    <row r="4604" spans="1:37">
      <c r="A4604" t="s">
        <v>4670</v>
      </c>
      <c r="B4604">
        <v>34</v>
      </c>
      <c r="C4604" t="s">
        <v>50</v>
      </c>
      <c r="D4604" t="s">
        <v>51</v>
      </c>
      <c r="E4604">
        <v>1282</v>
      </c>
      <c r="F4604">
        <v>132</v>
      </c>
      <c r="G4604">
        <v>1</v>
      </c>
      <c r="H4604">
        <v>1335.85</v>
      </c>
      <c r="I4604">
        <v>1375.2</v>
      </c>
      <c r="J4604">
        <v>16</v>
      </c>
      <c r="K4604">
        <v>0</v>
      </c>
      <c r="L4604">
        <v>13.4</v>
      </c>
      <c r="M4604">
        <v>7.9</v>
      </c>
      <c r="N4604" t="s">
        <v>46</v>
      </c>
      <c r="O4604" t="s">
        <v>53</v>
      </c>
      <c r="P4604" t="s">
        <v>58</v>
      </c>
      <c r="R4604">
        <f>SUMIF(A4604:A9603,"C04603",I4604:I9603)</f>
        <v>1375.2</v>
      </c>
      <c r="S4604" s="1">
        <v>23776.12</v>
      </c>
      <c r="T4604">
        <f t="shared" si="521"/>
        <v>85.95</v>
      </c>
      <c r="U4604">
        <f t="shared" si="519"/>
        <v>126.4</v>
      </c>
      <c r="V4604">
        <f t="shared" si="522"/>
        <v>10.5333333333333</v>
      </c>
      <c r="W4604">
        <f t="shared" si="517"/>
        <v>904.016666666667</v>
      </c>
      <c r="X4604">
        <f t="shared" si="520"/>
        <v>0.959688587790545</v>
      </c>
      <c r="AH4604" t="str">
        <f t="shared" si="518"/>
        <v>3rd Quality</v>
      </c>
      <c r="AJ4604">
        <f>((T4604-X4604)*2)/13.4</f>
        <v>12.6851211062999</v>
      </c>
      <c r="AK4604">
        <f t="shared" si="516"/>
        <v>110187.9</v>
      </c>
    </row>
    <row r="4605" spans="1:37">
      <c r="A4605" t="s">
        <v>4671</v>
      </c>
      <c r="B4605">
        <v>37</v>
      </c>
      <c r="C4605" t="s">
        <v>50</v>
      </c>
      <c r="D4605" t="s">
        <v>45</v>
      </c>
      <c r="E4605">
        <v>1053</v>
      </c>
      <c r="F4605">
        <v>15</v>
      </c>
      <c r="G4605">
        <v>2</v>
      </c>
      <c r="H4605">
        <v>5966.42</v>
      </c>
      <c r="I4605">
        <v>10625.89</v>
      </c>
      <c r="J4605">
        <v>18</v>
      </c>
      <c r="K4605">
        <v>0</v>
      </c>
      <c r="L4605">
        <v>0</v>
      </c>
      <c r="M4605">
        <v>32.8</v>
      </c>
      <c r="N4605" t="s">
        <v>46</v>
      </c>
      <c r="O4605" t="s">
        <v>53</v>
      </c>
      <c r="P4605" t="s">
        <v>68</v>
      </c>
      <c r="R4605">
        <f>SUMIF(A4605:A9604,"C04604",I4605:I9604)</f>
        <v>10625.89</v>
      </c>
      <c r="S4605" s="1">
        <v>919.4</v>
      </c>
      <c r="T4605">
        <f t="shared" si="521"/>
        <v>590.327222222222</v>
      </c>
      <c r="U4605">
        <f t="shared" si="519"/>
        <v>590.4</v>
      </c>
      <c r="V4605">
        <f t="shared" si="522"/>
        <v>49.2</v>
      </c>
      <c r="W4605">
        <f t="shared" si="517"/>
        <v>5531.10333333333</v>
      </c>
      <c r="X4605">
        <f t="shared" si="520"/>
        <v>0.176487743068708</v>
      </c>
      <c r="AH4605" t="str">
        <f t="shared" si="518"/>
        <v>3rd Quality</v>
      </c>
      <c r="AJ4605">
        <f>((T4605-X4605)*2)</f>
        <v>1180.30146895831</v>
      </c>
      <c r="AK4605">
        <f t="shared" si="516"/>
        <v>621614.565</v>
      </c>
    </row>
    <row r="4606" spans="1:37">
      <c r="A4606" t="s">
        <v>4672</v>
      </c>
      <c r="B4606">
        <v>40</v>
      </c>
      <c r="C4606" t="s">
        <v>50</v>
      </c>
      <c r="D4606" t="s">
        <v>45</v>
      </c>
      <c r="E4606">
        <v>1303</v>
      </c>
      <c r="F4606">
        <v>144</v>
      </c>
      <c r="G4606">
        <v>4</v>
      </c>
      <c r="H4606">
        <v>1210.71</v>
      </c>
      <c r="I4606">
        <v>4967.08</v>
      </c>
      <c r="J4606">
        <v>27</v>
      </c>
      <c r="K4606">
        <v>0</v>
      </c>
      <c r="L4606">
        <v>23.3</v>
      </c>
      <c r="M4606">
        <v>48</v>
      </c>
      <c r="N4606" t="s">
        <v>61</v>
      </c>
      <c r="O4606" t="s">
        <v>47</v>
      </c>
      <c r="P4606" t="s">
        <v>48</v>
      </c>
      <c r="R4606">
        <f>SUMIF(A4606:A9605,"C04605",I4606:I9605)</f>
        <v>4967.08</v>
      </c>
      <c r="S4606" s="1">
        <v>90817.23</v>
      </c>
      <c r="T4606">
        <f t="shared" si="521"/>
        <v>183.965925925926</v>
      </c>
      <c r="U4606">
        <f t="shared" si="519"/>
        <v>1296</v>
      </c>
      <c r="V4606">
        <f t="shared" si="522"/>
        <v>108</v>
      </c>
      <c r="W4606">
        <f t="shared" si="517"/>
        <v>2059.59666666667</v>
      </c>
      <c r="X4606">
        <f t="shared" si="520"/>
        <v>1.07622799844719</v>
      </c>
      <c r="AH4606" t="str">
        <f t="shared" si="518"/>
        <v>3rd Quality</v>
      </c>
      <c r="AJ4606">
        <f>((T4606-X4606)*2)/23.3</f>
        <v>15.6986865173802</v>
      </c>
      <c r="AK4606">
        <f t="shared" si="516"/>
        <v>239707.601481481</v>
      </c>
    </row>
    <row r="4607" spans="1:37">
      <c r="A4607" t="s">
        <v>4673</v>
      </c>
      <c r="B4607">
        <v>23</v>
      </c>
      <c r="C4607" t="s">
        <v>44</v>
      </c>
      <c r="D4607" t="s">
        <v>60</v>
      </c>
      <c r="E4607">
        <v>700</v>
      </c>
      <c r="F4607">
        <v>22</v>
      </c>
      <c r="G4607">
        <v>13</v>
      </c>
      <c r="H4607">
        <v>1814.74</v>
      </c>
      <c r="I4607">
        <v>23776.12</v>
      </c>
      <c r="J4607">
        <v>30</v>
      </c>
      <c r="K4607">
        <v>0</v>
      </c>
      <c r="L4607">
        <v>13.1</v>
      </c>
      <c r="M4607">
        <v>21.9</v>
      </c>
      <c r="N4607" t="s">
        <v>52</v>
      </c>
      <c r="O4607" t="s">
        <v>75</v>
      </c>
      <c r="P4607" t="s">
        <v>58</v>
      </c>
      <c r="R4607">
        <f>SUMIF(A4607:A9606,"C04606",I4607:I9606)</f>
        <v>23776.12</v>
      </c>
      <c r="S4607" s="1">
        <v>65934.98</v>
      </c>
      <c r="T4607">
        <f t="shared" si="521"/>
        <v>792.537333333333</v>
      </c>
      <c r="U4607">
        <f t="shared" si="519"/>
        <v>657</v>
      </c>
      <c r="V4607">
        <f t="shared" si="522"/>
        <v>54.75</v>
      </c>
      <c r="W4607">
        <f t="shared" si="517"/>
        <v>8530.62</v>
      </c>
      <c r="X4607">
        <f t="shared" si="520"/>
        <v>0.385730187244454</v>
      </c>
      <c r="AH4607" t="str">
        <f t="shared" si="518"/>
        <v>2nd Quality</v>
      </c>
      <c r="AJ4607">
        <f>((T4607-X4607)*2)/13.1</f>
        <v>120.939176052838</v>
      </c>
      <c r="AK4607">
        <f t="shared" si="516"/>
        <v>554776.133333333</v>
      </c>
    </row>
    <row r="4608" spans="1:37">
      <c r="A4608" t="s">
        <v>4674</v>
      </c>
      <c r="B4608">
        <v>51</v>
      </c>
      <c r="C4608" t="s">
        <v>44</v>
      </c>
      <c r="D4608" t="s">
        <v>45</v>
      </c>
      <c r="E4608">
        <v>1344</v>
      </c>
      <c r="F4608">
        <v>5</v>
      </c>
      <c r="G4608">
        <v>1</v>
      </c>
      <c r="H4608">
        <v>968.33</v>
      </c>
      <c r="I4608">
        <v>919.4</v>
      </c>
      <c r="J4608">
        <v>13</v>
      </c>
      <c r="K4608">
        <v>0</v>
      </c>
      <c r="L4608">
        <v>33.1</v>
      </c>
      <c r="M4608">
        <v>51.4</v>
      </c>
      <c r="N4608" t="s">
        <v>46</v>
      </c>
      <c r="O4608" t="s">
        <v>75</v>
      </c>
      <c r="P4608" t="s">
        <v>66</v>
      </c>
      <c r="R4608">
        <f>SUMIF(A4608:A9607,"C04607",I4608:I9607)</f>
        <v>919.4</v>
      </c>
      <c r="S4608" s="1">
        <v>4696.91</v>
      </c>
      <c r="T4608">
        <f t="shared" si="521"/>
        <v>70.7230769230769</v>
      </c>
      <c r="U4608">
        <f t="shared" si="519"/>
        <v>668.2</v>
      </c>
      <c r="V4608">
        <f t="shared" si="522"/>
        <v>55.6833333333333</v>
      </c>
      <c r="W4608">
        <f t="shared" si="517"/>
        <v>629.576666666667</v>
      </c>
      <c r="X4608">
        <f t="shared" si="520"/>
        <v>1.38795658504849</v>
      </c>
      <c r="AH4608" t="str">
        <f t="shared" si="518"/>
        <v>3rd Quality</v>
      </c>
      <c r="AJ4608">
        <f>((T4608-X4608)*2)/33.1</f>
        <v>4.18943325305308</v>
      </c>
      <c r="AK4608">
        <f t="shared" si="516"/>
        <v>95051.8153846154</v>
      </c>
    </row>
    <row r="4609" spans="1:37">
      <c r="A4609" t="s">
        <v>4675</v>
      </c>
      <c r="B4609">
        <v>26</v>
      </c>
      <c r="C4609" t="s">
        <v>50</v>
      </c>
      <c r="D4609" t="s">
        <v>51</v>
      </c>
      <c r="E4609">
        <v>1345</v>
      </c>
      <c r="F4609">
        <v>12</v>
      </c>
      <c r="G4609">
        <v>19</v>
      </c>
      <c r="H4609">
        <v>5099.38</v>
      </c>
      <c r="I4609">
        <v>90817.23</v>
      </c>
      <c r="J4609">
        <v>119</v>
      </c>
      <c r="K4609">
        <v>0</v>
      </c>
      <c r="L4609">
        <v>15.7</v>
      </c>
      <c r="M4609">
        <v>26.7</v>
      </c>
      <c r="N4609" t="s">
        <v>63</v>
      </c>
      <c r="O4609" t="s">
        <v>53</v>
      </c>
      <c r="P4609" t="s">
        <v>68</v>
      </c>
      <c r="R4609">
        <f>SUMIF(A4609:A9608,"C04608",I4609:I9608)</f>
        <v>90817.23</v>
      </c>
      <c r="S4609" s="1">
        <v>3711.36</v>
      </c>
      <c r="T4609">
        <f t="shared" si="521"/>
        <v>763.17</v>
      </c>
      <c r="U4609">
        <f t="shared" si="519"/>
        <v>3177.3</v>
      </c>
      <c r="V4609">
        <f t="shared" si="522"/>
        <v>264.775</v>
      </c>
      <c r="W4609">
        <f t="shared" si="517"/>
        <v>31972.5366666667</v>
      </c>
      <c r="X4609">
        <f t="shared" si="520"/>
        <v>0.26375755484</v>
      </c>
      <c r="AH4609" t="str">
        <f t="shared" si="518"/>
        <v>1st Quality</v>
      </c>
      <c r="AJ4609">
        <f>((T4609-X4609)*2)/15.7</f>
        <v>97.1855085917401</v>
      </c>
      <c r="AK4609">
        <f t="shared" si="516"/>
        <v>1026463.65</v>
      </c>
    </row>
    <row r="4610" spans="1:37">
      <c r="A4610" t="s">
        <v>4676</v>
      </c>
      <c r="B4610">
        <v>38</v>
      </c>
      <c r="C4610" t="s">
        <v>44</v>
      </c>
      <c r="D4610" t="s">
        <v>60</v>
      </c>
      <c r="E4610">
        <v>891</v>
      </c>
      <c r="F4610">
        <v>28</v>
      </c>
      <c r="G4610">
        <v>24</v>
      </c>
      <c r="H4610">
        <v>2581.33</v>
      </c>
      <c r="I4610">
        <v>65934.98</v>
      </c>
      <c r="J4610">
        <v>152</v>
      </c>
      <c r="K4610">
        <v>0</v>
      </c>
      <c r="L4610">
        <v>24.8</v>
      </c>
      <c r="M4610">
        <v>43.5</v>
      </c>
      <c r="N4610" t="s">
        <v>78</v>
      </c>
      <c r="O4610" t="s">
        <v>47</v>
      </c>
      <c r="P4610" t="s">
        <v>48</v>
      </c>
      <c r="R4610">
        <f>SUMIF(A4610:A9609,"C04609",I4610:I9609)</f>
        <v>65934.98</v>
      </c>
      <c r="S4610" s="1">
        <v>8838.17</v>
      </c>
      <c r="T4610">
        <f t="shared" si="521"/>
        <v>433.782763157895</v>
      </c>
      <c r="U4610">
        <f t="shared" si="519"/>
        <v>6612</v>
      </c>
      <c r="V4610">
        <f t="shared" si="522"/>
        <v>551</v>
      </c>
      <c r="W4610">
        <f t="shared" si="517"/>
        <v>22839.1033333333</v>
      </c>
      <c r="X4610">
        <f t="shared" si="520"/>
        <v>0.34517090027234</v>
      </c>
      <c r="AH4610" t="str">
        <f t="shared" si="518"/>
        <v>2nd Quality</v>
      </c>
      <c r="AJ4610">
        <f>((T4610-X4610)*2)/24.8</f>
        <v>34.9546445369051</v>
      </c>
      <c r="AK4610">
        <f t="shared" si="516"/>
        <v>386500.441973684</v>
      </c>
    </row>
    <row r="4611" spans="1:37">
      <c r="A4611" t="s">
        <v>4677</v>
      </c>
      <c r="B4611">
        <v>49</v>
      </c>
      <c r="C4611" t="s">
        <v>44</v>
      </c>
      <c r="D4611" t="s">
        <v>60</v>
      </c>
      <c r="E4611">
        <v>1016</v>
      </c>
      <c r="F4611">
        <v>18</v>
      </c>
      <c r="G4611">
        <v>3</v>
      </c>
      <c r="H4611">
        <v>1748.18</v>
      </c>
      <c r="I4611">
        <v>4696.91</v>
      </c>
      <c r="J4611">
        <v>19</v>
      </c>
      <c r="K4611">
        <v>1</v>
      </c>
      <c r="L4611">
        <v>38.6</v>
      </c>
      <c r="M4611">
        <v>33.3</v>
      </c>
      <c r="N4611" t="s">
        <v>46</v>
      </c>
      <c r="O4611" t="s">
        <v>53</v>
      </c>
      <c r="P4611" t="s">
        <v>58</v>
      </c>
      <c r="R4611">
        <f>SUMIF(A4611:A9610,"C04610",I4611:I9610)</f>
        <v>4696.91</v>
      </c>
      <c r="S4611" s="1">
        <v>2960.08</v>
      </c>
      <c r="T4611">
        <f t="shared" si="521"/>
        <v>247.205789473684</v>
      </c>
      <c r="U4611">
        <f t="shared" si="519"/>
        <v>632.7</v>
      </c>
      <c r="V4611">
        <f>U4611*1</f>
        <v>632.7</v>
      </c>
      <c r="W4611">
        <f t="shared" si="517"/>
        <v>2148.69666666667</v>
      </c>
      <c r="X4611">
        <f t="shared" si="520"/>
        <v>0.581175851456944</v>
      </c>
      <c r="AH4611" t="str">
        <f t="shared" si="518"/>
        <v>3rd Quality</v>
      </c>
      <c r="AJ4611">
        <f>((T4611-X4611)*2)/38.6</f>
        <v>12.7784773897527</v>
      </c>
      <c r="AK4611">
        <f t="shared" ref="AK4611:AK4674" si="523">I4611/J4611*E4611</f>
        <v>251161.082105263</v>
      </c>
    </row>
    <row r="4612" spans="1:37">
      <c r="A4612" t="s">
        <v>4678</v>
      </c>
      <c r="B4612">
        <v>24</v>
      </c>
      <c r="C4612" t="s">
        <v>50</v>
      </c>
      <c r="D4612" t="s">
        <v>60</v>
      </c>
      <c r="E4612">
        <v>780</v>
      </c>
      <c r="F4612">
        <v>310</v>
      </c>
      <c r="G4612">
        <v>1</v>
      </c>
      <c r="H4612">
        <v>3913.78</v>
      </c>
      <c r="I4612">
        <v>3711.36</v>
      </c>
      <c r="J4612">
        <v>16</v>
      </c>
      <c r="K4612">
        <v>0</v>
      </c>
      <c r="L4612">
        <v>18.7</v>
      </c>
      <c r="M4612">
        <v>27.5</v>
      </c>
      <c r="N4612" t="s">
        <v>81</v>
      </c>
      <c r="O4612" t="s">
        <v>47</v>
      </c>
      <c r="P4612" t="s">
        <v>58</v>
      </c>
      <c r="R4612">
        <f>SUMIF(A4612:A9611,"C04611",I4612:I9611)</f>
        <v>3711.36</v>
      </c>
      <c r="S4612" s="1">
        <v>6411.43</v>
      </c>
      <c r="T4612">
        <f t="shared" si="521"/>
        <v>231.96</v>
      </c>
      <c r="U4612">
        <f t="shared" si="519"/>
        <v>440</v>
      </c>
      <c r="V4612">
        <f t="shared" si="522"/>
        <v>36.6666666666667</v>
      </c>
      <c r="W4612">
        <f t="shared" si="517"/>
        <v>2542.04666666667</v>
      </c>
      <c r="X4612">
        <f t="shared" si="520"/>
        <v>0.199295821430944</v>
      </c>
      <c r="AH4612" t="str">
        <f t="shared" si="518"/>
        <v>3rd Quality</v>
      </c>
      <c r="AJ4612">
        <f>((T4612-X4612)*2)/18.7</f>
        <v>24.787241088617</v>
      </c>
      <c r="AK4612">
        <f t="shared" si="523"/>
        <v>180928.8</v>
      </c>
    </row>
    <row r="4613" spans="1:37">
      <c r="A4613" t="s">
        <v>4679</v>
      </c>
      <c r="B4613">
        <v>38</v>
      </c>
      <c r="C4613" t="s">
        <v>44</v>
      </c>
      <c r="D4613" t="s">
        <v>60</v>
      </c>
      <c r="E4613">
        <v>1222</v>
      </c>
      <c r="F4613">
        <v>70</v>
      </c>
      <c r="G4613">
        <v>5</v>
      </c>
      <c r="H4613">
        <v>1686.26</v>
      </c>
      <c r="I4613">
        <v>8838.17</v>
      </c>
      <c r="J4613">
        <v>22</v>
      </c>
      <c r="K4613">
        <v>0</v>
      </c>
      <c r="L4613">
        <v>17.9</v>
      </c>
      <c r="M4613">
        <v>21.8</v>
      </c>
      <c r="N4613" t="s">
        <v>78</v>
      </c>
      <c r="O4613" t="s">
        <v>47</v>
      </c>
      <c r="P4613" t="s">
        <v>54</v>
      </c>
      <c r="R4613">
        <f>SUMIF(A4613:A9612,"C04612",I4613:I9612)</f>
        <v>8838.17</v>
      </c>
      <c r="S4613" s="1">
        <v>10287.21</v>
      </c>
      <c r="T4613">
        <f t="shared" si="521"/>
        <v>401.735</v>
      </c>
      <c r="U4613">
        <f t="shared" si="519"/>
        <v>479.6</v>
      </c>
      <c r="V4613">
        <f t="shared" si="522"/>
        <v>39.9666666666667</v>
      </c>
      <c r="W4613">
        <f t="shared" si="517"/>
        <v>3508.47666666667</v>
      </c>
      <c r="X4613">
        <f t="shared" si="520"/>
        <v>0.724680654228885</v>
      </c>
      <c r="AH4613" t="str">
        <f t="shared" si="518"/>
        <v>3rd Quality</v>
      </c>
      <c r="AJ4613">
        <f>((T4613-X4613)*2)/17.9</f>
        <v>44.8056222732705</v>
      </c>
      <c r="AK4613">
        <f t="shared" si="523"/>
        <v>490920.17</v>
      </c>
    </row>
    <row r="4614" spans="1:37">
      <c r="A4614" t="s">
        <v>4680</v>
      </c>
      <c r="B4614">
        <v>26</v>
      </c>
      <c r="C4614" t="s">
        <v>56</v>
      </c>
      <c r="D4614" t="s">
        <v>51</v>
      </c>
      <c r="E4614">
        <v>1069</v>
      </c>
      <c r="F4614">
        <v>65</v>
      </c>
      <c r="G4614">
        <v>3</v>
      </c>
      <c r="H4614">
        <v>1060.72</v>
      </c>
      <c r="I4614">
        <v>2960.08</v>
      </c>
      <c r="J4614">
        <v>21</v>
      </c>
      <c r="K4614">
        <v>0</v>
      </c>
      <c r="L4614">
        <v>26.3</v>
      </c>
      <c r="M4614">
        <v>37.3</v>
      </c>
      <c r="N4614" t="s">
        <v>46</v>
      </c>
      <c r="O4614" t="s">
        <v>53</v>
      </c>
      <c r="P4614" t="s">
        <v>58</v>
      </c>
      <c r="R4614">
        <f>SUMIF(A4614:A9613,"C04613",I4614:I9613)</f>
        <v>2960.08</v>
      </c>
      <c r="S4614" s="1">
        <v>5620.23</v>
      </c>
      <c r="T4614">
        <f t="shared" si="521"/>
        <v>140.95619047619</v>
      </c>
      <c r="U4614">
        <f t="shared" si="519"/>
        <v>783.3</v>
      </c>
      <c r="V4614">
        <f t="shared" si="522"/>
        <v>65.275</v>
      </c>
      <c r="W4614">
        <f t="shared" si="517"/>
        <v>1340.6</v>
      </c>
      <c r="X4614">
        <f t="shared" si="520"/>
        <v>1.00780601855344</v>
      </c>
      <c r="AH4614" t="str">
        <f t="shared" si="518"/>
        <v>3rd Quality</v>
      </c>
      <c r="AJ4614">
        <f>((T4614-X4614)*2)/26.3</f>
        <v>10.6424626963982</v>
      </c>
      <c r="AK4614">
        <f t="shared" si="523"/>
        <v>150682.167619048</v>
      </c>
    </row>
    <row r="4615" spans="1:37">
      <c r="A4615" t="s">
        <v>4681</v>
      </c>
      <c r="B4615">
        <v>21</v>
      </c>
      <c r="C4615" t="s">
        <v>44</v>
      </c>
      <c r="D4615" t="s">
        <v>51</v>
      </c>
      <c r="E4615">
        <v>528</v>
      </c>
      <c r="F4615">
        <v>48</v>
      </c>
      <c r="G4615">
        <v>7</v>
      </c>
      <c r="H4615">
        <v>1008.47</v>
      </c>
      <c r="I4615">
        <v>6411.43</v>
      </c>
      <c r="J4615">
        <v>51</v>
      </c>
      <c r="K4615">
        <v>2</v>
      </c>
      <c r="L4615">
        <v>17.2</v>
      </c>
      <c r="M4615">
        <v>33</v>
      </c>
      <c r="N4615" t="s">
        <v>78</v>
      </c>
      <c r="O4615" t="s">
        <v>53</v>
      </c>
      <c r="P4615" t="s">
        <v>58</v>
      </c>
      <c r="R4615">
        <f>SUMIF(A4615:A9614,"C04614",I4615:I9614)</f>
        <v>6411.43</v>
      </c>
      <c r="S4615" s="1">
        <v>114495.38</v>
      </c>
      <c r="T4615">
        <f t="shared" si="521"/>
        <v>125.71431372549</v>
      </c>
      <c r="U4615">
        <f t="shared" si="519"/>
        <v>1683</v>
      </c>
      <c r="V4615">
        <f>U4615*2</f>
        <v>3366</v>
      </c>
      <c r="W4615">
        <f t="shared" si="517"/>
        <v>2473.63333333333</v>
      </c>
      <c r="X4615">
        <f t="shared" si="520"/>
        <v>0.52356540105308</v>
      </c>
      <c r="AH4615" t="str">
        <f t="shared" si="518"/>
        <v>3rd Quality</v>
      </c>
      <c r="AJ4615">
        <f>((T4615-X4615)*2)/17.2</f>
        <v>14.5570637586555</v>
      </c>
      <c r="AK4615">
        <f t="shared" si="523"/>
        <v>66377.1576470588</v>
      </c>
    </row>
    <row r="4616" spans="1:37">
      <c r="A4616" t="s">
        <v>4682</v>
      </c>
      <c r="B4616">
        <v>48</v>
      </c>
      <c r="C4616" t="s">
        <v>56</v>
      </c>
      <c r="D4616" t="s">
        <v>45</v>
      </c>
      <c r="E4616">
        <v>817</v>
      </c>
      <c r="F4616">
        <v>41</v>
      </c>
      <c r="G4616">
        <v>8</v>
      </c>
      <c r="H4616">
        <v>1152.35</v>
      </c>
      <c r="I4616">
        <v>10287.21</v>
      </c>
      <c r="J4616">
        <v>36</v>
      </c>
      <c r="K4616">
        <v>2</v>
      </c>
      <c r="L4616">
        <v>38.4</v>
      </c>
      <c r="M4616">
        <v>38</v>
      </c>
      <c r="N4616" t="s">
        <v>46</v>
      </c>
      <c r="O4616" t="s">
        <v>47</v>
      </c>
      <c r="P4616" t="s">
        <v>58</v>
      </c>
      <c r="R4616">
        <f>SUMIF(A4616:A9615,"C04615",I4616:I9615)</f>
        <v>10287.21</v>
      </c>
      <c r="S4616" s="1">
        <v>4818.54</v>
      </c>
      <c r="T4616">
        <f t="shared" si="521"/>
        <v>285.755833333333</v>
      </c>
      <c r="U4616">
        <f t="shared" si="519"/>
        <v>1368</v>
      </c>
      <c r="V4616">
        <f>U4616*2</f>
        <v>2736</v>
      </c>
      <c r="W4616">
        <f t="shared" si="517"/>
        <v>3813.52</v>
      </c>
      <c r="X4616">
        <f t="shared" si="520"/>
        <v>0.708985985160759</v>
      </c>
      <c r="AH4616" t="str">
        <f t="shared" si="518"/>
        <v>3rd Quality</v>
      </c>
      <c r="AJ4616">
        <f>((T4616-X4616)*2)/38.4</f>
        <v>14.8461899660506</v>
      </c>
      <c r="AK4616">
        <f t="shared" si="523"/>
        <v>233462.515833333</v>
      </c>
    </row>
    <row r="4617" spans="1:37">
      <c r="A4617" t="s">
        <v>4683</v>
      </c>
      <c r="B4617">
        <v>34</v>
      </c>
      <c r="C4617" t="s">
        <v>50</v>
      </c>
      <c r="D4617" t="s">
        <v>60</v>
      </c>
      <c r="E4617">
        <v>817</v>
      </c>
      <c r="F4617">
        <v>57</v>
      </c>
      <c r="G4617">
        <v>6</v>
      </c>
      <c r="H4617">
        <v>922.18</v>
      </c>
      <c r="I4617">
        <v>5620.23</v>
      </c>
      <c r="J4617">
        <v>35</v>
      </c>
      <c r="K4617">
        <v>1</v>
      </c>
      <c r="L4617">
        <v>2.6</v>
      </c>
      <c r="M4617">
        <v>41.1</v>
      </c>
      <c r="N4617" t="s">
        <v>52</v>
      </c>
      <c r="O4617" t="s">
        <v>47</v>
      </c>
      <c r="P4617" t="s">
        <v>48</v>
      </c>
      <c r="R4617">
        <f>SUMIF(A4617:A9616,"C04616",I4617:I9616)</f>
        <v>5620.23</v>
      </c>
      <c r="S4617" s="1">
        <v>30324.3</v>
      </c>
      <c r="T4617">
        <f t="shared" si="521"/>
        <v>160.578</v>
      </c>
      <c r="U4617">
        <f t="shared" si="519"/>
        <v>1438.5</v>
      </c>
      <c r="V4617">
        <f>U4617*1</f>
        <v>1438.5</v>
      </c>
      <c r="W4617">
        <f t="shared" ref="W4617:W4680" si="524">(H4617+I4617+1)/3</f>
        <v>2181.13666666667</v>
      </c>
      <c r="X4617">
        <f t="shared" si="520"/>
        <v>0.885944175757444</v>
      </c>
      <c r="AH4617" t="str">
        <f t="shared" si="518"/>
        <v>3rd Quality</v>
      </c>
      <c r="AJ4617">
        <f>((T4617-X4617)*2)/2.6</f>
        <v>122.840042941725</v>
      </c>
      <c r="AK4617">
        <f t="shared" si="523"/>
        <v>131192.226</v>
      </c>
    </row>
    <row r="4618" spans="1:37">
      <c r="A4618" t="s">
        <v>4684</v>
      </c>
      <c r="B4618">
        <v>31</v>
      </c>
      <c r="C4618" t="s">
        <v>44</v>
      </c>
      <c r="D4618" t="s">
        <v>45</v>
      </c>
      <c r="E4618">
        <v>844</v>
      </c>
      <c r="F4618">
        <v>7</v>
      </c>
      <c r="G4618">
        <v>20</v>
      </c>
      <c r="H4618">
        <v>6061.14</v>
      </c>
      <c r="I4618">
        <v>114495.38</v>
      </c>
      <c r="J4618">
        <v>47</v>
      </c>
      <c r="K4618">
        <v>0</v>
      </c>
      <c r="L4618">
        <v>20.3</v>
      </c>
      <c r="M4618">
        <v>52.7</v>
      </c>
      <c r="N4618" t="s">
        <v>78</v>
      </c>
      <c r="O4618" t="s">
        <v>47</v>
      </c>
      <c r="P4618" t="s">
        <v>58</v>
      </c>
      <c r="R4618">
        <f>SUMIF(A4618:A9617,"C04617",I4618:I9617)</f>
        <v>114495.38</v>
      </c>
      <c r="S4618" s="1">
        <v>50230.62</v>
      </c>
      <c r="T4618">
        <f t="shared" si="521"/>
        <v>2436.07191489362</v>
      </c>
      <c r="U4618">
        <f t="shared" si="519"/>
        <v>2476.9</v>
      </c>
      <c r="V4618">
        <f t="shared" si="522"/>
        <v>206.408333333333</v>
      </c>
      <c r="W4618">
        <f t="shared" si="524"/>
        <v>40185.84</v>
      </c>
      <c r="X4618">
        <f t="shared" si="520"/>
        <v>0.139247732274787</v>
      </c>
      <c r="AH4618" t="str">
        <f t="shared" si="518"/>
        <v>2nd Quality</v>
      </c>
      <c r="AJ4618">
        <f>((T4618-X4618)*2)/20.3</f>
        <v>239.993366222793</v>
      </c>
      <c r="AK4618">
        <f t="shared" si="523"/>
        <v>2056044.69617021</v>
      </c>
    </row>
    <row r="4619" spans="1:37">
      <c r="A4619" t="s">
        <v>4685</v>
      </c>
      <c r="B4619">
        <v>29</v>
      </c>
      <c r="C4619" t="s">
        <v>50</v>
      </c>
      <c r="D4619" t="s">
        <v>45</v>
      </c>
      <c r="E4619">
        <v>1051</v>
      </c>
      <c r="F4619">
        <v>23</v>
      </c>
      <c r="G4619">
        <v>1</v>
      </c>
      <c r="H4619">
        <v>5254.96</v>
      </c>
      <c r="I4619">
        <v>4818.54</v>
      </c>
      <c r="J4619">
        <v>16</v>
      </c>
      <c r="K4619">
        <v>0</v>
      </c>
      <c r="L4619">
        <v>0</v>
      </c>
      <c r="M4619">
        <v>31.5</v>
      </c>
      <c r="N4619" t="s">
        <v>46</v>
      </c>
      <c r="O4619" t="s">
        <v>75</v>
      </c>
      <c r="P4619" t="s">
        <v>58</v>
      </c>
      <c r="R4619">
        <f>SUMIF(A4619:A9618,"C04618",I4619:I9618)</f>
        <v>4818.54</v>
      </c>
      <c r="S4619" s="1">
        <v>31928.95</v>
      </c>
      <c r="T4619">
        <f t="shared" si="521"/>
        <v>301.15875</v>
      </c>
      <c r="U4619">
        <f t="shared" si="519"/>
        <v>504</v>
      </c>
      <c r="V4619">
        <f t="shared" si="522"/>
        <v>42</v>
      </c>
      <c r="W4619">
        <f t="shared" si="524"/>
        <v>3358.16666666667</v>
      </c>
      <c r="X4619">
        <f t="shared" si="520"/>
        <v>0.200001522371245</v>
      </c>
      <c r="AH4619" t="str">
        <f t="shared" si="518"/>
        <v>3rd Quality</v>
      </c>
      <c r="AJ4619">
        <f>((T4619-X4619)*2)</f>
        <v>601.917496955258</v>
      </c>
      <c r="AK4619">
        <f t="shared" si="523"/>
        <v>316517.84625</v>
      </c>
    </row>
    <row r="4620" spans="1:37">
      <c r="A4620" t="s">
        <v>4686</v>
      </c>
      <c r="B4620">
        <v>29</v>
      </c>
      <c r="C4620" t="s">
        <v>50</v>
      </c>
      <c r="D4620" t="s">
        <v>45</v>
      </c>
      <c r="E4620">
        <v>675</v>
      </c>
      <c r="F4620">
        <v>49</v>
      </c>
      <c r="G4620">
        <v>18</v>
      </c>
      <c r="H4620">
        <v>1910.71</v>
      </c>
      <c r="I4620">
        <v>30324.3</v>
      </c>
      <c r="J4620">
        <v>111</v>
      </c>
      <c r="K4620">
        <v>2</v>
      </c>
      <c r="L4620">
        <v>19.3</v>
      </c>
      <c r="M4620">
        <v>35.6</v>
      </c>
      <c r="N4620" t="s">
        <v>57</v>
      </c>
      <c r="O4620" t="s">
        <v>47</v>
      </c>
      <c r="P4620" t="s">
        <v>58</v>
      </c>
      <c r="R4620">
        <f>SUMIF(A4620:A9619,"C04619",I4620:I9619)</f>
        <v>30324.3</v>
      </c>
      <c r="S4620" s="1">
        <v>4863.5</v>
      </c>
      <c r="T4620">
        <f t="shared" si="521"/>
        <v>273.191891891892</v>
      </c>
      <c r="U4620">
        <f t="shared" si="519"/>
        <v>3951.6</v>
      </c>
      <c r="V4620">
        <f>U4620*2</f>
        <v>7903.2</v>
      </c>
      <c r="W4620">
        <f t="shared" si="524"/>
        <v>10745.3366666667</v>
      </c>
      <c r="X4620">
        <f t="shared" si="520"/>
        <v>0.353271820422775</v>
      </c>
      <c r="AH4620" t="str">
        <f t="shared" si="518"/>
        <v>2nd Quality</v>
      </c>
      <c r="AJ4620">
        <f>((T4620-X4620)*2)/19.3</f>
        <v>28.2734321317585</v>
      </c>
      <c r="AK4620">
        <f t="shared" si="523"/>
        <v>184404.527027027</v>
      </c>
    </row>
    <row r="4621" spans="1:37">
      <c r="A4621" t="s">
        <v>4687</v>
      </c>
      <c r="B4621">
        <v>18</v>
      </c>
      <c r="C4621" t="s">
        <v>50</v>
      </c>
      <c r="D4621" t="s">
        <v>60</v>
      </c>
      <c r="E4621">
        <v>574</v>
      </c>
      <c r="F4621">
        <v>31</v>
      </c>
      <c r="G4621">
        <v>4</v>
      </c>
      <c r="H4621">
        <v>11847.51</v>
      </c>
      <c r="I4621">
        <v>50230.62</v>
      </c>
      <c r="J4621">
        <v>42</v>
      </c>
      <c r="K4621">
        <v>0</v>
      </c>
      <c r="L4621">
        <v>0</v>
      </c>
      <c r="M4621">
        <v>39.9</v>
      </c>
      <c r="N4621" t="s">
        <v>61</v>
      </c>
      <c r="O4621" t="s">
        <v>53</v>
      </c>
      <c r="P4621" t="s">
        <v>48</v>
      </c>
      <c r="R4621">
        <f>SUMIF(A4621:A9620,"C04620",I4621:I9620)</f>
        <v>50230.62</v>
      </c>
      <c r="S4621" s="1">
        <v>47222.19</v>
      </c>
      <c r="T4621">
        <f t="shared" si="521"/>
        <v>1195.96714285714</v>
      </c>
      <c r="U4621">
        <f t="shared" si="519"/>
        <v>1675.8</v>
      </c>
      <c r="V4621">
        <f t="shared" si="522"/>
        <v>139.65</v>
      </c>
      <c r="W4621">
        <f t="shared" si="524"/>
        <v>20693.0433333333</v>
      </c>
      <c r="X4621">
        <f t="shared" si="520"/>
        <v>0.048448998987973</v>
      </c>
      <c r="AH4621" t="str">
        <f t="shared" si="518"/>
        <v>2nd Quality</v>
      </c>
      <c r="AJ4621">
        <f>((T4621-X4621)*2)</f>
        <v>2391.8373877163</v>
      </c>
      <c r="AK4621">
        <f t="shared" si="523"/>
        <v>686485.14</v>
      </c>
    </row>
    <row r="4622" spans="1:37">
      <c r="A4622" t="s">
        <v>4688</v>
      </c>
      <c r="B4622">
        <v>47</v>
      </c>
      <c r="C4622" t="s">
        <v>50</v>
      </c>
      <c r="D4622" t="s">
        <v>60</v>
      </c>
      <c r="E4622">
        <v>869</v>
      </c>
      <c r="F4622">
        <v>21</v>
      </c>
      <c r="G4622">
        <v>19</v>
      </c>
      <c r="H4622">
        <v>1739.98</v>
      </c>
      <c r="I4622">
        <v>31928.95</v>
      </c>
      <c r="J4622">
        <v>44</v>
      </c>
      <c r="K4622">
        <v>1</v>
      </c>
      <c r="L4622">
        <v>16.4</v>
      </c>
      <c r="M4622">
        <v>28.7</v>
      </c>
      <c r="N4622" t="s">
        <v>61</v>
      </c>
      <c r="O4622" t="s">
        <v>47</v>
      </c>
      <c r="P4622" t="s">
        <v>68</v>
      </c>
      <c r="R4622">
        <f>SUMIF(A4622:A9621,"C04621",I4622:I9621)</f>
        <v>31928.95</v>
      </c>
      <c r="S4622" s="1">
        <v>1077.6</v>
      </c>
      <c r="T4622">
        <f t="shared" si="521"/>
        <v>725.657954545455</v>
      </c>
      <c r="U4622">
        <f t="shared" si="519"/>
        <v>1262.8</v>
      </c>
      <c r="V4622">
        <f>U4622*1</f>
        <v>1262.8</v>
      </c>
      <c r="W4622">
        <f t="shared" si="524"/>
        <v>11223.31</v>
      </c>
      <c r="X4622">
        <f t="shared" si="520"/>
        <v>0.49943102794285</v>
      </c>
      <c r="AH4622" t="str">
        <f t="shared" ref="AH4622:AH4685" si="525">IF(AND(W4622&gt;=12550,B4622&lt;=33,E4622&gt;=915),"1st Quality",IF(AND(W4622&gt;=6275,B4622&lt;=43,E4622&gt;=457),"2nd Quality","3rd Quality"))</f>
        <v>3rd Quality</v>
      </c>
      <c r="AJ4622">
        <f>((T4622-X4622)*2)/16.4</f>
        <v>88.4339662826234</v>
      </c>
      <c r="AK4622">
        <f t="shared" si="523"/>
        <v>630596.7625</v>
      </c>
    </row>
    <row r="4623" spans="1:37">
      <c r="A4623" t="s">
        <v>4689</v>
      </c>
      <c r="B4623">
        <v>41</v>
      </c>
      <c r="C4623" t="s">
        <v>44</v>
      </c>
      <c r="D4623" t="s">
        <v>45</v>
      </c>
      <c r="E4623">
        <v>786</v>
      </c>
      <c r="F4623">
        <v>234</v>
      </c>
      <c r="G4623">
        <v>2</v>
      </c>
      <c r="H4623">
        <v>2624.11</v>
      </c>
      <c r="I4623">
        <v>4863.5</v>
      </c>
      <c r="J4623">
        <v>11</v>
      </c>
      <c r="K4623">
        <v>0</v>
      </c>
      <c r="L4623">
        <v>22.6</v>
      </c>
      <c r="M4623">
        <v>35</v>
      </c>
      <c r="N4623" t="s">
        <v>81</v>
      </c>
      <c r="O4623" t="s">
        <v>47</v>
      </c>
      <c r="P4623" t="s">
        <v>48</v>
      </c>
      <c r="R4623">
        <f>SUMIF(A4623:A9622,"C04622",I4623:I9622)</f>
        <v>4863.5</v>
      </c>
      <c r="S4623" s="1">
        <v>161916.37</v>
      </c>
      <c r="T4623">
        <f t="shared" si="521"/>
        <v>442.136363636364</v>
      </c>
      <c r="U4623">
        <f t="shared" si="519"/>
        <v>385</v>
      </c>
      <c r="V4623">
        <f t="shared" si="522"/>
        <v>32.0833333333333</v>
      </c>
      <c r="W4623">
        <f t="shared" si="524"/>
        <v>2496.20333333333</v>
      </c>
      <c r="X4623">
        <f t="shared" si="520"/>
        <v>0.299530126404762</v>
      </c>
      <c r="AH4623" t="str">
        <f t="shared" si="525"/>
        <v>3rd Quality</v>
      </c>
      <c r="AJ4623">
        <f>((T4623-X4623)*2)/22.6</f>
        <v>39.1006047353946</v>
      </c>
      <c r="AK4623">
        <f t="shared" si="523"/>
        <v>347519.181818182</v>
      </c>
    </row>
    <row r="4624" spans="1:37">
      <c r="A4624" t="s">
        <v>4690</v>
      </c>
      <c r="B4624">
        <v>18</v>
      </c>
      <c r="C4624" t="s">
        <v>44</v>
      </c>
      <c r="D4624" t="s">
        <v>45</v>
      </c>
      <c r="E4624">
        <v>1360</v>
      </c>
      <c r="F4624">
        <v>42</v>
      </c>
      <c r="G4624">
        <v>5</v>
      </c>
      <c r="H4624">
        <v>8610.53</v>
      </c>
      <c r="I4624">
        <v>47222.19</v>
      </c>
      <c r="J4624">
        <v>25</v>
      </c>
      <c r="K4624">
        <v>2</v>
      </c>
      <c r="L4624">
        <v>0</v>
      </c>
      <c r="M4624">
        <v>30.6</v>
      </c>
      <c r="N4624" t="s">
        <v>81</v>
      </c>
      <c r="O4624" t="s">
        <v>47</v>
      </c>
      <c r="P4624" t="s">
        <v>66</v>
      </c>
      <c r="R4624">
        <f>SUMIF(A4624:A9623,"C04623",I4624:I9623)</f>
        <v>47222.19</v>
      </c>
      <c r="S4624" s="1">
        <v>28839.26</v>
      </c>
      <c r="T4624">
        <f t="shared" si="521"/>
        <v>1888.8876</v>
      </c>
      <c r="U4624">
        <f t="shared" si="519"/>
        <v>765</v>
      </c>
      <c r="V4624">
        <f>U4624*2</f>
        <v>1530</v>
      </c>
      <c r="W4624">
        <f t="shared" si="524"/>
        <v>18611.24</v>
      </c>
      <c r="X4624">
        <f t="shared" si="520"/>
        <v>0.157946142688081</v>
      </c>
      <c r="AH4624" t="str">
        <f t="shared" si="525"/>
        <v>1st Quality</v>
      </c>
      <c r="AJ4624">
        <f>((T4624-X4624)*2)</f>
        <v>3777.45930771462</v>
      </c>
      <c r="AK4624">
        <f t="shared" si="523"/>
        <v>2568887.136</v>
      </c>
    </row>
    <row r="4625" spans="1:37">
      <c r="A4625" t="s">
        <v>4691</v>
      </c>
      <c r="B4625">
        <v>35</v>
      </c>
      <c r="C4625" t="s">
        <v>50</v>
      </c>
      <c r="D4625" t="s">
        <v>60</v>
      </c>
      <c r="E4625">
        <v>1193</v>
      </c>
      <c r="F4625">
        <v>165</v>
      </c>
      <c r="G4625">
        <v>1</v>
      </c>
      <c r="H4625">
        <v>1029.11</v>
      </c>
      <c r="I4625">
        <v>1077.6</v>
      </c>
      <c r="J4625">
        <v>17</v>
      </c>
      <c r="K4625">
        <v>0</v>
      </c>
      <c r="L4625">
        <v>24.8</v>
      </c>
      <c r="M4625">
        <v>16.4</v>
      </c>
      <c r="N4625" t="s">
        <v>63</v>
      </c>
      <c r="O4625" t="s">
        <v>47</v>
      </c>
      <c r="P4625" t="s">
        <v>48</v>
      </c>
      <c r="R4625">
        <f>SUMIF(A4625:A9624,"C04624",I4625:I9624)</f>
        <v>1077.6</v>
      </c>
      <c r="S4625" s="1">
        <v>3459.84</v>
      </c>
      <c r="T4625">
        <f t="shared" si="521"/>
        <v>63.3882352941176</v>
      </c>
      <c r="U4625">
        <f t="shared" si="519"/>
        <v>278.8</v>
      </c>
      <c r="V4625">
        <f t="shared" si="522"/>
        <v>23.2333333333333</v>
      </c>
      <c r="W4625">
        <f t="shared" si="524"/>
        <v>702.57</v>
      </c>
      <c r="X4625">
        <f t="shared" si="520"/>
        <v>1.15925411277706</v>
      </c>
      <c r="AH4625" t="str">
        <f t="shared" si="525"/>
        <v>3rd Quality</v>
      </c>
      <c r="AJ4625">
        <f>((T4625-X4625)*2)/24.8</f>
        <v>5.01846622430166</v>
      </c>
      <c r="AK4625">
        <f t="shared" si="523"/>
        <v>75622.1647058823</v>
      </c>
    </row>
    <row r="4626" spans="1:37">
      <c r="A4626" t="s">
        <v>4692</v>
      </c>
      <c r="B4626">
        <v>39</v>
      </c>
      <c r="C4626" t="s">
        <v>50</v>
      </c>
      <c r="D4626" t="s">
        <v>60</v>
      </c>
      <c r="E4626">
        <v>637</v>
      </c>
      <c r="F4626">
        <v>8</v>
      </c>
      <c r="G4626">
        <v>41</v>
      </c>
      <c r="H4626">
        <v>3675.37</v>
      </c>
      <c r="I4626">
        <v>161916.37</v>
      </c>
      <c r="J4626">
        <v>335</v>
      </c>
      <c r="K4626">
        <v>1</v>
      </c>
      <c r="L4626">
        <v>15.4</v>
      </c>
      <c r="M4626">
        <v>38</v>
      </c>
      <c r="N4626" t="s">
        <v>61</v>
      </c>
      <c r="O4626" t="s">
        <v>47</v>
      </c>
      <c r="P4626" t="s">
        <v>58</v>
      </c>
      <c r="R4626">
        <f>SUMIF(A4626:A9625,"C04625",I4626:I9625)</f>
        <v>161916.37</v>
      </c>
      <c r="S4626" s="1">
        <v>10723.74</v>
      </c>
      <c r="T4626">
        <f t="shared" si="521"/>
        <v>483.332447761194</v>
      </c>
      <c r="U4626">
        <f t="shared" si="519"/>
        <v>12730</v>
      </c>
      <c r="V4626">
        <f>U4626*1</f>
        <v>12730</v>
      </c>
      <c r="W4626">
        <f t="shared" si="524"/>
        <v>55197.58</v>
      </c>
      <c r="X4626">
        <f t="shared" si="520"/>
        <v>0.173315883842987</v>
      </c>
      <c r="AH4626" t="str">
        <f t="shared" si="525"/>
        <v>2nd Quality</v>
      </c>
      <c r="AJ4626">
        <f>((T4626-X4626)*2)/15.4</f>
        <v>62.7479392048508</v>
      </c>
      <c r="AK4626">
        <f t="shared" si="523"/>
        <v>307882.769223881</v>
      </c>
    </row>
    <row r="4627" spans="1:37">
      <c r="A4627" t="s">
        <v>4693</v>
      </c>
      <c r="B4627">
        <v>36</v>
      </c>
      <c r="C4627" t="s">
        <v>56</v>
      </c>
      <c r="D4627" t="s">
        <v>60</v>
      </c>
      <c r="E4627">
        <v>1114</v>
      </c>
      <c r="F4627">
        <v>52</v>
      </c>
      <c r="G4627">
        <v>4</v>
      </c>
      <c r="H4627">
        <v>6950.04</v>
      </c>
      <c r="I4627">
        <v>28839.26</v>
      </c>
      <c r="J4627">
        <v>39</v>
      </c>
      <c r="K4627">
        <v>0</v>
      </c>
      <c r="L4627">
        <v>2.3</v>
      </c>
      <c r="M4627">
        <v>27.3</v>
      </c>
      <c r="N4627" t="s">
        <v>61</v>
      </c>
      <c r="O4627" t="s">
        <v>47</v>
      </c>
      <c r="P4627" t="s">
        <v>66</v>
      </c>
      <c r="R4627">
        <f>SUMIF(A4627:A9626,"C04626",I4627:I9626)</f>
        <v>28839.26</v>
      </c>
      <c r="S4627" s="1">
        <v>54659.34</v>
      </c>
      <c r="T4627">
        <f t="shared" si="521"/>
        <v>739.468205128205</v>
      </c>
      <c r="U4627">
        <f t="shared" si="519"/>
        <v>1064.7</v>
      </c>
      <c r="V4627">
        <f t="shared" si="522"/>
        <v>88.725</v>
      </c>
      <c r="W4627">
        <f t="shared" si="524"/>
        <v>11930.1</v>
      </c>
      <c r="X4627">
        <f t="shared" si="520"/>
        <v>0.160286847269944</v>
      </c>
      <c r="AH4627" t="str">
        <f t="shared" si="525"/>
        <v>2nd Quality</v>
      </c>
      <c r="AJ4627">
        <f>((T4627-X4627)*2)/2.3</f>
        <v>642.876450679074</v>
      </c>
      <c r="AK4627">
        <f t="shared" si="523"/>
        <v>823767.580512821</v>
      </c>
    </row>
    <row r="4628" spans="1:37">
      <c r="A4628" t="s">
        <v>4694</v>
      </c>
      <c r="B4628">
        <v>41</v>
      </c>
      <c r="C4628" t="s">
        <v>101</v>
      </c>
      <c r="D4628" t="s">
        <v>51</v>
      </c>
      <c r="E4628">
        <v>1030</v>
      </c>
      <c r="F4628">
        <v>178</v>
      </c>
      <c r="G4628">
        <v>4</v>
      </c>
      <c r="H4628">
        <v>786.32</v>
      </c>
      <c r="I4628">
        <v>3459.84</v>
      </c>
      <c r="J4628">
        <v>40</v>
      </c>
      <c r="K4628">
        <v>0</v>
      </c>
      <c r="L4628">
        <v>14.6</v>
      </c>
      <c r="M4628">
        <v>19.5</v>
      </c>
      <c r="N4628" t="s">
        <v>81</v>
      </c>
      <c r="O4628" t="s">
        <v>75</v>
      </c>
      <c r="P4628" t="s">
        <v>48</v>
      </c>
      <c r="R4628">
        <f>SUMIF(A4628:A9627,"C04627",I4628:I9627)</f>
        <v>3459.84</v>
      </c>
      <c r="S4628" s="1">
        <v>8334.42</v>
      </c>
      <c r="T4628">
        <f t="shared" si="521"/>
        <v>86.496</v>
      </c>
      <c r="U4628">
        <f t="shared" si="519"/>
        <v>780</v>
      </c>
      <c r="V4628">
        <f t="shared" si="522"/>
        <v>65</v>
      </c>
      <c r="W4628">
        <f t="shared" si="524"/>
        <v>1415.72</v>
      </c>
      <c r="X4628">
        <f t="shared" si="520"/>
        <v>1.30989927764778</v>
      </c>
      <c r="AH4628" t="str">
        <f t="shared" si="525"/>
        <v>3rd Quality</v>
      </c>
      <c r="AJ4628">
        <f>((T4628-X4628)*2)/14.6</f>
        <v>11.6693288660756</v>
      </c>
      <c r="AK4628">
        <f t="shared" si="523"/>
        <v>89090.88</v>
      </c>
    </row>
    <row r="4629" spans="1:37">
      <c r="A4629" t="s">
        <v>4695</v>
      </c>
      <c r="B4629">
        <v>44</v>
      </c>
      <c r="C4629" t="s">
        <v>44</v>
      </c>
      <c r="D4629" t="s">
        <v>51</v>
      </c>
      <c r="E4629">
        <v>1353</v>
      </c>
      <c r="F4629">
        <v>11</v>
      </c>
      <c r="G4629">
        <v>10</v>
      </c>
      <c r="H4629">
        <v>1113.96</v>
      </c>
      <c r="I4629">
        <v>10723.74</v>
      </c>
      <c r="J4629">
        <v>38</v>
      </c>
      <c r="K4629">
        <v>0</v>
      </c>
      <c r="L4629">
        <v>20.5</v>
      </c>
      <c r="M4629">
        <v>31</v>
      </c>
      <c r="N4629" t="s">
        <v>63</v>
      </c>
      <c r="O4629" t="s">
        <v>47</v>
      </c>
      <c r="P4629" t="s">
        <v>68</v>
      </c>
      <c r="R4629">
        <f>SUMIF(A4629:A9628,"C04628",I4629:I9628)</f>
        <v>10723.74</v>
      </c>
      <c r="S4629" s="1">
        <v>11360.66</v>
      </c>
      <c r="T4629">
        <f t="shared" si="521"/>
        <v>282.203684210526</v>
      </c>
      <c r="U4629">
        <f t="shared" si="519"/>
        <v>1178</v>
      </c>
      <c r="V4629">
        <f t="shared" si="522"/>
        <v>98.1666666666667</v>
      </c>
      <c r="W4629">
        <f t="shared" si="524"/>
        <v>3946.23333333333</v>
      </c>
      <c r="X4629">
        <f t="shared" si="520"/>
        <v>1.21458580200366</v>
      </c>
      <c r="AH4629" t="str">
        <f t="shared" si="525"/>
        <v>3rd Quality</v>
      </c>
      <c r="AJ4629">
        <f>((T4629-X4629)*2)/20.5</f>
        <v>27.4135705764412</v>
      </c>
      <c r="AK4629">
        <f t="shared" si="523"/>
        <v>381821.584736842</v>
      </c>
    </row>
    <row r="4630" spans="1:37">
      <c r="A4630" t="s">
        <v>4696</v>
      </c>
      <c r="B4630">
        <v>33</v>
      </c>
      <c r="C4630" t="s">
        <v>50</v>
      </c>
      <c r="D4630" t="s">
        <v>45</v>
      </c>
      <c r="E4630">
        <v>1183</v>
      </c>
      <c r="F4630">
        <v>9</v>
      </c>
      <c r="G4630">
        <v>26</v>
      </c>
      <c r="H4630">
        <v>2291.22</v>
      </c>
      <c r="I4630">
        <v>54659.34</v>
      </c>
      <c r="J4630">
        <v>88</v>
      </c>
      <c r="K4630">
        <v>0</v>
      </c>
      <c r="L4630">
        <v>16.3</v>
      </c>
      <c r="M4630">
        <v>56.9</v>
      </c>
      <c r="N4630" t="s">
        <v>81</v>
      </c>
      <c r="O4630" t="s">
        <v>47</v>
      </c>
      <c r="P4630" t="s">
        <v>58</v>
      </c>
      <c r="R4630">
        <f>SUMIF(A4630:A9629,"C04629",I4630:I9629)</f>
        <v>54659.34</v>
      </c>
      <c r="S4630" s="1">
        <v>18228.16</v>
      </c>
      <c r="T4630">
        <f t="shared" si="521"/>
        <v>621.128863636364</v>
      </c>
      <c r="U4630">
        <f t="shared" si="519"/>
        <v>5007.2</v>
      </c>
      <c r="V4630">
        <f t="shared" si="522"/>
        <v>417.266666666667</v>
      </c>
      <c r="W4630">
        <f t="shared" si="524"/>
        <v>18983.8533333333</v>
      </c>
      <c r="X4630">
        <f t="shared" si="520"/>
        <v>0.516318817049432</v>
      </c>
      <c r="AH4630" t="str">
        <f t="shared" si="525"/>
        <v>1st Quality</v>
      </c>
      <c r="AJ4630">
        <f>((T4630-X4630)*2)/16.3</f>
        <v>76.1487785054374</v>
      </c>
      <c r="AK4630">
        <f t="shared" si="523"/>
        <v>734795.445681818</v>
      </c>
    </row>
    <row r="4631" spans="1:37">
      <c r="A4631" t="s">
        <v>4697</v>
      </c>
      <c r="B4631">
        <v>36</v>
      </c>
      <c r="C4631" t="s">
        <v>44</v>
      </c>
      <c r="D4631" t="s">
        <v>51</v>
      </c>
      <c r="E4631">
        <v>978</v>
      </c>
      <c r="F4631">
        <v>50</v>
      </c>
      <c r="G4631">
        <v>11</v>
      </c>
      <c r="H4631">
        <v>859.43</v>
      </c>
      <c r="I4631">
        <v>8334.42</v>
      </c>
      <c r="J4631">
        <v>47</v>
      </c>
      <c r="K4631">
        <v>0</v>
      </c>
      <c r="L4631">
        <v>15.6</v>
      </c>
      <c r="M4631">
        <v>47.9</v>
      </c>
      <c r="N4631" t="s">
        <v>46</v>
      </c>
      <c r="O4631" t="s">
        <v>53</v>
      </c>
      <c r="P4631" t="s">
        <v>66</v>
      </c>
      <c r="R4631">
        <f>SUMIF(A4631:A9630,"C04630",I4631:I9630)</f>
        <v>8334.42</v>
      </c>
      <c r="S4631" s="1">
        <v>6126.64</v>
      </c>
      <c r="T4631">
        <f t="shared" si="521"/>
        <v>177.328085106383</v>
      </c>
      <c r="U4631">
        <f t="shared" si="519"/>
        <v>2251.3</v>
      </c>
      <c r="V4631">
        <f t="shared" si="522"/>
        <v>187.608333333333</v>
      </c>
      <c r="W4631">
        <f t="shared" si="524"/>
        <v>3064.95</v>
      </c>
      <c r="X4631">
        <f t="shared" si="520"/>
        <v>1.13796353397019</v>
      </c>
      <c r="AH4631" t="str">
        <f t="shared" si="525"/>
        <v>3rd Quality</v>
      </c>
      <c r="AJ4631">
        <f>((T4631-X4631)*2)/15.6</f>
        <v>22.5884771246683</v>
      </c>
      <c r="AK4631">
        <f t="shared" si="523"/>
        <v>173426.867234043</v>
      </c>
    </row>
    <row r="4632" spans="1:37">
      <c r="A4632" t="s">
        <v>4698</v>
      </c>
      <c r="B4632">
        <v>27</v>
      </c>
      <c r="C4632" t="s">
        <v>50</v>
      </c>
      <c r="D4632" t="s">
        <v>45</v>
      </c>
      <c r="E4632">
        <v>642</v>
      </c>
      <c r="F4632">
        <v>3</v>
      </c>
      <c r="G4632">
        <v>7</v>
      </c>
      <c r="H4632">
        <v>1827.41</v>
      </c>
      <c r="I4632">
        <v>11360.66</v>
      </c>
      <c r="J4632">
        <v>47</v>
      </c>
      <c r="K4632">
        <v>0</v>
      </c>
      <c r="L4632">
        <v>29.6</v>
      </c>
      <c r="M4632">
        <v>28.8</v>
      </c>
      <c r="N4632" t="s">
        <v>78</v>
      </c>
      <c r="O4632" t="s">
        <v>53</v>
      </c>
      <c r="P4632" t="s">
        <v>58</v>
      </c>
      <c r="R4632">
        <f>SUMIF(A4632:A9631,"C04631",I4632:I9631)</f>
        <v>11360.66</v>
      </c>
      <c r="S4632" s="1">
        <v>5236.51</v>
      </c>
      <c r="T4632">
        <f t="shared" si="521"/>
        <v>241.716170212766</v>
      </c>
      <c r="U4632">
        <f t="shared" si="519"/>
        <v>1353.6</v>
      </c>
      <c r="V4632">
        <f t="shared" si="522"/>
        <v>112.8</v>
      </c>
      <c r="W4632">
        <f t="shared" si="524"/>
        <v>4396.35666666667</v>
      </c>
      <c r="X4632">
        <f t="shared" si="520"/>
        <v>0.351316891119125</v>
      </c>
      <c r="AH4632" t="str">
        <f t="shared" si="525"/>
        <v>3rd Quality</v>
      </c>
      <c r="AJ4632">
        <f>((T4632-X4632)*2)/29.6</f>
        <v>16.3084360352464</v>
      </c>
      <c r="AK4632">
        <f t="shared" si="523"/>
        <v>155181.781276596</v>
      </c>
    </row>
    <row r="4633" spans="1:37">
      <c r="A4633" t="s">
        <v>4699</v>
      </c>
      <c r="B4633">
        <v>59</v>
      </c>
      <c r="C4633" t="s">
        <v>50</v>
      </c>
      <c r="D4633" t="s">
        <v>51</v>
      </c>
      <c r="E4633">
        <v>595</v>
      </c>
      <c r="F4633">
        <v>32</v>
      </c>
      <c r="G4633">
        <v>11</v>
      </c>
      <c r="H4633">
        <v>1527.39</v>
      </c>
      <c r="I4633">
        <v>18228.16</v>
      </c>
      <c r="J4633">
        <v>55</v>
      </c>
      <c r="K4633">
        <v>0</v>
      </c>
      <c r="L4633">
        <v>16</v>
      </c>
      <c r="M4633">
        <v>36.3</v>
      </c>
      <c r="N4633" t="s">
        <v>57</v>
      </c>
      <c r="O4633" t="s">
        <v>47</v>
      </c>
      <c r="P4633" t="s">
        <v>58</v>
      </c>
      <c r="R4633">
        <f>SUMIF(A4633:A9632,"C04632",I4633:I9632)</f>
        <v>18228.16</v>
      </c>
      <c r="S4633" s="1">
        <v>26318.06</v>
      </c>
      <c r="T4633">
        <f t="shared" si="521"/>
        <v>331.421090909091</v>
      </c>
      <c r="U4633">
        <f t="shared" si="519"/>
        <v>1996.5</v>
      </c>
      <c r="V4633">
        <f t="shared" si="522"/>
        <v>166.375</v>
      </c>
      <c r="W4633">
        <f t="shared" si="524"/>
        <v>6585.51666666667</v>
      </c>
      <c r="X4633">
        <f t="shared" si="520"/>
        <v>0.389553421195634</v>
      </c>
      <c r="AH4633" t="str">
        <f t="shared" si="525"/>
        <v>3rd Quality</v>
      </c>
      <c r="AJ4633">
        <f>((T4633-X4633)*2)/16</f>
        <v>41.3789421859869</v>
      </c>
      <c r="AK4633">
        <f t="shared" si="523"/>
        <v>197195.549090909</v>
      </c>
    </row>
    <row r="4634" spans="1:37">
      <c r="A4634" t="s">
        <v>4700</v>
      </c>
      <c r="B4634">
        <v>54</v>
      </c>
      <c r="C4634" t="s">
        <v>50</v>
      </c>
      <c r="D4634" t="s">
        <v>45</v>
      </c>
      <c r="E4634">
        <v>778</v>
      </c>
      <c r="F4634">
        <v>128</v>
      </c>
      <c r="G4634">
        <v>4</v>
      </c>
      <c r="H4634">
        <v>1490.57</v>
      </c>
      <c r="I4634">
        <v>6126.64</v>
      </c>
      <c r="J4634">
        <v>40</v>
      </c>
      <c r="K4634">
        <v>1</v>
      </c>
      <c r="L4634">
        <v>21.4</v>
      </c>
      <c r="M4634">
        <v>43.5</v>
      </c>
      <c r="N4634" t="s">
        <v>52</v>
      </c>
      <c r="O4634" t="s">
        <v>53</v>
      </c>
      <c r="P4634" t="s">
        <v>48</v>
      </c>
      <c r="R4634">
        <f>SUMIF(A4634:A9633,"C04633",I4634:I9633)</f>
        <v>6126.64</v>
      </c>
      <c r="S4634" s="1">
        <v>55733.2</v>
      </c>
      <c r="T4634">
        <f t="shared" si="521"/>
        <v>153.166</v>
      </c>
      <c r="U4634">
        <f t="shared" si="519"/>
        <v>1740</v>
      </c>
      <c r="V4634">
        <f>U4634*1</f>
        <v>1740</v>
      </c>
      <c r="W4634">
        <f t="shared" si="524"/>
        <v>2539.40333333333</v>
      </c>
      <c r="X4634">
        <f t="shared" si="520"/>
        <v>0.521947979631953</v>
      </c>
      <c r="AH4634" t="str">
        <f t="shared" si="525"/>
        <v>3rd Quality</v>
      </c>
      <c r="AJ4634">
        <f>((T4634-X4634)*2)/21.4</f>
        <v>14.26579925424</v>
      </c>
      <c r="AK4634">
        <f t="shared" si="523"/>
        <v>119163.148</v>
      </c>
    </row>
    <row r="4635" spans="1:37">
      <c r="A4635" t="s">
        <v>4701</v>
      </c>
      <c r="B4635">
        <v>26</v>
      </c>
      <c r="C4635" t="s">
        <v>44</v>
      </c>
      <c r="D4635" t="s">
        <v>60</v>
      </c>
      <c r="E4635">
        <v>1328</v>
      </c>
      <c r="F4635">
        <v>19</v>
      </c>
      <c r="G4635">
        <v>5</v>
      </c>
      <c r="H4635">
        <v>1175.51</v>
      </c>
      <c r="I4635">
        <v>5236.51</v>
      </c>
      <c r="J4635">
        <v>47</v>
      </c>
      <c r="K4635">
        <v>0</v>
      </c>
      <c r="L4635">
        <v>16.8</v>
      </c>
      <c r="M4635">
        <v>15.4</v>
      </c>
      <c r="N4635" t="s">
        <v>81</v>
      </c>
      <c r="O4635" t="s">
        <v>47</v>
      </c>
      <c r="P4635" t="s">
        <v>58</v>
      </c>
      <c r="R4635">
        <f>SUMIF(A4635:A9634,"C04634",I4635:I9634)</f>
        <v>5236.51</v>
      </c>
      <c r="S4635" s="1">
        <v>8873.44</v>
      </c>
      <c r="T4635">
        <f t="shared" si="521"/>
        <v>111.415106382979</v>
      </c>
      <c r="U4635">
        <f t="shared" si="519"/>
        <v>723.8</v>
      </c>
      <c r="V4635">
        <f t="shared" si="522"/>
        <v>60.3166666666667</v>
      </c>
      <c r="W4635">
        <f t="shared" si="524"/>
        <v>2137.67333333333</v>
      </c>
      <c r="X4635">
        <f t="shared" si="520"/>
        <v>1.12972241835459</v>
      </c>
      <c r="AH4635" t="str">
        <f t="shared" si="525"/>
        <v>3rd Quality</v>
      </c>
      <c r="AJ4635">
        <f>((T4635-X4635)*2)/16.8</f>
        <v>13.129212376741</v>
      </c>
      <c r="AK4635">
        <f t="shared" si="523"/>
        <v>147959.261276596</v>
      </c>
    </row>
    <row r="4636" spans="1:37">
      <c r="A4636" t="s">
        <v>4702</v>
      </c>
      <c r="B4636">
        <v>33</v>
      </c>
      <c r="C4636" t="s">
        <v>44</v>
      </c>
      <c r="D4636" t="s">
        <v>51</v>
      </c>
      <c r="E4636">
        <v>1350</v>
      </c>
      <c r="F4636">
        <v>15</v>
      </c>
      <c r="G4636">
        <v>3</v>
      </c>
      <c r="H4636">
        <v>9687</v>
      </c>
      <c r="I4636">
        <v>26318.06</v>
      </c>
      <c r="J4636">
        <v>26</v>
      </c>
      <c r="K4636">
        <v>1</v>
      </c>
      <c r="L4636">
        <v>7.1</v>
      </c>
      <c r="M4636">
        <v>17.2</v>
      </c>
      <c r="N4636" t="s">
        <v>81</v>
      </c>
      <c r="O4636" t="s">
        <v>47</v>
      </c>
      <c r="P4636" t="s">
        <v>48</v>
      </c>
      <c r="R4636">
        <f>SUMIF(A4636:A9635,"C04635",I4636:I9635)</f>
        <v>26318.06</v>
      </c>
      <c r="S4636" s="1">
        <v>5205.74</v>
      </c>
      <c r="T4636">
        <f t="shared" si="521"/>
        <v>1012.23307692308</v>
      </c>
      <c r="U4636">
        <f t="shared" si="519"/>
        <v>447.2</v>
      </c>
      <c r="V4636">
        <f>U4636*1</f>
        <v>447.2</v>
      </c>
      <c r="W4636">
        <f t="shared" si="524"/>
        <v>12002.02</v>
      </c>
      <c r="X4636">
        <f t="shared" si="520"/>
        <v>0.139362031588727</v>
      </c>
      <c r="AH4636" t="str">
        <f t="shared" si="525"/>
        <v>2nd Quality</v>
      </c>
      <c r="AJ4636">
        <f>((T4636-X4636)*2)/7.1</f>
        <v>285.096821096195</v>
      </c>
      <c r="AK4636">
        <f t="shared" si="523"/>
        <v>1366514.65384615</v>
      </c>
    </row>
    <row r="4637" spans="1:37">
      <c r="A4637" t="s">
        <v>4703</v>
      </c>
      <c r="B4637">
        <v>24</v>
      </c>
      <c r="C4637" t="s">
        <v>44</v>
      </c>
      <c r="D4637" t="s">
        <v>60</v>
      </c>
      <c r="E4637">
        <v>1419</v>
      </c>
      <c r="F4637">
        <v>10</v>
      </c>
      <c r="G4637">
        <v>22</v>
      </c>
      <c r="H4637">
        <v>2419.23</v>
      </c>
      <c r="I4637">
        <v>55733.2</v>
      </c>
      <c r="J4637">
        <v>74</v>
      </c>
      <c r="K4637">
        <v>3</v>
      </c>
      <c r="L4637">
        <v>14.7</v>
      </c>
      <c r="M4637">
        <v>28.6</v>
      </c>
      <c r="N4637" t="s">
        <v>46</v>
      </c>
      <c r="O4637" t="s">
        <v>75</v>
      </c>
      <c r="P4637" t="s">
        <v>68</v>
      </c>
      <c r="R4637">
        <f>SUMIF(A4637:A9636,"C04636",I4637:I9636)</f>
        <v>55733.2</v>
      </c>
      <c r="S4637" s="1">
        <v>113796.5</v>
      </c>
      <c r="T4637">
        <f t="shared" si="521"/>
        <v>753.151351351351</v>
      </c>
      <c r="U4637">
        <f t="shared" si="519"/>
        <v>2116.4</v>
      </c>
      <c r="V4637">
        <f>U4637*3</f>
        <v>6349.2</v>
      </c>
      <c r="W4637">
        <f t="shared" si="524"/>
        <v>19384.4766666667</v>
      </c>
      <c r="X4637">
        <f t="shared" si="520"/>
        <v>0.586550265993725</v>
      </c>
      <c r="AH4637" t="str">
        <f t="shared" si="525"/>
        <v>1st Quality</v>
      </c>
      <c r="AJ4637">
        <f>((T4637-X4637)*2)/14.7</f>
        <v>102.389768855151</v>
      </c>
      <c r="AK4637">
        <f t="shared" si="523"/>
        <v>1068721.76756757</v>
      </c>
    </row>
    <row r="4638" spans="1:37">
      <c r="A4638" t="s">
        <v>4704</v>
      </c>
      <c r="B4638">
        <v>48</v>
      </c>
      <c r="C4638" t="s">
        <v>44</v>
      </c>
      <c r="D4638" t="s">
        <v>45</v>
      </c>
      <c r="E4638">
        <v>1440</v>
      </c>
      <c r="F4638">
        <v>38</v>
      </c>
      <c r="G4638">
        <v>9</v>
      </c>
      <c r="H4638">
        <v>1013.95</v>
      </c>
      <c r="I4638">
        <v>8873.44</v>
      </c>
      <c r="J4638">
        <v>54</v>
      </c>
      <c r="K4638">
        <v>0</v>
      </c>
      <c r="L4638">
        <v>33.4</v>
      </c>
      <c r="M4638">
        <v>32.8</v>
      </c>
      <c r="N4638" t="s">
        <v>46</v>
      </c>
      <c r="O4638" t="s">
        <v>47</v>
      </c>
      <c r="P4638" t="s">
        <v>58</v>
      </c>
      <c r="R4638">
        <f>SUMIF(A4638:A9637,"C04637",I4638:I9637)</f>
        <v>8873.44</v>
      </c>
      <c r="S4638" s="1">
        <v>10418.74</v>
      </c>
      <c r="T4638">
        <f t="shared" si="521"/>
        <v>164.322962962963</v>
      </c>
      <c r="U4638">
        <f t="shared" si="519"/>
        <v>1771.2</v>
      </c>
      <c r="V4638">
        <f t="shared" si="522"/>
        <v>147.6</v>
      </c>
      <c r="W4638">
        <f t="shared" si="524"/>
        <v>3296.13</v>
      </c>
      <c r="X4638">
        <f t="shared" si="520"/>
        <v>1.4201883722077</v>
      </c>
      <c r="AH4638" t="str">
        <f t="shared" si="525"/>
        <v>3rd Quality</v>
      </c>
      <c r="AJ4638">
        <f>((T4638-X4638)*2)/33.4</f>
        <v>9.75465716112307</v>
      </c>
      <c r="AK4638">
        <f t="shared" si="523"/>
        <v>236625.066666667</v>
      </c>
    </row>
    <row r="4639" spans="1:37">
      <c r="A4639" t="s">
        <v>4705</v>
      </c>
      <c r="B4639">
        <v>38</v>
      </c>
      <c r="C4639" t="s">
        <v>50</v>
      </c>
      <c r="D4639" t="s">
        <v>60</v>
      </c>
      <c r="E4639">
        <v>899</v>
      </c>
      <c r="F4639">
        <v>78</v>
      </c>
      <c r="G4639">
        <v>3</v>
      </c>
      <c r="H4639">
        <v>1628.03</v>
      </c>
      <c r="I4639">
        <v>5205.74</v>
      </c>
      <c r="J4639">
        <v>17</v>
      </c>
      <c r="K4639">
        <v>0</v>
      </c>
      <c r="L4639">
        <v>30.5</v>
      </c>
      <c r="M4639">
        <v>38.6</v>
      </c>
      <c r="N4639" t="s">
        <v>63</v>
      </c>
      <c r="O4639" t="s">
        <v>75</v>
      </c>
      <c r="P4639" t="s">
        <v>68</v>
      </c>
      <c r="R4639">
        <f>SUMIF(A4639:A9638,"C04638",I4639:I9638)</f>
        <v>5205.74</v>
      </c>
      <c r="S4639" s="1">
        <v>41845.48</v>
      </c>
      <c r="T4639">
        <f t="shared" si="521"/>
        <v>306.22</v>
      </c>
      <c r="U4639">
        <f t="shared" si="519"/>
        <v>656.2</v>
      </c>
      <c r="V4639">
        <f t="shared" si="522"/>
        <v>54.6833333333333</v>
      </c>
      <c r="W4639">
        <f t="shared" si="524"/>
        <v>2278.25666666667</v>
      </c>
      <c r="X4639">
        <f t="shared" si="520"/>
        <v>0.552201126514868</v>
      </c>
      <c r="AH4639" t="str">
        <f t="shared" si="525"/>
        <v>3rd Quality</v>
      </c>
      <c r="AJ4639">
        <f>((T4639-X4639)*2)/30.5</f>
        <v>20.0437900900646</v>
      </c>
      <c r="AK4639">
        <f t="shared" si="523"/>
        <v>275291.78</v>
      </c>
    </row>
    <row r="4640" spans="1:37">
      <c r="A4640" t="s">
        <v>4706</v>
      </c>
      <c r="B4640">
        <v>33</v>
      </c>
      <c r="C4640" t="s">
        <v>50</v>
      </c>
      <c r="D4640" t="s">
        <v>51</v>
      </c>
      <c r="E4640">
        <v>1026</v>
      </c>
      <c r="F4640">
        <v>19</v>
      </c>
      <c r="G4640">
        <v>23</v>
      </c>
      <c r="H4640">
        <v>4478.45</v>
      </c>
      <c r="I4640">
        <v>113796.5</v>
      </c>
      <c r="J4640">
        <v>148</v>
      </c>
      <c r="K4640">
        <v>1</v>
      </c>
      <c r="L4640">
        <v>0</v>
      </c>
      <c r="M4640">
        <v>28.7</v>
      </c>
      <c r="N4640" t="s">
        <v>52</v>
      </c>
      <c r="O4640" t="s">
        <v>75</v>
      </c>
      <c r="P4640" t="s">
        <v>68</v>
      </c>
      <c r="R4640">
        <f>SUMIF(A4640:A9639,"C04639",I4640:I9639)</f>
        <v>113796.5</v>
      </c>
      <c r="S4640" s="1">
        <v>43419.33</v>
      </c>
      <c r="T4640">
        <f t="shared" si="521"/>
        <v>768.89527027027</v>
      </c>
      <c r="U4640">
        <f t="shared" si="519"/>
        <v>4247.6</v>
      </c>
      <c r="V4640">
        <f>U4640*1</f>
        <v>4247.6</v>
      </c>
      <c r="W4640">
        <f t="shared" si="524"/>
        <v>39425.3166666667</v>
      </c>
      <c r="X4640">
        <f t="shared" si="520"/>
        <v>0.229097120655584</v>
      </c>
      <c r="AH4640" t="str">
        <f t="shared" si="525"/>
        <v>1st Quality</v>
      </c>
      <c r="AJ4640">
        <f>((T4640-X4640)*2)</f>
        <v>1537.33234629923</v>
      </c>
      <c r="AK4640">
        <f t="shared" si="523"/>
        <v>788886.547297297</v>
      </c>
    </row>
    <row r="4641" spans="1:37">
      <c r="A4641" t="s">
        <v>4707</v>
      </c>
      <c r="B4641">
        <v>43</v>
      </c>
      <c r="C4641" t="s">
        <v>44</v>
      </c>
      <c r="D4641" t="s">
        <v>45</v>
      </c>
      <c r="E4641">
        <v>462</v>
      </c>
      <c r="F4641">
        <v>7</v>
      </c>
      <c r="G4641">
        <v>9</v>
      </c>
      <c r="H4641">
        <v>1090.63</v>
      </c>
      <c r="I4641">
        <v>10418.74</v>
      </c>
      <c r="J4641">
        <v>72</v>
      </c>
      <c r="K4641">
        <v>0</v>
      </c>
      <c r="L4641">
        <v>26.4</v>
      </c>
      <c r="M4641">
        <v>26.9</v>
      </c>
      <c r="N4641" t="s">
        <v>78</v>
      </c>
      <c r="O4641" t="s">
        <v>47</v>
      </c>
      <c r="P4641" t="s">
        <v>68</v>
      </c>
      <c r="R4641">
        <f>SUMIF(A4641:A9640,"C04640",I4641:I9640)</f>
        <v>10418.74</v>
      </c>
      <c r="S4641" s="1">
        <v>15192.46</v>
      </c>
      <c r="T4641">
        <f t="shared" si="521"/>
        <v>144.704722222222</v>
      </c>
      <c r="U4641">
        <f t="shared" si="519"/>
        <v>1936.8</v>
      </c>
      <c r="V4641">
        <f t="shared" si="522"/>
        <v>161.4</v>
      </c>
      <c r="W4641">
        <f t="shared" si="524"/>
        <v>3836.79</v>
      </c>
      <c r="X4641">
        <f t="shared" si="520"/>
        <v>0.423608373142129</v>
      </c>
      <c r="AH4641" t="str">
        <f t="shared" si="525"/>
        <v>3rd Quality</v>
      </c>
      <c r="AJ4641">
        <f>((T4641-X4641)*2)/26.4</f>
        <v>10.9303874128091</v>
      </c>
      <c r="AK4641">
        <f t="shared" si="523"/>
        <v>66853.5816666667</v>
      </c>
    </row>
    <row r="4642" spans="1:37">
      <c r="A4642" t="s">
        <v>4708</v>
      </c>
      <c r="B4642">
        <v>26</v>
      </c>
      <c r="C4642" t="s">
        <v>50</v>
      </c>
      <c r="D4642" t="s">
        <v>60</v>
      </c>
      <c r="E4642">
        <v>543</v>
      </c>
      <c r="F4642">
        <v>5</v>
      </c>
      <c r="G4642">
        <v>25</v>
      </c>
      <c r="H4642">
        <v>1812.32</v>
      </c>
      <c r="I4642">
        <v>41845.48</v>
      </c>
      <c r="J4642">
        <v>134</v>
      </c>
      <c r="K4642">
        <v>2</v>
      </c>
      <c r="L4642">
        <v>6.9</v>
      </c>
      <c r="M4642">
        <v>25.9</v>
      </c>
      <c r="N4642" t="s">
        <v>63</v>
      </c>
      <c r="O4642" t="s">
        <v>53</v>
      </c>
      <c r="P4642" t="s">
        <v>66</v>
      </c>
      <c r="R4642">
        <f>SUMIF(A4642:A9641,"C04641",I4642:I9641)</f>
        <v>41845.48</v>
      </c>
      <c r="S4642" s="1">
        <v>111973.64</v>
      </c>
      <c r="T4642">
        <f t="shared" si="521"/>
        <v>312.279701492537</v>
      </c>
      <c r="U4642">
        <f t="shared" ref="U4642:U4705" si="526">J4642*M4642</f>
        <v>3470.6</v>
      </c>
      <c r="V4642">
        <f>U4642*2</f>
        <v>6941.2</v>
      </c>
      <c r="W4642">
        <f t="shared" si="524"/>
        <v>14552.9333333333</v>
      </c>
      <c r="X4642">
        <f t="shared" si="520"/>
        <v>0.29961596186104</v>
      </c>
      <c r="AH4642" t="str">
        <f t="shared" si="525"/>
        <v>2nd Quality</v>
      </c>
      <c r="AJ4642">
        <f>((T4642-X4642)*2)/6.9</f>
        <v>90.4290102987467</v>
      </c>
      <c r="AK4642">
        <f t="shared" si="523"/>
        <v>169567.877910448</v>
      </c>
    </row>
    <row r="4643" spans="1:37">
      <c r="A4643" t="s">
        <v>4709</v>
      </c>
      <c r="B4643">
        <v>29</v>
      </c>
      <c r="C4643" t="s">
        <v>50</v>
      </c>
      <c r="D4643" t="s">
        <v>60</v>
      </c>
      <c r="E4643">
        <v>645</v>
      </c>
      <c r="F4643">
        <v>9</v>
      </c>
      <c r="G4643">
        <v>25</v>
      </c>
      <c r="H4643">
        <v>1676.55</v>
      </c>
      <c r="I4643">
        <v>43419.33</v>
      </c>
      <c r="J4643">
        <v>180</v>
      </c>
      <c r="K4643">
        <v>1</v>
      </c>
      <c r="L4643">
        <v>6.8</v>
      </c>
      <c r="M4643">
        <v>65.7</v>
      </c>
      <c r="N4643" t="s">
        <v>61</v>
      </c>
      <c r="O4643" t="s">
        <v>75</v>
      </c>
      <c r="P4643" t="s">
        <v>58</v>
      </c>
      <c r="R4643">
        <f>SUMIF(A4643:A9642,"C04642",I4643:I9642)</f>
        <v>43419.33</v>
      </c>
      <c r="S4643" s="1">
        <v>13105.35</v>
      </c>
      <c r="T4643">
        <f t="shared" si="521"/>
        <v>241.2185</v>
      </c>
      <c r="U4643">
        <f t="shared" si="526"/>
        <v>11826</v>
      </c>
      <c r="V4643">
        <f>U4643*1</f>
        <v>11826</v>
      </c>
      <c r="W4643">
        <f t="shared" si="524"/>
        <v>15032.2933333333</v>
      </c>
      <c r="X4643">
        <f t="shared" si="520"/>
        <v>0.384718618591751</v>
      </c>
      <c r="AH4643" t="str">
        <f t="shared" si="525"/>
        <v>2nd Quality</v>
      </c>
      <c r="AJ4643">
        <f>((T4643-X4643)*2)/6.8</f>
        <v>70.8334651121789</v>
      </c>
      <c r="AK4643">
        <f t="shared" si="523"/>
        <v>155585.9325</v>
      </c>
    </row>
    <row r="4644" spans="1:37">
      <c r="A4644" t="s">
        <v>4710</v>
      </c>
      <c r="B4644">
        <v>25</v>
      </c>
      <c r="C4644" t="s">
        <v>50</v>
      </c>
      <c r="D4644" t="s">
        <v>60</v>
      </c>
      <c r="E4644">
        <v>554</v>
      </c>
      <c r="F4644">
        <v>79</v>
      </c>
      <c r="G4644">
        <v>14</v>
      </c>
      <c r="H4644">
        <v>1060.9</v>
      </c>
      <c r="I4644">
        <v>15192.46</v>
      </c>
      <c r="J4644">
        <v>65</v>
      </c>
      <c r="K4644">
        <v>1</v>
      </c>
      <c r="L4644">
        <v>22.7</v>
      </c>
      <c r="M4644">
        <v>16.4</v>
      </c>
      <c r="N4644" t="s">
        <v>78</v>
      </c>
      <c r="O4644" t="s">
        <v>47</v>
      </c>
      <c r="P4644" t="s">
        <v>58</v>
      </c>
      <c r="R4644">
        <f>SUMIF(A4644:A9643,"C04643",I4644:I9643)</f>
        <v>15192.46</v>
      </c>
      <c r="S4644" s="1">
        <v>3786.14</v>
      </c>
      <c r="T4644">
        <f t="shared" si="521"/>
        <v>233.730153846154</v>
      </c>
      <c r="U4644">
        <f t="shared" si="526"/>
        <v>1066</v>
      </c>
      <c r="V4644">
        <f>U4644*1</f>
        <v>1066</v>
      </c>
      <c r="W4644">
        <f t="shared" si="524"/>
        <v>5418.12</v>
      </c>
      <c r="X4644">
        <f t="shared" si="520"/>
        <v>0.5221981336601</v>
      </c>
      <c r="AH4644" t="str">
        <f t="shared" si="525"/>
        <v>3rd Quality</v>
      </c>
      <c r="AJ4644">
        <f>((T4644-X4644)*2)/22.7</f>
        <v>20.54695645044</v>
      </c>
      <c r="AK4644">
        <f t="shared" si="523"/>
        <v>129486.505230769</v>
      </c>
    </row>
    <row r="4645" spans="1:37">
      <c r="A4645" t="s">
        <v>4711</v>
      </c>
      <c r="B4645">
        <v>46</v>
      </c>
      <c r="C4645" t="s">
        <v>44</v>
      </c>
      <c r="D4645" t="s">
        <v>45</v>
      </c>
      <c r="E4645">
        <v>1190</v>
      </c>
      <c r="F4645">
        <v>6</v>
      </c>
      <c r="G4645">
        <v>31</v>
      </c>
      <c r="H4645">
        <v>3333.69</v>
      </c>
      <c r="I4645">
        <v>111973.64</v>
      </c>
      <c r="J4645">
        <v>227</v>
      </c>
      <c r="K4645">
        <v>2</v>
      </c>
      <c r="L4645">
        <v>12.9</v>
      </c>
      <c r="M4645">
        <v>38.8</v>
      </c>
      <c r="N4645" t="s">
        <v>57</v>
      </c>
      <c r="O4645" t="s">
        <v>53</v>
      </c>
      <c r="P4645" t="s">
        <v>66</v>
      </c>
      <c r="R4645">
        <f>SUMIF(A4645:A9644,"C04644",I4645:I9644)</f>
        <v>111973.64</v>
      </c>
      <c r="S4645" s="1">
        <v>1976.44</v>
      </c>
      <c r="T4645">
        <f t="shared" si="521"/>
        <v>493.275947136564</v>
      </c>
      <c r="U4645">
        <f t="shared" si="526"/>
        <v>8807.6</v>
      </c>
      <c r="V4645">
        <f>U4645*2</f>
        <v>17615.2</v>
      </c>
      <c r="W4645">
        <f t="shared" si="524"/>
        <v>38436.11</v>
      </c>
      <c r="X4645">
        <f t="shared" si="520"/>
        <v>0.356961805086856</v>
      </c>
      <c r="AH4645" t="str">
        <f t="shared" si="525"/>
        <v>3rd Quality</v>
      </c>
      <c r="AJ4645">
        <f>((T4645-X4645)*2)/12.9</f>
        <v>76.4215481134073</v>
      </c>
      <c r="AK4645">
        <f t="shared" si="523"/>
        <v>586998.377092511</v>
      </c>
    </row>
    <row r="4646" spans="1:37">
      <c r="A4646" t="s">
        <v>4712</v>
      </c>
      <c r="B4646">
        <v>26</v>
      </c>
      <c r="C4646" t="s">
        <v>44</v>
      </c>
      <c r="D4646" t="s">
        <v>60</v>
      </c>
      <c r="E4646">
        <v>1290</v>
      </c>
      <c r="F4646">
        <v>16</v>
      </c>
      <c r="G4646">
        <v>10</v>
      </c>
      <c r="H4646">
        <v>1412.11</v>
      </c>
      <c r="I4646">
        <v>13105.35</v>
      </c>
      <c r="J4646">
        <v>40</v>
      </c>
      <c r="K4646">
        <v>0</v>
      </c>
      <c r="L4646">
        <v>19.1</v>
      </c>
      <c r="M4646">
        <v>30.4</v>
      </c>
      <c r="N4646" t="s">
        <v>46</v>
      </c>
      <c r="O4646" t="s">
        <v>47</v>
      </c>
      <c r="P4646" t="s">
        <v>58</v>
      </c>
      <c r="R4646">
        <f>SUMIF(A4646:A9645,"C04645",I4646:I9645)</f>
        <v>13105.35</v>
      </c>
      <c r="S4646" s="1">
        <v>38611.43</v>
      </c>
      <c r="T4646">
        <f t="shared" si="521"/>
        <v>327.63375</v>
      </c>
      <c r="U4646">
        <f t="shared" si="526"/>
        <v>1216</v>
      </c>
      <c r="V4646">
        <f t="shared" si="522"/>
        <v>101.333333333333</v>
      </c>
      <c r="W4646">
        <f t="shared" si="524"/>
        <v>4839.48666666667</v>
      </c>
      <c r="X4646">
        <f t="shared" ref="X4646:X4709" si="527">E4646/H4646</f>
        <v>0.913526566627246</v>
      </c>
      <c r="AH4646" t="str">
        <f t="shared" si="525"/>
        <v>3rd Quality</v>
      </c>
      <c r="AJ4646">
        <f>((T4646-X4646)*2)/19.1</f>
        <v>34.211541720772</v>
      </c>
      <c r="AK4646">
        <f t="shared" si="523"/>
        <v>422647.5375</v>
      </c>
    </row>
    <row r="4647" spans="1:37">
      <c r="A4647" t="s">
        <v>4713</v>
      </c>
      <c r="B4647">
        <v>23</v>
      </c>
      <c r="C4647" t="s">
        <v>44</v>
      </c>
      <c r="D4647" t="s">
        <v>51</v>
      </c>
      <c r="E4647">
        <v>370</v>
      </c>
      <c r="F4647">
        <v>29</v>
      </c>
      <c r="G4647">
        <v>2</v>
      </c>
      <c r="H4647">
        <v>1798.57</v>
      </c>
      <c r="I4647">
        <v>3786.14</v>
      </c>
      <c r="J4647">
        <v>21</v>
      </c>
      <c r="K4647">
        <v>0</v>
      </c>
      <c r="L4647">
        <v>21.1</v>
      </c>
      <c r="M4647">
        <v>14.1</v>
      </c>
      <c r="N4647" t="s">
        <v>61</v>
      </c>
      <c r="O4647" t="s">
        <v>47</v>
      </c>
      <c r="P4647" t="s">
        <v>58</v>
      </c>
      <c r="R4647">
        <f>SUMIF(A4647:A9646,"C04646",I4647:I9646)</f>
        <v>3786.14</v>
      </c>
      <c r="S4647" s="1">
        <v>34112.34</v>
      </c>
      <c r="T4647">
        <f t="shared" ref="T4647:T4659" si="528">I4647/J4647</f>
        <v>180.292380952381</v>
      </c>
      <c r="U4647">
        <f t="shared" si="526"/>
        <v>296.1</v>
      </c>
      <c r="V4647">
        <f t="shared" si="522"/>
        <v>24.675</v>
      </c>
      <c r="W4647">
        <f t="shared" si="524"/>
        <v>1861.90333333333</v>
      </c>
      <c r="X4647">
        <f t="shared" si="527"/>
        <v>0.20571898786258</v>
      </c>
      <c r="AH4647" t="str">
        <f t="shared" si="525"/>
        <v>3rd Quality</v>
      </c>
      <c r="AJ4647">
        <f>((T4647-X4647)*2)/21.1</f>
        <v>17.0698257786273</v>
      </c>
      <c r="AK4647">
        <f t="shared" si="523"/>
        <v>66708.1809523809</v>
      </c>
    </row>
    <row r="4648" spans="1:37">
      <c r="A4648" t="s">
        <v>4714</v>
      </c>
      <c r="B4648">
        <v>44</v>
      </c>
      <c r="C4648" t="s">
        <v>44</v>
      </c>
      <c r="D4648" t="s">
        <v>60</v>
      </c>
      <c r="E4648">
        <v>1115</v>
      </c>
      <c r="F4648">
        <v>85</v>
      </c>
      <c r="G4648">
        <v>1</v>
      </c>
      <c r="H4648">
        <v>1930.22</v>
      </c>
      <c r="I4648">
        <v>1976.44</v>
      </c>
      <c r="J4648">
        <v>15</v>
      </c>
      <c r="K4648">
        <v>0</v>
      </c>
      <c r="L4648">
        <v>19.8</v>
      </c>
      <c r="M4648">
        <v>5.9</v>
      </c>
      <c r="N4648" t="s">
        <v>46</v>
      </c>
      <c r="O4648" t="s">
        <v>47</v>
      </c>
      <c r="P4648" t="s">
        <v>68</v>
      </c>
      <c r="R4648">
        <f>SUMIF(A4648:A9647,"C04647",I4648:I9647)</f>
        <v>1976.44</v>
      </c>
      <c r="S4648" s="1">
        <v>13319.77</v>
      </c>
      <c r="T4648">
        <f t="shared" si="528"/>
        <v>131.762666666667</v>
      </c>
      <c r="U4648">
        <f t="shared" si="526"/>
        <v>88.5</v>
      </c>
      <c r="V4648">
        <f t="shared" si="522"/>
        <v>7.375</v>
      </c>
      <c r="W4648">
        <f t="shared" si="524"/>
        <v>1302.55333333333</v>
      </c>
      <c r="X4648">
        <f t="shared" si="527"/>
        <v>0.577654360642828</v>
      </c>
      <c r="AH4648" t="str">
        <f t="shared" si="525"/>
        <v>3rd Quality</v>
      </c>
      <c r="AJ4648">
        <f>((T4648-X4648)*2)/19.8</f>
        <v>13.2510113440428</v>
      </c>
      <c r="AK4648">
        <f t="shared" si="523"/>
        <v>146915.373333333</v>
      </c>
    </row>
    <row r="4649" spans="1:37">
      <c r="A4649" t="s">
        <v>4715</v>
      </c>
      <c r="B4649">
        <v>18</v>
      </c>
      <c r="C4649" t="s">
        <v>44</v>
      </c>
      <c r="D4649" t="s">
        <v>45</v>
      </c>
      <c r="E4649">
        <v>691</v>
      </c>
      <c r="F4649">
        <v>1</v>
      </c>
      <c r="G4649">
        <v>18</v>
      </c>
      <c r="H4649">
        <v>2156.69</v>
      </c>
      <c r="I4649">
        <v>38611.43</v>
      </c>
      <c r="J4649">
        <v>136</v>
      </c>
      <c r="K4649">
        <v>3</v>
      </c>
      <c r="L4649">
        <v>13.1</v>
      </c>
      <c r="M4649">
        <v>63.3</v>
      </c>
      <c r="N4649" t="s">
        <v>57</v>
      </c>
      <c r="O4649" t="s">
        <v>53</v>
      </c>
      <c r="P4649" t="s">
        <v>68</v>
      </c>
      <c r="R4649">
        <f>SUMIF(A4649:A9648,"C04648",I4649:I9648)</f>
        <v>38611.43</v>
      </c>
      <c r="S4649" s="1">
        <v>4082.01</v>
      </c>
      <c r="T4649">
        <f t="shared" si="528"/>
        <v>283.907573529412</v>
      </c>
      <c r="U4649">
        <f t="shared" si="526"/>
        <v>8608.8</v>
      </c>
      <c r="V4649">
        <f>U4649*3</f>
        <v>25826.4</v>
      </c>
      <c r="W4649">
        <f t="shared" si="524"/>
        <v>13589.7066666667</v>
      </c>
      <c r="X4649">
        <f t="shared" si="527"/>
        <v>0.320398388270915</v>
      </c>
      <c r="AH4649" t="str">
        <f t="shared" si="525"/>
        <v>2nd Quality</v>
      </c>
      <c r="AJ4649">
        <f>((T4649-X4649)*2)/13.1</f>
        <v>43.2957519299452</v>
      </c>
      <c r="AK4649">
        <f t="shared" si="523"/>
        <v>196180.133308824</v>
      </c>
    </row>
    <row r="4650" spans="1:37">
      <c r="A4650" t="s">
        <v>4716</v>
      </c>
      <c r="B4650">
        <v>36</v>
      </c>
      <c r="C4650" t="s">
        <v>44</v>
      </c>
      <c r="D4650" t="s">
        <v>45</v>
      </c>
      <c r="E4650">
        <v>909</v>
      </c>
      <c r="F4650">
        <v>22</v>
      </c>
      <c r="G4650">
        <v>15</v>
      </c>
      <c r="H4650">
        <v>2394.2</v>
      </c>
      <c r="I4650">
        <v>34112.34</v>
      </c>
      <c r="J4650">
        <v>86</v>
      </c>
      <c r="K4650">
        <v>1</v>
      </c>
      <c r="L4650">
        <v>28.2</v>
      </c>
      <c r="M4650">
        <v>76.6</v>
      </c>
      <c r="N4650" t="s">
        <v>81</v>
      </c>
      <c r="O4650" t="s">
        <v>47</v>
      </c>
      <c r="P4650" t="s">
        <v>58</v>
      </c>
      <c r="R4650">
        <f>SUMIF(A4650:A9649,"C04649",I4650:I9649)</f>
        <v>34112.34</v>
      </c>
      <c r="S4650" s="1">
        <v>2400</v>
      </c>
      <c r="T4650">
        <f t="shared" si="528"/>
        <v>396.65511627907</v>
      </c>
      <c r="U4650">
        <f t="shared" si="526"/>
        <v>6587.6</v>
      </c>
      <c r="V4650">
        <f>U4650*1</f>
        <v>6587.6</v>
      </c>
      <c r="W4650">
        <f t="shared" si="524"/>
        <v>12169.18</v>
      </c>
      <c r="X4650">
        <f t="shared" si="527"/>
        <v>0.379667529863838</v>
      </c>
      <c r="AH4650" t="str">
        <f t="shared" si="525"/>
        <v>2nd Quality</v>
      </c>
      <c r="AJ4650">
        <f>((T4650-X4650)*2)/28.2</f>
        <v>28.1046417552628</v>
      </c>
      <c r="AK4650">
        <f t="shared" si="523"/>
        <v>360559.500697674</v>
      </c>
    </row>
    <row r="4651" spans="1:37">
      <c r="A4651" t="s">
        <v>4717</v>
      </c>
      <c r="B4651">
        <v>38</v>
      </c>
      <c r="C4651" t="s">
        <v>44</v>
      </c>
      <c r="D4651" t="s">
        <v>45</v>
      </c>
      <c r="E4651">
        <v>772</v>
      </c>
      <c r="F4651">
        <v>54</v>
      </c>
      <c r="G4651">
        <v>12</v>
      </c>
      <c r="H4651">
        <v>1252.45</v>
      </c>
      <c r="I4651">
        <v>13319.77</v>
      </c>
      <c r="J4651">
        <v>81</v>
      </c>
      <c r="K4651">
        <v>0</v>
      </c>
      <c r="L4651">
        <v>6.6</v>
      </c>
      <c r="M4651">
        <v>44.7</v>
      </c>
      <c r="N4651" t="s">
        <v>52</v>
      </c>
      <c r="O4651" t="s">
        <v>75</v>
      </c>
      <c r="P4651" t="s">
        <v>66</v>
      </c>
      <c r="R4651">
        <f>SUMIF(A4651:A9650,"C04650",I4651:I9650)</f>
        <v>13319.77</v>
      </c>
      <c r="S4651" s="1">
        <v>83906.06</v>
      </c>
      <c r="T4651">
        <f t="shared" si="528"/>
        <v>164.441604938272</v>
      </c>
      <c r="U4651">
        <f t="shared" si="526"/>
        <v>3620.7</v>
      </c>
      <c r="V4651">
        <f t="shared" si="522"/>
        <v>301.725</v>
      </c>
      <c r="W4651">
        <f t="shared" si="524"/>
        <v>4857.74</v>
      </c>
      <c r="X4651">
        <f t="shared" si="527"/>
        <v>0.616391871931015</v>
      </c>
      <c r="AH4651" t="str">
        <f t="shared" si="525"/>
        <v>3rd Quality</v>
      </c>
      <c r="AJ4651">
        <f>((T4651-X4651)*2)/6.6</f>
        <v>49.6440039594973</v>
      </c>
      <c r="AK4651">
        <f t="shared" si="523"/>
        <v>126948.919012346</v>
      </c>
    </row>
    <row r="4652" spans="1:37">
      <c r="A4652" t="s">
        <v>4718</v>
      </c>
      <c r="B4652">
        <v>39</v>
      </c>
      <c r="C4652" t="s">
        <v>50</v>
      </c>
      <c r="D4652" t="s">
        <v>45</v>
      </c>
      <c r="E4652">
        <v>535</v>
      </c>
      <c r="F4652">
        <v>125</v>
      </c>
      <c r="G4652">
        <v>4</v>
      </c>
      <c r="H4652">
        <v>950.77</v>
      </c>
      <c r="I4652">
        <v>4082.01</v>
      </c>
      <c r="J4652">
        <v>30</v>
      </c>
      <c r="K4652">
        <v>0</v>
      </c>
      <c r="L4652">
        <v>26.3</v>
      </c>
      <c r="M4652">
        <v>48.9</v>
      </c>
      <c r="N4652" t="s">
        <v>46</v>
      </c>
      <c r="O4652" t="s">
        <v>47</v>
      </c>
      <c r="P4652" t="s">
        <v>58</v>
      </c>
      <c r="R4652">
        <f>SUMIF(A4652:A9651,"C04651",I4652:I9651)</f>
        <v>4082.01</v>
      </c>
      <c r="S4652" s="1">
        <v>140781.56</v>
      </c>
      <c r="T4652">
        <f t="shared" si="528"/>
        <v>136.067</v>
      </c>
      <c r="U4652">
        <f t="shared" si="526"/>
        <v>1467</v>
      </c>
      <c r="V4652">
        <f t="shared" si="522"/>
        <v>122.25</v>
      </c>
      <c r="W4652">
        <f t="shared" si="524"/>
        <v>1677.92666666667</v>
      </c>
      <c r="X4652">
        <f t="shared" si="527"/>
        <v>0.562701810111804</v>
      </c>
      <c r="AH4652" t="str">
        <f t="shared" si="525"/>
        <v>3rd Quality</v>
      </c>
      <c r="AJ4652">
        <f>((T4652-X4652)*2)/26.3</f>
        <v>10.3045093680523</v>
      </c>
      <c r="AK4652">
        <f t="shared" si="523"/>
        <v>72795.845</v>
      </c>
    </row>
    <row r="4653" spans="1:37">
      <c r="A4653" t="s">
        <v>4719</v>
      </c>
      <c r="B4653">
        <v>20</v>
      </c>
      <c r="C4653" t="s">
        <v>50</v>
      </c>
      <c r="D4653" t="s">
        <v>60</v>
      </c>
      <c r="E4653">
        <v>1230</v>
      </c>
      <c r="F4653">
        <v>147</v>
      </c>
      <c r="G4653">
        <v>4</v>
      </c>
      <c r="H4653">
        <v>662.41</v>
      </c>
      <c r="I4653">
        <v>2400</v>
      </c>
      <c r="J4653">
        <v>36</v>
      </c>
      <c r="K4653">
        <v>0</v>
      </c>
      <c r="L4653">
        <v>27.9</v>
      </c>
      <c r="M4653">
        <v>27.1</v>
      </c>
      <c r="N4653" t="s">
        <v>81</v>
      </c>
      <c r="O4653" t="s">
        <v>47</v>
      </c>
      <c r="P4653" t="s">
        <v>58</v>
      </c>
      <c r="R4653">
        <f>SUMIF(A4653:A9652,"C04652",I4653:I9652)</f>
        <v>2400</v>
      </c>
      <c r="S4653" s="1">
        <v>11558.01</v>
      </c>
      <c r="T4653">
        <f t="shared" si="528"/>
        <v>66.6666666666667</v>
      </c>
      <c r="U4653">
        <f t="shared" si="526"/>
        <v>975.6</v>
      </c>
      <c r="V4653">
        <f t="shared" si="522"/>
        <v>81.3</v>
      </c>
      <c r="W4653">
        <f t="shared" si="524"/>
        <v>1021.13666666667</v>
      </c>
      <c r="X4653">
        <f t="shared" si="527"/>
        <v>1.85685602572425</v>
      </c>
      <c r="AH4653" t="str">
        <f t="shared" si="525"/>
        <v>3rd Quality</v>
      </c>
      <c r="AJ4653">
        <f>((T4653-X4653)*2)/27.9</f>
        <v>4.64586456207473</v>
      </c>
      <c r="AK4653">
        <f t="shared" si="523"/>
        <v>82000</v>
      </c>
    </row>
    <row r="4654" spans="1:37">
      <c r="A4654" t="s">
        <v>4720</v>
      </c>
      <c r="B4654">
        <v>42</v>
      </c>
      <c r="C4654" t="s">
        <v>44</v>
      </c>
      <c r="D4654" t="s">
        <v>60</v>
      </c>
      <c r="E4654">
        <v>705</v>
      </c>
      <c r="F4654">
        <v>3</v>
      </c>
      <c r="G4654">
        <v>24</v>
      </c>
      <c r="H4654">
        <v>3602.1</v>
      </c>
      <c r="I4654">
        <v>83906.06</v>
      </c>
      <c r="J4654">
        <v>104</v>
      </c>
      <c r="K4654">
        <v>0</v>
      </c>
      <c r="L4654">
        <v>7.3</v>
      </c>
      <c r="M4654">
        <v>49.9</v>
      </c>
      <c r="N4654" t="s">
        <v>63</v>
      </c>
      <c r="O4654" t="s">
        <v>47</v>
      </c>
      <c r="P4654" t="s">
        <v>58</v>
      </c>
      <c r="R4654">
        <f>SUMIF(A4654:A9653,"C04653",I4654:I9653)</f>
        <v>83906.06</v>
      </c>
      <c r="S4654" s="1">
        <v>2311.96</v>
      </c>
      <c r="T4654">
        <f t="shared" si="528"/>
        <v>806.789038461538</v>
      </c>
      <c r="U4654">
        <f t="shared" si="526"/>
        <v>5189.6</v>
      </c>
      <c r="V4654">
        <f t="shared" si="522"/>
        <v>432.466666666667</v>
      </c>
      <c r="W4654">
        <f t="shared" si="524"/>
        <v>29169.72</v>
      </c>
      <c r="X4654">
        <f t="shared" si="527"/>
        <v>0.195719163821104</v>
      </c>
      <c r="AH4654" t="str">
        <f t="shared" si="525"/>
        <v>2nd Quality</v>
      </c>
      <c r="AJ4654">
        <f>((T4654-X4654)*2)/7.3</f>
        <v>220.98447104047</v>
      </c>
      <c r="AK4654">
        <f t="shared" si="523"/>
        <v>568786.272115385</v>
      </c>
    </row>
    <row r="4655" spans="1:37">
      <c r="A4655" t="s">
        <v>4721</v>
      </c>
      <c r="B4655">
        <v>18</v>
      </c>
      <c r="C4655" t="s">
        <v>50</v>
      </c>
      <c r="D4655" t="s">
        <v>51</v>
      </c>
      <c r="E4655">
        <v>846</v>
      </c>
      <c r="F4655">
        <v>2</v>
      </c>
      <c r="G4655">
        <v>20</v>
      </c>
      <c r="H4655">
        <v>7045.58</v>
      </c>
      <c r="I4655">
        <v>140781.56</v>
      </c>
      <c r="J4655">
        <v>130</v>
      </c>
      <c r="K4655">
        <v>2</v>
      </c>
      <c r="L4655">
        <v>2.9</v>
      </c>
      <c r="M4655">
        <v>55.6</v>
      </c>
      <c r="N4655" t="s">
        <v>57</v>
      </c>
      <c r="O4655" t="s">
        <v>47</v>
      </c>
      <c r="P4655" t="s">
        <v>58</v>
      </c>
      <c r="R4655">
        <f>SUMIF(A4655:A9654,"C04654",I4655:I9654)</f>
        <v>140781.56</v>
      </c>
      <c r="S4655" s="1">
        <v>1173.6</v>
      </c>
      <c r="T4655">
        <f t="shared" si="528"/>
        <v>1082.93507692308</v>
      </c>
      <c r="U4655">
        <f t="shared" si="526"/>
        <v>7228</v>
      </c>
      <c r="V4655">
        <f>U4655*2</f>
        <v>14456</v>
      </c>
      <c r="W4655">
        <f t="shared" si="524"/>
        <v>49276.0466666667</v>
      </c>
      <c r="X4655">
        <f t="shared" si="527"/>
        <v>0.120075281240153</v>
      </c>
      <c r="AH4655" t="str">
        <f t="shared" si="525"/>
        <v>2nd Quality</v>
      </c>
      <c r="AJ4655">
        <f>((T4655-X4655)*2)/2.9</f>
        <v>746.768966649545</v>
      </c>
      <c r="AK4655">
        <f t="shared" si="523"/>
        <v>916163.075076923</v>
      </c>
    </row>
    <row r="4656" spans="1:37">
      <c r="A4656" t="s">
        <v>4722</v>
      </c>
      <c r="B4656">
        <v>29</v>
      </c>
      <c r="C4656" t="s">
        <v>50</v>
      </c>
      <c r="D4656" t="s">
        <v>60</v>
      </c>
      <c r="E4656">
        <v>1014</v>
      </c>
      <c r="F4656">
        <v>46</v>
      </c>
      <c r="G4656">
        <v>13</v>
      </c>
      <c r="H4656">
        <v>926.96</v>
      </c>
      <c r="I4656">
        <v>11558.01</v>
      </c>
      <c r="J4656">
        <v>115</v>
      </c>
      <c r="K4656">
        <v>1</v>
      </c>
      <c r="L4656">
        <v>17.4</v>
      </c>
      <c r="M4656">
        <v>5</v>
      </c>
      <c r="N4656" t="s">
        <v>63</v>
      </c>
      <c r="O4656" t="s">
        <v>53</v>
      </c>
      <c r="P4656" t="s">
        <v>68</v>
      </c>
      <c r="R4656">
        <f>SUMIF(A4656:A9655,"C04655",I4656:I9655)</f>
        <v>11558.01</v>
      </c>
      <c r="S4656" s="1">
        <v>36796.74</v>
      </c>
      <c r="T4656">
        <f t="shared" si="528"/>
        <v>100.504434782609</v>
      </c>
      <c r="U4656">
        <f t="shared" si="526"/>
        <v>575</v>
      </c>
      <c r="V4656">
        <f>U4656*1</f>
        <v>575</v>
      </c>
      <c r="W4656">
        <f t="shared" si="524"/>
        <v>4161.99</v>
      </c>
      <c r="X4656">
        <f t="shared" si="527"/>
        <v>1.09389833434021</v>
      </c>
      <c r="AH4656" t="str">
        <f t="shared" si="525"/>
        <v>3rd Quality</v>
      </c>
      <c r="AJ4656">
        <f>((T4656-X4656)*2)/17.4</f>
        <v>11.4264984423297</v>
      </c>
      <c r="AK4656">
        <f t="shared" si="523"/>
        <v>101911.496869565</v>
      </c>
    </row>
    <row r="4657" spans="1:37">
      <c r="A4657" t="s">
        <v>4723</v>
      </c>
      <c r="B4657">
        <v>31</v>
      </c>
      <c r="C4657" t="s">
        <v>50</v>
      </c>
      <c r="D4657" t="s">
        <v>60</v>
      </c>
      <c r="E4657">
        <v>943</v>
      </c>
      <c r="F4657">
        <v>365</v>
      </c>
      <c r="G4657">
        <v>2</v>
      </c>
      <c r="H4657">
        <v>1112.6</v>
      </c>
      <c r="I4657">
        <v>2311.96</v>
      </c>
      <c r="J4657">
        <v>24</v>
      </c>
      <c r="K4657">
        <v>0</v>
      </c>
      <c r="L4657">
        <v>20.6</v>
      </c>
      <c r="M4657">
        <v>21.3</v>
      </c>
      <c r="N4657" t="s">
        <v>52</v>
      </c>
      <c r="O4657" t="s">
        <v>47</v>
      </c>
      <c r="P4657" t="s">
        <v>68</v>
      </c>
      <c r="R4657">
        <f>SUMIF(A4657:A9656,"C04656",I4657:I9656)</f>
        <v>2311.96</v>
      </c>
      <c r="S4657" s="1">
        <v>14070.82</v>
      </c>
      <c r="T4657">
        <f t="shared" si="528"/>
        <v>96.3316666666667</v>
      </c>
      <c r="U4657">
        <f t="shared" si="526"/>
        <v>511.2</v>
      </c>
      <c r="V4657">
        <f t="shared" si="522"/>
        <v>42.6</v>
      </c>
      <c r="W4657">
        <f t="shared" si="524"/>
        <v>1141.85333333333</v>
      </c>
      <c r="X4657">
        <f t="shared" si="527"/>
        <v>0.847564263886392</v>
      </c>
      <c r="AH4657" t="str">
        <f t="shared" si="525"/>
        <v>3rd Quality</v>
      </c>
      <c r="AJ4657">
        <f>((T4657-X4657)*2)/20.6</f>
        <v>9.27030120415343</v>
      </c>
      <c r="AK4657">
        <f t="shared" si="523"/>
        <v>90840.7616666667</v>
      </c>
    </row>
    <row r="4658" spans="1:37">
      <c r="A4658" t="s">
        <v>4724</v>
      </c>
      <c r="B4658">
        <v>50</v>
      </c>
      <c r="C4658" t="s">
        <v>44</v>
      </c>
      <c r="D4658" t="s">
        <v>60</v>
      </c>
      <c r="E4658">
        <v>571</v>
      </c>
      <c r="F4658">
        <v>211</v>
      </c>
      <c r="G4658">
        <v>1</v>
      </c>
      <c r="H4658">
        <v>1223.98</v>
      </c>
      <c r="I4658">
        <v>1173.6</v>
      </c>
      <c r="J4658">
        <v>22</v>
      </c>
      <c r="K4658">
        <v>0</v>
      </c>
      <c r="L4658">
        <v>20.2</v>
      </c>
      <c r="M4658">
        <v>10.6</v>
      </c>
      <c r="N4658" t="s">
        <v>63</v>
      </c>
      <c r="O4658" t="s">
        <v>47</v>
      </c>
      <c r="P4658" t="s">
        <v>48</v>
      </c>
      <c r="R4658">
        <f>SUMIF(A4658:A9657,"C04657",I4658:I9657)</f>
        <v>1173.6</v>
      </c>
      <c r="S4658" s="1">
        <v>42418.48</v>
      </c>
      <c r="T4658">
        <f t="shared" si="528"/>
        <v>53.3454545454545</v>
      </c>
      <c r="U4658">
        <f t="shared" si="526"/>
        <v>233.2</v>
      </c>
      <c r="V4658">
        <f t="shared" si="522"/>
        <v>19.4333333333333</v>
      </c>
      <c r="W4658">
        <f t="shared" si="524"/>
        <v>799.526666666667</v>
      </c>
      <c r="X4658">
        <f t="shared" si="527"/>
        <v>0.466510890700828</v>
      </c>
      <c r="AH4658" t="str">
        <f t="shared" si="525"/>
        <v>3rd Quality</v>
      </c>
      <c r="AJ4658">
        <f>((T4658-X4658)*2)/20.2</f>
        <v>5.23553897571819</v>
      </c>
      <c r="AK4658">
        <f t="shared" si="523"/>
        <v>30460.2545454545</v>
      </c>
    </row>
    <row r="4659" spans="1:37">
      <c r="A4659" t="s">
        <v>4725</v>
      </c>
      <c r="B4659">
        <v>32</v>
      </c>
      <c r="C4659" t="s">
        <v>44</v>
      </c>
      <c r="D4659" t="s">
        <v>51</v>
      </c>
      <c r="E4659">
        <v>1102</v>
      </c>
      <c r="F4659">
        <v>13</v>
      </c>
      <c r="G4659">
        <v>13</v>
      </c>
      <c r="H4659">
        <v>2819.48</v>
      </c>
      <c r="I4659">
        <v>36796.74</v>
      </c>
      <c r="J4659">
        <v>84</v>
      </c>
      <c r="K4659">
        <v>1</v>
      </c>
      <c r="L4659">
        <v>9.2</v>
      </c>
      <c r="M4659">
        <v>48.5</v>
      </c>
      <c r="N4659" t="s">
        <v>61</v>
      </c>
      <c r="O4659" t="s">
        <v>47</v>
      </c>
      <c r="P4659" t="s">
        <v>58</v>
      </c>
      <c r="R4659">
        <f>SUMIF(A4659:A9658,"C04658",I4659:I9658)</f>
        <v>36796.74</v>
      </c>
      <c r="S4659" s="1">
        <v>3402.9</v>
      </c>
      <c r="T4659">
        <f t="shared" si="528"/>
        <v>438.056428571429</v>
      </c>
      <c r="U4659">
        <f t="shared" si="526"/>
        <v>4074</v>
      </c>
      <c r="V4659">
        <f>U4659*1</f>
        <v>4074</v>
      </c>
      <c r="W4659">
        <f t="shared" si="524"/>
        <v>13205.74</v>
      </c>
      <c r="X4659">
        <f t="shared" si="527"/>
        <v>0.390852213883411</v>
      </c>
      <c r="AH4659" t="str">
        <f t="shared" si="525"/>
        <v>1st Quality</v>
      </c>
      <c r="AJ4659">
        <f>((T4659-X4659)*2)/9.2</f>
        <v>95.1446905125099</v>
      </c>
      <c r="AK4659">
        <f t="shared" si="523"/>
        <v>482738.184285714</v>
      </c>
    </row>
    <row r="4660" spans="1:37">
      <c r="A4660" t="s">
        <v>4726</v>
      </c>
      <c r="B4660">
        <v>50</v>
      </c>
      <c r="C4660" t="s">
        <v>50</v>
      </c>
      <c r="D4660" t="s">
        <v>45</v>
      </c>
      <c r="E4660">
        <v>543</v>
      </c>
      <c r="F4660">
        <v>28</v>
      </c>
      <c r="G4660">
        <v>2</v>
      </c>
      <c r="H4660">
        <v>7792.48</v>
      </c>
      <c r="I4660">
        <v>14070.82</v>
      </c>
      <c r="J4660">
        <v>26</v>
      </c>
      <c r="K4660">
        <v>1</v>
      </c>
      <c r="L4660">
        <v>0</v>
      </c>
      <c r="M4660">
        <v>31.3</v>
      </c>
      <c r="N4660" t="s">
        <v>46</v>
      </c>
      <c r="O4660" t="s">
        <v>75</v>
      </c>
      <c r="P4660" t="s">
        <v>48</v>
      </c>
      <c r="R4660">
        <f>SUMIF(A4660:A9659,"C04659",I4660:I9659)</f>
        <v>14070.82</v>
      </c>
      <c r="S4660" s="1">
        <v>10031.66</v>
      </c>
      <c r="T4660">
        <f t="shared" ref="T4660:T4697" si="529">I4660/J4660</f>
        <v>541.185384615385</v>
      </c>
      <c r="U4660">
        <f t="shared" si="526"/>
        <v>813.8</v>
      </c>
      <c r="V4660">
        <f>U4660*1</f>
        <v>813.8</v>
      </c>
      <c r="W4660">
        <f t="shared" si="524"/>
        <v>7288.1</v>
      </c>
      <c r="X4660">
        <f t="shared" si="527"/>
        <v>0.0696825657557029</v>
      </c>
      <c r="AH4660" t="str">
        <f t="shared" si="525"/>
        <v>3rd Quality</v>
      </c>
      <c r="AJ4660">
        <f>((T4660-X4660)*2)</f>
        <v>1082.23140409926</v>
      </c>
      <c r="AK4660">
        <f t="shared" si="523"/>
        <v>293863.663846154</v>
      </c>
    </row>
    <row r="4661" spans="1:37">
      <c r="A4661" t="s">
        <v>4727</v>
      </c>
      <c r="B4661">
        <v>40</v>
      </c>
      <c r="C4661" t="s">
        <v>44</v>
      </c>
      <c r="D4661" t="s">
        <v>45</v>
      </c>
      <c r="E4661">
        <v>1226</v>
      </c>
      <c r="F4661">
        <v>7</v>
      </c>
      <c r="G4661">
        <v>20</v>
      </c>
      <c r="H4661">
        <v>2154.8</v>
      </c>
      <c r="I4661">
        <v>42418.48</v>
      </c>
      <c r="J4661">
        <v>89</v>
      </c>
      <c r="K4661">
        <v>2</v>
      </c>
      <c r="L4661">
        <v>15</v>
      </c>
      <c r="M4661">
        <v>41.6</v>
      </c>
      <c r="N4661" t="s">
        <v>57</v>
      </c>
      <c r="O4661" t="s">
        <v>53</v>
      </c>
      <c r="P4661" t="s">
        <v>58</v>
      </c>
      <c r="R4661">
        <f>SUMIF(A4661:A9660,"C04660",I4661:I9660)</f>
        <v>42418.48</v>
      </c>
      <c r="S4661" s="1">
        <v>9422.68</v>
      </c>
      <c r="T4661">
        <f t="shared" si="529"/>
        <v>476.612134831461</v>
      </c>
      <c r="U4661">
        <f t="shared" si="526"/>
        <v>3702.4</v>
      </c>
      <c r="V4661">
        <f>U4661*2</f>
        <v>7404.8</v>
      </c>
      <c r="W4661">
        <f t="shared" si="524"/>
        <v>14858.0933333333</v>
      </c>
      <c r="X4661">
        <f t="shared" si="527"/>
        <v>0.568962316688324</v>
      </c>
      <c r="AH4661" t="str">
        <f t="shared" si="525"/>
        <v>2nd Quality</v>
      </c>
      <c r="AJ4661">
        <f>((T4661-X4661)*2)/15</f>
        <v>63.4724230019697</v>
      </c>
      <c r="AK4661">
        <f t="shared" si="523"/>
        <v>584326.477303371</v>
      </c>
    </row>
    <row r="4662" spans="1:37">
      <c r="A4662" t="s">
        <v>4728</v>
      </c>
      <c r="B4662">
        <v>62</v>
      </c>
      <c r="C4662" t="s">
        <v>50</v>
      </c>
      <c r="D4662" t="s">
        <v>45</v>
      </c>
      <c r="E4662">
        <v>1077</v>
      </c>
      <c r="F4662">
        <v>74</v>
      </c>
      <c r="G4662">
        <v>4</v>
      </c>
      <c r="H4662">
        <v>834.11</v>
      </c>
      <c r="I4662">
        <v>3402.9</v>
      </c>
      <c r="J4662">
        <v>43</v>
      </c>
      <c r="K4662">
        <v>0</v>
      </c>
      <c r="L4662">
        <v>34.5</v>
      </c>
      <c r="M4662">
        <v>23.4</v>
      </c>
      <c r="N4662" t="s">
        <v>63</v>
      </c>
      <c r="O4662" t="s">
        <v>47</v>
      </c>
      <c r="P4662" t="s">
        <v>58</v>
      </c>
      <c r="R4662">
        <f>SUMIF(A4662:A9661,"C04661",I4662:I9661)</f>
        <v>3402.9</v>
      </c>
      <c r="S4662" s="1">
        <v>94892.2</v>
      </c>
      <c r="T4662">
        <f t="shared" si="529"/>
        <v>79.1372093023256</v>
      </c>
      <c r="U4662">
        <f t="shared" si="526"/>
        <v>1006.2</v>
      </c>
      <c r="V4662">
        <f t="shared" ref="V4662:V4725" si="530">U4662/12</f>
        <v>83.85</v>
      </c>
      <c r="W4662">
        <f t="shared" si="524"/>
        <v>1412.67</v>
      </c>
      <c r="X4662">
        <f t="shared" si="527"/>
        <v>1.29119660476436</v>
      </c>
      <c r="AH4662" t="str">
        <f t="shared" si="525"/>
        <v>3rd Quality</v>
      </c>
      <c r="AJ4662">
        <f>((T4662-X4662)*2)/34.5</f>
        <v>4.51281233029341</v>
      </c>
      <c r="AK4662">
        <f t="shared" si="523"/>
        <v>85230.7744186047</v>
      </c>
    </row>
    <row r="4663" spans="1:37">
      <c r="A4663" t="s">
        <v>4729</v>
      </c>
      <c r="B4663">
        <v>29</v>
      </c>
      <c r="C4663" t="s">
        <v>44</v>
      </c>
      <c r="D4663" t="s">
        <v>45</v>
      </c>
      <c r="E4663">
        <v>738</v>
      </c>
      <c r="F4663">
        <v>365</v>
      </c>
      <c r="G4663">
        <v>3</v>
      </c>
      <c r="H4663">
        <v>3076.71</v>
      </c>
      <c r="I4663">
        <v>10031.66</v>
      </c>
      <c r="J4663">
        <v>23</v>
      </c>
      <c r="K4663">
        <v>1</v>
      </c>
      <c r="L4663">
        <v>24.8</v>
      </c>
      <c r="M4663">
        <v>27</v>
      </c>
      <c r="N4663" t="s">
        <v>52</v>
      </c>
      <c r="O4663" t="s">
        <v>47</v>
      </c>
      <c r="P4663" t="s">
        <v>68</v>
      </c>
      <c r="R4663">
        <f>SUMIF(A4663:A9662,"C04662",I4663:I9662)</f>
        <v>10031.66</v>
      </c>
      <c r="S4663" s="1">
        <v>61182.63</v>
      </c>
      <c r="T4663">
        <f t="shared" si="529"/>
        <v>436.159130434783</v>
      </c>
      <c r="U4663">
        <f t="shared" si="526"/>
        <v>621</v>
      </c>
      <c r="V4663">
        <f>U4663*1</f>
        <v>621</v>
      </c>
      <c r="W4663">
        <f t="shared" si="524"/>
        <v>4369.79</v>
      </c>
      <c r="X4663">
        <f t="shared" si="527"/>
        <v>0.239866610762795</v>
      </c>
      <c r="AH4663" t="str">
        <f t="shared" si="525"/>
        <v>3rd Quality</v>
      </c>
      <c r="AJ4663">
        <f>((T4663-X4663)*2)/24.8</f>
        <v>35.1547793406468</v>
      </c>
      <c r="AK4663">
        <f t="shared" si="523"/>
        <v>321885.43826087</v>
      </c>
    </row>
    <row r="4664" spans="1:37">
      <c r="A4664" t="s">
        <v>4730</v>
      </c>
      <c r="B4664">
        <v>31</v>
      </c>
      <c r="C4664" t="s">
        <v>44</v>
      </c>
      <c r="D4664" t="s">
        <v>60</v>
      </c>
      <c r="E4664">
        <v>756</v>
      </c>
      <c r="F4664">
        <v>33</v>
      </c>
      <c r="G4664">
        <v>8</v>
      </c>
      <c r="H4664">
        <v>1275.29</v>
      </c>
      <c r="I4664">
        <v>9422.68</v>
      </c>
      <c r="J4664">
        <v>58</v>
      </c>
      <c r="K4664">
        <v>1</v>
      </c>
      <c r="L4664">
        <v>16.5</v>
      </c>
      <c r="M4664">
        <v>51</v>
      </c>
      <c r="N4664" t="s">
        <v>61</v>
      </c>
      <c r="O4664" t="s">
        <v>47</v>
      </c>
      <c r="P4664" t="s">
        <v>54</v>
      </c>
      <c r="R4664">
        <f>SUMIF(A4664:A9663,"C04663",I4664:I9663)</f>
        <v>9422.68</v>
      </c>
      <c r="S4664" s="1">
        <v>7913.85</v>
      </c>
      <c r="T4664">
        <f t="shared" si="529"/>
        <v>162.46</v>
      </c>
      <c r="U4664">
        <f t="shared" si="526"/>
        <v>2958</v>
      </c>
      <c r="V4664">
        <f>U4664*1</f>
        <v>2958</v>
      </c>
      <c r="W4664">
        <f t="shared" si="524"/>
        <v>3566.32333333333</v>
      </c>
      <c r="X4664">
        <f t="shared" si="527"/>
        <v>0.592806342086898</v>
      </c>
      <c r="AH4664" t="str">
        <f t="shared" si="525"/>
        <v>3rd Quality</v>
      </c>
      <c r="AJ4664">
        <f>((T4664-X4664)*2)/16.5</f>
        <v>19.6202658979289</v>
      </c>
      <c r="AK4664">
        <f t="shared" si="523"/>
        <v>122819.76</v>
      </c>
    </row>
    <row r="4665" spans="1:37">
      <c r="A4665" t="s">
        <v>4731</v>
      </c>
      <c r="B4665">
        <v>47</v>
      </c>
      <c r="C4665" t="s">
        <v>44</v>
      </c>
      <c r="D4665" t="s">
        <v>60</v>
      </c>
      <c r="E4665">
        <v>557</v>
      </c>
      <c r="F4665">
        <v>18</v>
      </c>
      <c r="G4665">
        <v>32</v>
      </c>
      <c r="H4665">
        <v>3084.85</v>
      </c>
      <c r="I4665">
        <v>94892.2</v>
      </c>
      <c r="J4665">
        <v>263</v>
      </c>
      <c r="K4665">
        <v>0</v>
      </c>
      <c r="L4665">
        <v>34.4</v>
      </c>
      <c r="M4665">
        <v>19.5</v>
      </c>
      <c r="N4665" t="s">
        <v>63</v>
      </c>
      <c r="O4665" t="s">
        <v>47</v>
      </c>
      <c r="P4665" t="s">
        <v>58</v>
      </c>
      <c r="R4665">
        <f>SUMIF(A4665:A9664,"C04664",I4665:I9664)</f>
        <v>94892.2</v>
      </c>
      <c r="S4665" s="1">
        <v>4179.06</v>
      </c>
      <c r="T4665">
        <f t="shared" si="529"/>
        <v>360.806844106464</v>
      </c>
      <c r="U4665">
        <f t="shared" si="526"/>
        <v>5128.5</v>
      </c>
      <c r="V4665">
        <f t="shared" si="530"/>
        <v>427.375</v>
      </c>
      <c r="W4665">
        <f t="shared" si="524"/>
        <v>32659.35</v>
      </c>
      <c r="X4665">
        <f t="shared" si="527"/>
        <v>0.180559832730927</v>
      </c>
      <c r="AH4665" t="str">
        <f t="shared" si="525"/>
        <v>3rd Quality</v>
      </c>
      <c r="AJ4665">
        <f>((T4665-X4665)*2)/34.4</f>
        <v>20.9666444345194</v>
      </c>
      <c r="AK4665">
        <f t="shared" si="523"/>
        <v>200969.4121673</v>
      </c>
    </row>
    <row r="4666" spans="1:37">
      <c r="A4666" t="s">
        <v>4732</v>
      </c>
      <c r="B4666">
        <v>44</v>
      </c>
      <c r="C4666" t="s">
        <v>50</v>
      </c>
      <c r="D4666" t="s">
        <v>45</v>
      </c>
      <c r="E4666">
        <v>853</v>
      </c>
      <c r="F4666">
        <v>33</v>
      </c>
      <c r="G4666">
        <v>6</v>
      </c>
      <c r="H4666">
        <v>10822.31</v>
      </c>
      <c r="I4666">
        <v>61182.63</v>
      </c>
      <c r="J4666">
        <v>20</v>
      </c>
      <c r="K4666">
        <v>0</v>
      </c>
      <c r="L4666">
        <v>7.5</v>
      </c>
      <c r="M4666">
        <v>55.3</v>
      </c>
      <c r="N4666" t="s">
        <v>52</v>
      </c>
      <c r="O4666" t="s">
        <v>47</v>
      </c>
      <c r="P4666" t="s">
        <v>58</v>
      </c>
      <c r="R4666">
        <f>SUMIF(A4666:A9665,"C04665",I4666:I9665)</f>
        <v>61182.63</v>
      </c>
      <c r="S4666" s="1">
        <v>9743.2</v>
      </c>
      <c r="T4666">
        <f t="shared" si="529"/>
        <v>3059.1315</v>
      </c>
      <c r="U4666">
        <f t="shared" si="526"/>
        <v>1106</v>
      </c>
      <c r="V4666">
        <f t="shared" si="530"/>
        <v>92.1666666666667</v>
      </c>
      <c r="W4666">
        <f t="shared" si="524"/>
        <v>24001.98</v>
      </c>
      <c r="X4666">
        <f t="shared" si="527"/>
        <v>0.0788186625591025</v>
      </c>
      <c r="AH4666" t="str">
        <f t="shared" si="525"/>
        <v>3rd Quality</v>
      </c>
      <c r="AJ4666">
        <f>((T4666-X4666)*2)/7.5</f>
        <v>815.747381689984</v>
      </c>
      <c r="AK4666">
        <f t="shared" si="523"/>
        <v>2609439.1695</v>
      </c>
    </row>
    <row r="4667" spans="1:37">
      <c r="A4667" t="s">
        <v>4733</v>
      </c>
      <c r="B4667">
        <v>43</v>
      </c>
      <c r="C4667" t="s">
        <v>50</v>
      </c>
      <c r="D4667" t="s">
        <v>60</v>
      </c>
      <c r="E4667">
        <v>568</v>
      </c>
      <c r="F4667">
        <v>22</v>
      </c>
      <c r="G4667">
        <v>5</v>
      </c>
      <c r="H4667">
        <v>1726.71</v>
      </c>
      <c r="I4667">
        <v>7913.85</v>
      </c>
      <c r="J4667">
        <v>46</v>
      </c>
      <c r="K4667">
        <v>0</v>
      </c>
      <c r="L4667">
        <v>16.7</v>
      </c>
      <c r="M4667">
        <v>35</v>
      </c>
      <c r="N4667" t="s">
        <v>52</v>
      </c>
      <c r="O4667" t="s">
        <v>47</v>
      </c>
      <c r="P4667" t="s">
        <v>58</v>
      </c>
      <c r="R4667">
        <f>SUMIF(A4667:A9666,"C04666",I4667:I9666)</f>
        <v>7913.85</v>
      </c>
      <c r="S4667" s="1">
        <v>1646.49</v>
      </c>
      <c r="T4667">
        <f t="shared" si="529"/>
        <v>172.040217391304</v>
      </c>
      <c r="U4667">
        <f t="shared" si="526"/>
        <v>1610</v>
      </c>
      <c r="V4667">
        <f t="shared" si="530"/>
        <v>134.166666666667</v>
      </c>
      <c r="W4667">
        <f t="shared" si="524"/>
        <v>3213.85333333333</v>
      </c>
      <c r="X4667">
        <f t="shared" si="527"/>
        <v>0.328949273473832</v>
      </c>
      <c r="AH4667" t="str">
        <f t="shared" si="525"/>
        <v>3rd Quality</v>
      </c>
      <c r="AJ4667">
        <f>((T4667-X4667)*2)/16.7</f>
        <v>20.5642237266863</v>
      </c>
      <c r="AK4667">
        <f t="shared" si="523"/>
        <v>97718.8434782609</v>
      </c>
    </row>
    <row r="4668" spans="1:37">
      <c r="A4668" t="s">
        <v>4734</v>
      </c>
      <c r="B4668">
        <v>40</v>
      </c>
      <c r="C4668" t="s">
        <v>44</v>
      </c>
      <c r="D4668" t="s">
        <v>45</v>
      </c>
      <c r="E4668">
        <v>923</v>
      </c>
      <c r="F4668">
        <v>133</v>
      </c>
      <c r="G4668">
        <v>3</v>
      </c>
      <c r="H4668">
        <v>1432.34</v>
      </c>
      <c r="I4668">
        <v>4179.06</v>
      </c>
      <c r="J4668">
        <v>34</v>
      </c>
      <c r="K4668">
        <v>0</v>
      </c>
      <c r="L4668">
        <v>45.7</v>
      </c>
      <c r="M4668">
        <v>29.5</v>
      </c>
      <c r="N4668" t="s">
        <v>78</v>
      </c>
      <c r="O4668" t="s">
        <v>47</v>
      </c>
      <c r="P4668" t="s">
        <v>66</v>
      </c>
      <c r="R4668">
        <f>SUMIF(A4668:A9667,"C04667",I4668:I9667)</f>
        <v>4179.06</v>
      </c>
      <c r="S4668" s="1">
        <v>8755.45</v>
      </c>
      <c r="T4668">
        <f t="shared" si="529"/>
        <v>122.913529411765</v>
      </c>
      <c r="U4668">
        <f t="shared" si="526"/>
        <v>1003</v>
      </c>
      <c r="V4668">
        <f t="shared" si="530"/>
        <v>83.5833333333333</v>
      </c>
      <c r="W4668">
        <f t="shared" si="524"/>
        <v>1870.8</v>
      </c>
      <c r="X4668">
        <f t="shared" si="527"/>
        <v>0.644400072608459</v>
      </c>
      <c r="AH4668" t="str">
        <f t="shared" si="525"/>
        <v>3rd Quality</v>
      </c>
      <c r="AJ4668">
        <f>((T4668-X4668)*2)/45.7</f>
        <v>5.35094657939416</v>
      </c>
      <c r="AK4668">
        <f t="shared" si="523"/>
        <v>113449.187647059</v>
      </c>
    </row>
    <row r="4669" spans="1:37">
      <c r="A4669" t="s">
        <v>4735</v>
      </c>
      <c r="B4669">
        <v>34</v>
      </c>
      <c r="C4669" t="s">
        <v>44</v>
      </c>
      <c r="D4669" t="s">
        <v>60</v>
      </c>
      <c r="E4669">
        <v>544</v>
      </c>
      <c r="F4669">
        <v>34</v>
      </c>
      <c r="G4669">
        <v>6</v>
      </c>
      <c r="H4669">
        <v>1478.93</v>
      </c>
      <c r="I4669">
        <v>9743.2</v>
      </c>
      <c r="J4669">
        <v>21</v>
      </c>
      <c r="K4669">
        <v>1</v>
      </c>
      <c r="L4669">
        <v>27.2</v>
      </c>
      <c r="M4669">
        <v>11.7</v>
      </c>
      <c r="N4669" t="s">
        <v>63</v>
      </c>
      <c r="O4669" t="s">
        <v>53</v>
      </c>
      <c r="P4669" t="s">
        <v>58</v>
      </c>
      <c r="R4669">
        <f>SUMIF(A4669:A9668,"C04668",I4669:I9668)</f>
        <v>9743.2</v>
      </c>
      <c r="S4669" s="1">
        <v>94100.77</v>
      </c>
      <c r="T4669">
        <f t="shared" si="529"/>
        <v>463.961904761905</v>
      </c>
      <c r="U4669">
        <f t="shared" si="526"/>
        <v>245.7</v>
      </c>
      <c r="V4669">
        <f>U4669*1</f>
        <v>245.7</v>
      </c>
      <c r="W4669">
        <f t="shared" si="524"/>
        <v>3741.04333333333</v>
      </c>
      <c r="X4669">
        <f t="shared" si="527"/>
        <v>0.367833501247524</v>
      </c>
      <c r="AH4669" t="str">
        <f t="shared" si="525"/>
        <v>3rd Quality</v>
      </c>
      <c r="AJ4669">
        <f>((T4669-X4669)*2)/27.2</f>
        <v>34.0877993574013</v>
      </c>
      <c r="AK4669">
        <f t="shared" si="523"/>
        <v>252395.276190476</v>
      </c>
    </row>
    <row r="4670" spans="1:37">
      <c r="A4670" t="s">
        <v>4736</v>
      </c>
      <c r="B4670">
        <v>18</v>
      </c>
      <c r="C4670" t="s">
        <v>44</v>
      </c>
      <c r="D4670" t="s">
        <v>60</v>
      </c>
      <c r="E4670">
        <v>1339</v>
      </c>
      <c r="F4670">
        <v>365</v>
      </c>
      <c r="G4670">
        <v>1</v>
      </c>
      <c r="H4670">
        <v>1698.28</v>
      </c>
      <c r="I4670">
        <v>1646.49</v>
      </c>
      <c r="J4670">
        <v>15</v>
      </c>
      <c r="K4670">
        <v>0</v>
      </c>
      <c r="L4670">
        <v>18.4</v>
      </c>
      <c r="M4670">
        <v>43.3</v>
      </c>
      <c r="N4670" t="s">
        <v>78</v>
      </c>
      <c r="O4670" t="s">
        <v>75</v>
      </c>
      <c r="P4670" t="s">
        <v>58</v>
      </c>
      <c r="R4670">
        <f>SUMIF(A4670:A9669,"C04669",I4670:I9669)</f>
        <v>1646.49</v>
      </c>
      <c r="S4670" s="1">
        <v>12360.58</v>
      </c>
      <c r="T4670">
        <f t="shared" si="529"/>
        <v>109.766</v>
      </c>
      <c r="U4670">
        <f t="shared" si="526"/>
        <v>649.5</v>
      </c>
      <c r="V4670">
        <f t="shared" si="530"/>
        <v>54.125</v>
      </c>
      <c r="W4670">
        <f t="shared" si="524"/>
        <v>1115.25666666667</v>
      </c>
      <c r="X4670">
        <f t="shared" si="527"/>
        <v>0.788444779423888</v>
      </c>
      <c r="AH4670" t="str">
        <f t="shared" si="525"/>
        <v>3rd Quality</v>
      </c>
      <c r="AJ4670">
        <f>((T4670-X4670)*2)/18.4</f>
        <v>11.8453864370191</v>
      </c>
      <c r="AK4670">
        <f t="shared" si="523"/>
        <v>146976.674</v>
      </c>
    </row>
    <row r="4671" spans="1:37">
      <c r="A4671" t="s">
        <v>4737</v>
      </c>
      <c r="B4671">
        <v>19</v>
      </c>
      <c r="C4671" t="s">
        <v>50</v>
      </c>
      <c r="D4671" t="s">
        <v>60</v>
      </c>
      <c r="E4671">
        <v>494</v>
      </c>
      <c r="F4671">
        <v>18</v>
      </c>
      <c r="G4671">
        <v>10</v>
      </c>
      <c r="H4671">
        <v>926.19</v>
      </c>
      <c r="I4671">
        <v>8755.45</v>
      </c>
      <c r="J4671">
        <v>48</v>
      </c>
      <c r="K4671">
        <v>1</v>
      </c>
      <c r="L4671">
        <v>24.3</v>
      </c>
      <c r="M4671">
        <v>27.2</v>
      </c>
      <c r="N4671" t="s">
        <v>52</v>
      </c>
      <c r="O4671" t="s">
        <v>47</v>
      </c>
      <c r="P4671" t="s">
        <v>58</v>
      </c>
      <c r="R4671">
        <f>SUMIF(A4671:A9670,"C04670",I4671:I9670)</f>
        <v>8755.45</v>
      </c>
      <c r="S4671" s="1">
        <v>48897.56</v>
      </c>
      <c r="T4671">
        <f t="shared" si="529"/>
        <v>182.405208333333</v>
      </c>
      <c r="U4671">
        <f t="shared" si="526"/>
        <v>1305.6</v>
      </c>
      <c r="V4671">
        <f>U4671*1</f>
        <v>1305.6</v>
      </c>
      <c r="W4671">
        <f t="shared" si="524"/>
        <v>3227.54666666667</v>
      </c>
      <c r="X4671">
        <f t="shared" si="527"/>
        <v>0.533367883479632</v>
      </c>
      <c r="AH4671" t="str">
        <f t="shared" si="525"/>
        <v>3rd Quality</v>
      </c>
      <c r="AJ4671">
        <f>((T4671-X4671)*2)/24.3</f>
        <v>14.9688757571896</v>
      </c>
      <c r="AK4671">
        <f t="shared" si="523"/>
        <v>90108.1729166667</v>
      </c>
    </row>
    <row r="4672" spans="1:37">
      <c r="A4672" t="s">
        <v>4738</v>
      </c>
      <c r="B4672">
        <v>38</v>
      </c>
      <c r="C4672" t="s">
        <v>44</v>
      </c>
      <c r="D4672" t="s">
        <v>51</v>
      </c>
      <c r="E4672">
        <v>1154</v>
      </c>
      <c r="F4672">
        <v>1</v>
      </c>
      <c r="G4672">
        <v>20</v>
      </c>
      <c r="H4672">
        <v>4239.04</v>
      </c>
      <c r="I4672">
        <v>94100.77</v>
      </c>
      <c r="J4672">
        <v>65</v>
      </c>
      <c r="K4672">
        <v>0</v>
      </c>
      <c r="L4672">
        <v>18</v>
      </c>
      <c r="M4672">
        <v>41.9</v>
      </c>
      <c r="N4672" t="s">
        <v>78</v>
      </c>
      <c r="O4672" t="s">
        <v>53</v>
      </c>
      <c r="P4672" t="s">
        <v>58</v>
      </c>
      <c r="R4672">
        <f>SUMIF(A4672:A9671,"C04671",I4672:I9671)</f>
        <v>94100.77</v>
      </c>
      <c r="S4672" s="1">
        <v>18476.76</v>
      </c>
      <c r="T4672">
        <f t="shared" si="529"/>
        <v>1447.70415384615</v>
      </c>
      <c r="U4672">
        <f t="shared" si="526"/>
        <v>2723.5</v>
      </c>
      <c r="V4672">
        <f t="shared" si="530"/>
        <v>226.958333333333</v>
      </c>
      <c r="W4672">
        <f t="shared" si="524"/>
        <v>32780.27</v>
      </c>
      <c r="X4672">
        <f t="shared" si="527"/>
        <v>0.272231448629878</v>
      </c>
      <c r="AH4672" t="str">
        <f t="shared" si="525"/>
        <v>2nd Quality</v>
      </c>
      <c r="AJ4672">
        <f>((T4672-X4672)*2)/18</f>
        <v>160.82576915528</v>
      </c>
      <c r="AK4672">
        <f t="shared" si="523"/>
        <v>1670650.59353846</v>
      </c>
    </row>
    <row r="4673" spans="1:37">
      <c r="A4673" t="s">
        <v>4739</v>
      </c>
      <c r="B4673">
        <v>20</v>
      </c>
      <c r="C4673" t="s">
        <v>56</v>
      </c>
      <c r="D4673" t="s">
        <v>60</v>
      </c>
      <c r="E4673">
        <v>851</v>
      </c>
      <c r="F4673">
        <v>54</v>
      </c>
      <c r="G4673">
        <v>12</v>
      </c>
      <c r="H4673">
        <v>979.4</v>
      </c>
      <c r="I4673">
        <v>12360.58</v>
      </c>
      <c r="J4673">
        <v>47</v>
      </c>
      <c r="K4673">
        <v>0</v>
      </c>
      <c r="L4673">
        <v>23.8</v>
      </c>
      <c r="M4673">
        <v>23.9</v>
      </c>
      <c r="N4673" t="s">
        <v>61</v>
      </c>
      <c r="O4673" t="s">
        <v>53</v>
      </c>
      <c r="P4673" t="s">
        <v>66</v>
      </c>
      <c r="R4673">
        <f>SUMIF(A4673:A9672,"C04672",I4673:I9672)</f>
        <v>12360.58</v>
      </c>
      <c r="S4673" s="1">
        <v>47331</v>
      </c>
      <c r="T4673">
        <f t="shared" si="529"/>
        <v>262.991063829787</v>
      </c>
      <c r="U4673">
        <f t="shared" si="526"/>
        <v>1123.3</v>
      </c>
      <c r="V4673">
        <f t="shared" si="530"/>
        <v>93.6083333333333</v>
      </c>
      <c r="W4673">
        <f t="shared" si="524"/>
        <v>4446.99333333333</v>
      </c>
      <c r="X4673">
        <f t="shared" si="527"/>
        <v>0.868899326118031</v>
      </c>
      <c r="AH4673" t="str">
        <f t="shared" si="525"/>
        <v>3rd Quality</v>
      </c>
      <c r="AJ4673">
        <f>((T4673-X4673)*2)/23.8</f>
        <v>22.0270726473671</v>
      </c>
      <c r="AK4673">
        <f t="shared" si="523"/>
        <v>223805.395319149</v>
      </c>
    </row>
    <row r="4674" spans="1:37">
      <c r="A4674" t="s">
        <v>4740</v>
      </c>
      <c r="B4674">
        <v>41</v>
      </c>
      <c r="C4674" t="s">
        <v>50</v>
      </c>
      <c r="D4674" t="s">
        <v>45</v>
      </c>
      <c r="E4674">
        <v>740</v>
      </c>
      <c r="F4674">
        <v>24</v>
      </c>
      <c r="G4674">
        <v>22</v>
      </c>
      <c r="H4674">
        <v>2294.38</v>
      </c>
      <c r="I4674">
        <v>48897.56</v>
      </c>
      <c r="J4674">
        <v>51</v>
      </c>
      <c r="K4674">
        <v>1</v>
      </c>
      <c r="L4674">
        <v>0</v>
      </c>
      <c r="M4674">
        <v>31.5</v>
      </c>
      <c r="N4674" t="s">
        <v>78</v>
      </c>
      <c r="O4674" t="s">
        <v>47</v>
      </c>
      <c r="P4674" t="s">
        <v>68</v>
      </c>
      <c r="R4674">
        <f>SUMIF(A4674:A9673,"C04673",I4674:I9673)</f>
        <v>48897.56</v>
      </c>
      <c r="S4674" s="1">
        <v>155600.83</v>
      </c>
      <c r="T4674">
        <f t="shared" si="529"/>
        <v>958.77568627451</v>
      </c>
      <c r="U4674">
        <f t="shared" si="526"/>
        <v>1606.5</v>
      </c>
      <c r="V4674">
        <f>U4674*1</f>
        <v>1606.5</v>
      </c>
      <c r="W4674">
        <f t="shared" si="524"/>
        <v>17064.3133333333</v>
      </c>
      <c r="X4674">
        <f t="shared" si="527"/>
        <v>0.322527218682171</v>
      </c>
      <c r="AH4674" t="str">
        <f t="shared" si="525"/>
        <v>2nd Quality</v>
      </c>
      <c r="AJ4674">
        <f>((T4674-X4674)*2)</f>
        <v>1916.90631811166</v>
      </c>
      <c r="AK4674">
        <f t="shared" si="523"/>
        <v>709494.007843137</v>
      </c>
    </row>
    <row r="4675" spans="1:37">
      <c r="A4675" t="s">
        <v>4741</v>
      </c>
      <c r="B4675">
        <v>32</v>
      </c>
      <c r="C4675" t="s">
        <v>50</v>
      </c>
      <c r="D4675" t="s">
        <v>60</v>
      </c>
      <c r="E4675">
        <v>569</v>
      </c>
      <c r="F4675">
        <v>65</v>
      </c>
      <c r="G4675">
        <v>12</v>
      </c>
      <c r="H4675">
        <v>1452.8</v>
      </c>
      <c r="I4675">
        <v>18476.76</v>
      </c>
      <c r="J4675">
        <v>96</v>
      </c>
      <c r="K4675">
        <v>0</v>
      </c>
      <c r="L4675">
        <v>21.9</v>
      </c>
      <c r="M4675">
        <v>21.7</v>
      </c>
      <c r="N4675" t="s">
        <v>81</v>
      </c>
      <c r="O4675" t="s">
        <v>47</v>
      </c>
      <c r="P4675" t="s">
        <v>58</v>
      </c>
      <c r="R4675">
        <f>SUMIF(A4675:A9674,"C04674",I4675:I9674)</f>
        <v>18476.76</v>
      </c>
      <c r="S4675" s="1">
        <v>71504.15</v>
      </c>
      <c r="T4675">
        <f t="shared" si="529"/>
        <v>192.46625</v>
      </c>
      <c r="U4675">
        <f t="shared" si="526"/>
        <v>2083.2</v>
      </c>
      <c r="V4675">
        <f t="shared" si="530"/>
        <v>173.6</v>
      </c>
      <c r="W4675">
        <f t="shared" si="524"/>
        <v>6643.52</v>
      </c>
      <c r="X4675">
        <f t="shared" si="527"/>
        <v>0.391657488986784</v>
      </c>
      <c r="AH4675" t="str">
        <f t="shared" si="525"/>
        <v>2nd Quality</v>
      </c>
      <c r="AJ4675">
        <f>((T4675-X4675)*2)/21.9</f>
        <v>17.5410586768049</v>
      </c>
      <c r="AK4675">
        <f t="shared" ref="AK4675:AK4738" si="531">I4675/J4675*E4675</f>
        <v>109513.29625</v>
      </c>
    </row>
    <row r="4676" spans="1:37">
      <c r="A4676" t="s">
        <v>4742</v>
      </c>
      <c r="B4676">
        <v>47</v>
      </c>
      <c r="C4676" t="s">
        <v>50</v>
      </c>
      <c r="D4676" t="s">
        <v>60</v>
      </c>
      <c r="E4676">
        <v>1065</v>
      </c>
      <c r="F4676">
        <v>235</v>
      </c>
      <c r="G4676">
        <v>3</v>
      </c>
      <c r="H4676">
        <v>1526.93</v>
      </c>
      <c r="I4676">
        <v>47331</v>
      </c>
      <c r="J4676">
        <v>20</v>
      </c>
      <c r="K4676">
        <v>0</v>
      </c>
      <c r="L4676">
        <v>35.3</v>
      </c>
      <c r="M4676">
        <v>11.6</v>
      </c>
      <c r="N4676" t="s">
        <v>63</v>
      </c>
      <c r="O4676" t="s">
        <v>47</v>
      </c>
      <c r="P4676" t="s">
        <v>68</v>
      </c>
      <c r="R4676">
        <f>SUMIF(A4676:A9675,"C04675",I4676:I9675)</f>
        <v>47331</v>
      </c>
      <c r="S4676" s="1">
        <v>42271.22</v>
      </c>
      <c r="T4676">
        <f t="shared" si="529"/>
        <v>2366.55</v>
      </c>
      <c r="U4676">
        <f t="shared" si="526"/>
        <v>232</v>
      </c>
      <c r="V4676">
        <f t="shared" si="530"/>
        <v>19.3333333333333</v>
      </c>
      <c r="W4676">
        <f t="shared" si="524"/>
        <v>16286.31</v>
      </c>
      <c r="X4676">
        <f t="shared" si="527"/>
        <v>0.697477945943822</v>
      </c>
      <c r="AH4676" t="str">
        <f t="shared" si="525"/>
        <v>3rd Quality</v>
      </c>
      <c r="AJ4676">
        <f>((T4676-X4676)*2)/35.3</f>
        <v>134.042635810428</v>
      </c>
      <c r="AK4676">
        <f t="shared" si="531"/>
        <v>2520375.75</v>
      </c>
    </row>
    <row r="4677" spans="1:37">
      <c r="A4677" t="s">
        <v>4743</v>
      </c>
      <c r="B4677">
        <v>40</v>
      </c>
      <c r="C4677" t="s">
        <v>44</v>
      </c>
      <c r="D4677" t="s">
        <v>45</v>
      </c>
      <c r="E4677">
        <v>1223</v>
      </c>
      <c r="F4677">
        <v>29</v>
      </c>
      <c r="G4677">
        <v>34</v>
      </c>
      <c r="H4677">
        <v>4217.34</v>
      </c>
      <c r="I4677">
        <v>155600.83</v>
      </c>
      <c r="J4677">
        <v>177</v>
      </c>
      <c r="K4677">
        <v>3</v>
      </c>
      <c r="L4677">
        <v>8.7</v>
      </c>
      <c r="M4677">
        <v>52.4</v>
      </c>
      <c r="N4677" t="s">
        <v>52</v>
      </c>
      <c r="O4677" t="s">
        <v>53</v>
      </c>
      <c r="P4677" t="s">
        <v>58</v>
      </c>
      <c r="R4677">
        <f>SUMIF(A4677:A9676,"C04676",I4677:I9676)</f>
        <v>155600.83</v>
      </c>
      <c r="S4677" s="1">
        <v>191456.22</v>
      </c>
      <c r="T4677">
        <f t="shared" si="529"/>
        <v>879.100734463277</v>
      </c>
      <c r="U4677">
        <f t="shared" si="526"/>
        <v>9274.8</v>
      </c>
      <c r="V4677">
        <f>U4677*3</f>
        <v>27824.4</v>
      </c>
      <c r="W4677">
        <f t="shared" si="524"/>
        <v>53273.0566666667</v>
      </c>
      <c r="X4677">
        <f t="shared" si="527"/>
        <v>0.289993218474204</v>
      </c>
      <c r="AH4677" t="str">
        <f t="shared" si="525"/>
        <v>2nd Quality</v>
      </c>
      <c r="AJ4677">
        <f>((T4677-X4677)*2)/8.7</f>
        <v>202.025457757426</v>
      </c>
      <c r="AK4677">
        <f t="shared" si="531"/>
        <v>1075140.19824859</v>
      </c>
    </row>
    <row r="4678" spans="1:37">
      <c r="A4678" t="s">
        <v>4744</v>
      </c>
      <c r="B4678">
        <v>26</v>
      </c>
      <c r="C4678" t="s">
        <v>50</v>
      </c>
      <c r="D4678" t="s">
        <v>60</v>
      </c>
      <c r="E4678">
        <v>1076</v>
      </c>
      <c r="F4678">
        <v>8</v>
      </c>
      <c r="G4678">
        <v>25</v>
      </c>
      <c r="H4678">
        <v>3154.68</v>
      </c>
      <c r="I4678">
        <v>71504.15</v>
      </c>
      <c r="J4678">
        <v>112</v>
      </c>
      <c r="K4678">
        <v>2</v>
      </c>
      <c r="L4678">
        <v>2.1</v>
      </c>
      <c r="M4678">
        <v>8.2</v>
      </c>
      <c r="N4678" t="s">
        <v>61</v>
      </c>
      <c r="O4678" t="s">
        <v>47</v>
      </c>
      <c r="P4678" t="s">
        <v>48</v>
      </c>
      <c r="R4678">
        <f>SUMIF(A4678:A9677,"C04677",I4678:I9677)</f>
        <v>71504.15</v>
      </c>
      <c r="S4678" s="1">
        <v>3725.14</v>
      </c>
      <c r="T4678">
        <f t="shared" si="529"/>
        <v>638.429910714286</v>
      </c>
      <c r="U4678">
        <f t="shared" si="526"/>
        <v>918.4</v>
      </c>
      <c r="V4678">
        <f>U4678*2</f>
        <v>1836.8</v>
      </c>
      <c r="W4678">
        <f t="shared" si="524"/>
        <v>24886.61</v>
      </c>
      <c r="X4678">
        <f t="shared" si="527"/>
        <v>0.34108055333663</v>
      </c>
      <c r="AH4678" t="str">
        <f t="shared" si="525"/>
        <v>1st Quality</v>
      </c>
      <c r="AJ4678">
        <f>((T4678-X4678)*2)/2.1</f>
        <v>607.703647772333</v>
      </c>
      <c r="AK4678">
        <f t="shared" si="531"/>
        <v>686950.583928571</v>
      </c>
    </row>
    <row r="4679" spans="1:37">
      <c r="A4679" t="s">
        <v>4745</v>
      </c>
      <c r="B4679">
        <v>43</v>
      </c>
      <c r="C4679" t="s">
        <v>50</v>
      </c>
      <c r="D4679" t="s">
        <v>60</v>
      </c>
      <c r="E4679">
        <v>370</v>
      </c>
      <c r="F4679">
        <v>4</v>
      </c>
      <c r="G4679">
        <v>19</v>
      </c>
      <c r="H4679">
        <v>2203.72</v>
      </c>
      <c r="I4679">
        <v>42271.22</v>
      </c>
      <c r="J4679">
        <v>159</v>
      </c>
      <c r="K4679">
        <v>1</v>
      </c>
      <c r="L4679">
        <v>8.7</v>
      </c>
      <c r="M4679">
        <v>73</v>
      </c>
      <c r="N4679" t="s">
        <v>61</v>
      </c>
      <c r="O4679" t="s">
        <v>47</v>
      </c>
      <c r="P4679" t="s">
        <v>58</v>
      </c>
      <c r="R4679">
        <f>SUMIF(A4679:A9678,"C04678",I4679:I9678)</f>
        <v>42271.22</v>
      </c>
      <c r="S4679" s="1">
        <v>1559.67</v>
      </c>
      <c r="T4679">
        <f t="shared" si="529"/>
        <v>265.856729559748</v>
      </c>
      <c r="U4679">
        <f t="shared" si="526"/>
        <v>11607</v>
      </c>
      <c r="V4679">
        <f>U4679*1</f>
        <v>11607</v>
      </c>
      <c r="W4679">
        <f t="shared" si="524"/>
        <v>14825.3133333333</v>
      </c>
      <c r="X4679">
        <f t="shared" si="527"/>
        <v>0.167897918065816</v>
      </c>
      <c r="AH4679" t="str">
        <f t="shared" si="525"/>
        <v>3rd Quality</v>
      </c>
      <c r="AJ4679">
        <f>((T4679-X4679)*2)/8.7</f>
        <v>61.0778923314212</v>
      </c>
      <c r="AK4679">
        <f t="shared" si="531"/>
        <v>98366.9899371069</v>
      </c>
    </row>
    <row r="4680" spans="1:37">
      <c r="A4680" t="s">
        <v>4746</v>
      </c>
      <c r="B4680">
        <v>40</v>
      </c>
      <c r="C4680" t="s">
        <v>50</v>
      </c>
      <c r="D4680" t="s">
        <v>60</v>
      </c>
      <c r="E4680">
        <v>1277</v>
      </c>
      <c r="F4680">
        <v>1</v>
      </c>
      <c r="G4680">
        <v>32</v>
      </c>
      <c r="H4680">
        <v>5706.2</v>
      </c>
      <c r="I4680">
        <v>191456.22</v>
      </c>
      <c r="J4680">
        <v>69</v>
      </c>
      <c r="K4680">
        <v>4</v>
      </c>
      <c r="L4680">
        <v>15</v>
      </c>
      <c r="M4680">
        <v>55.5</v>
      </c>
      <c r="N4680" t="s">
        <v>78</v>
      </c>
      <c r="O4680" t="s">
        <v>53</v>
      </c>
      <c r="P4680" t="s">
        <v>66</v>
      </c>
      <c r="R4680">
        <f>SUMIF(A4680:A9679,"C04679",I4680:I9679)</f>
        <v>191456.22</v>
      </c>
      <c r="S4680" s="1">
        <v>119156.97</v>
      </c>
      <c r="T4680">
        <f t="shared" si="529"/>
        <v>2774.72782608696</v>
      </c>
      <c r="U4680">
        <f t="shared" si="526"/>
        <v>3829.5</v>
      </c>
      <c r="V4680">
        <f>U4680*4</f>
        <v>15318</v>
      </c>
      <c r="W4680">
        <f t="shared" si="524"/>
        <v>65721.14</v>
      </c>
      <c r="X4680">
        <f t="shared" si="527"/>
        <v>0.223791665206267</v>
      </c>
      <c r="AH4680" t="str">
        <f t="shared" si="525"/>
        <v>2nd Quality</v>
      </c>
      <c r="AJ4680">
        <f>((T4680-X4680)*2)/15</f>
        <v>369.933871256234</v>
      </c>
      <c r="AK4680">
        <f t="shared" si="531"/>
        <v>3543327.43391304</v>
      </c>
    </row>
    <row r="4681" spans="1:37">
      <c r="A4681" t="s">
        <v>4747</v>
      </c>
      <c r="B4681">
        <v>35</v>
      </c>
      <c r="C4681" t="s">
        <v>44</v>
      </c>
      <c r="D4681" t="s">
        <v>45</v>
      </c>
      <c r="E4681">
        <v>1410</v>
      </c>
      <c r="F4681">
        <v>37</v>
      </c>
      <c r="G4681">
        <v>2</v>
      </c>
      <c r="H4681">
        <v>1663.84</v>
      </c>
      <c r="I4681">
        <v>3725.14</v>
      </c>
      <c r="J4681">
        <v>14</v>
      </c>
      <c r="K4681">
        <v>0</v>
      </c>
      <c r="L4681">
        <v>25.9</v>
      </c>
      <c r="M4681">
        <v>41.4</v>
      </c>
      <c r="N4681" t="s">
        <v>81</v>
      </c>
      <c r="O4681" t="s">
        <v>53</v>
      </c>
      <c r="P4681" t="s">
        <v>58</v>
      </c>
      <c r="R4681">
        <f>SUMIF(A4681:A9680,"C04680",I4681:I9680)</f>
        <v>3725.14</v>
      </c>
      <c r="S4681" s="1">
        <v>2394.19</v>
      </c>
      <c r="T4681">
        <f t="shared" si="529"/>
        <v>266.081428571429</v>
      </c>
      <c r="U4681">
        <f t="shared" si="526"/>
        <v>579.6</v>
      </c>
      <c r="V4681">
        <f t="shared" si="530"/>
        <v>48.3</v>
      </c>
      <c r="W4681">
        <f t="shared" ref="W4681:W4744" si="532">(H4681+I4681+1)/3</f>
        <v>1796.66</v>
      </c>
      <c r="X4681">
        <f t="shared" si="527"/>
        <v>0.847437253582075</v>
      </c>
      <c r="AH4681" t="str">
        <f t="shared" si="525"/>
        <v>3rd Quality</v>
      </c>
      <c r="AJ4681">
        <f>((T4681-X4681)*2)/25.9</f>
        <v>20.4813892909534</v>
      </c>
      <c r="AK4681">
        <f t="shared" si="531"/>
        <v>375174.814285714</v>
      </c>
    </row>
    <row r="4682" spans="1:37">
      <c r="A4682" t="s">
        <v>4748</v>
      </c>
      <c r="B4682">
        <v>43</v>
      </c>
      <c r="C4682" t="s">
        <v>44</v>
      </c>
      <c r="D4682" t="s">
        <v>45</v>
      </c>
      <c r="E4682">
        <v>1139</v>
      </c>
      <c r="F4682">
        <v>308</v>
      </c>
      <c r="G4682">
        <v>1</v>
      </c>
      <c r="H4682">
        <v>1522.49</v>
      </c>
      <c r="I4682">
        <v>1559.67</v>
      </c>
      <c r="J4682">
        <v>17</v>
      </c>
      <c r="K4682">
        <v>0</v>
      </c>
      <c r="L4682">
        <v>9.2</v>
      </c>
      <c r="M4682">
        <v>57.7</v>
      </c>
      <c r="N4682" t="s">
        <v>57</v>
      </c>
      <c r="O4682" t="s">
        <v>47</v>
      </c>
      <c r="P4682" t="s">
        <v>66</v>
      </c>
      <c r="R4682">
        <f>SUMIF(A4682:A9681,"C04681",I4682:I9681)</f>
        <v>1559.67</v>
      </c>
      <c r="S4682" s="1">
        <v>632.16</v>
      </c>
      <c r="T4682">
        <f t="shared" si="529"/>
        <v>91.7452941176471</v>
      </c>
      <c r="U4682">
        <f t="shared" si="526"/>
        <v>980.9</v>
      </c>
      <c r="V4682">
        <f t="shared" si="530"/>
        <v>81.7416666666667</v>
      </c>
      <c r="W4682">
        <f t="shared" si="532"/>
        <v>1027.72</v>
      </c>
      <c r="X4682">
        <f t="shared" si="527"/>
        <v>0.748116572194234</v>
      </c>
      <c r="AH4682" t="str">
        <f t="shared" si="525"/>
        <v>3rd Quality</v>
      </c>
      <c r="AJ4682">
        <f>((T4682-X4682)*2)/9.2</f>
        <v>19.7819951185767</v>
      </c>
      <c r="AK4682">
        <f t="shared" si="531"/>
        <v>104497.89</v>
      </c>
    </row>
    <row r="4683" spans="1:37">
      <c r="A4683" t="s">
        <v>4749</v>
      </c>
      <c r="B4683">
        <v>26</v>
      </c>
      <c r="C4683" t="s">
        <v>44</v>
      </c>
      <c r="D4683" t="s">
        <v>60</v>
      </c>
      <c r="E4683">
        <v>384</v>
      </c>
      <c r="F4683">
        <v>1</v>
      </c>
      <c r="G4683">
        <v>33</v>
      </c>
      <c r="H4683">
        <v>3951.58</v>
      </c>
      <c r="I4683">
        <v>119156.97</v>
      </c>
      <c r="J4683">
        <v>203</v>
      </c>
      <c r="K4683">
        <v>5</v>
      </c>
      <c r="L4683">
        <v>0.8</v>
      </c>
      <c r="M4683">
        <v>21.7</v>
      </c>
      <c r="N4683" t="s">
        <v>57</v>
      </c>
      <c r="O4683" t="s">
        <v>75</v>
      </c>
      <c r="P4683" t="s">
        <v>58</v>
      </c>
      <c r="R4683">
        <f>SUMIF(A4683:A9682,"C04682",I4683:I9682)</f>
        <v>119156.97</v>
      </c>
      <c r="S4683" s="1">
        <v>1320.61</v>
      </c>
      <c r="T4683">
        <f t="shared" si="529"/>
        <v>586.980147783251</v>
      </c>
      <c r="U4683">
        <f t="shared" si="526"/>
        <v>4405.1</v>
      </c>
      <c r="V4683">
        <f>U4683*5</f>
        <v>22025.5</v>
      </c>
      <c r="W4683">
        <f t="shared" si="532"/>
        <v>41036.5166666667</v>
      </c>
      <c r="X4683">
        <f t="shared" si="527"/>
        <v>0.0971763193456795</v>
      </c>
      <c r="AH4683" t="str">
        <f t="shared" si="525"/>
        <v>3rd Quality</v>
      </c>
      <c r="AJ4683">
        <f>((T4683-X4683)*2)/0.8</f>
        <v>1467.20742865976</v>
      </c>
      <c r="AK4683">
        <f t="shared" si="531"/>
        <v>225400.376748768</v>
      </c>
    </row>
    <row r="4684" spans="1:37">
      <c r="A4684" t="s">
        <v>4750</v>
      </c>
      <c r="B4684">
        <v>27</v>
      </c>
      <c r="C4684" t="s">
        <v>50</v>
      </c>
      <c r="D4684" t="s">
        <v>45</v>
      </c>
      <c r="E4684">
        <v>920</v>
      </c>
      <c r="F4684">
        <v>114</v>
      </c>
      <c r="G4684">
        <v>3</v>
      </c>
      <c r="H4684">
        <v>716.93</v>
      </c>
      <c r="I4684">
        <v>2394.19</v>
      </c>
      <c r="J4684">
        <v>25</v>
      </c>
      <c r="K4684">
        <v>0</v>
      </c>
      <c r="L4684">
        <v>28.6</v>
      </c>
      <c r="M4684">
        <v>21.3</v>
      </c>
      <c r="N4684" t="s">
        <v>61</v>
      </c>
      <c r="O4684" t="s">
        <v>47</v>
      </c>
      <c r="P4684" t="s">
        <v>58</v>
      </c>
      <c r="R4684">
        <f>SUMIF(A4684:A9683,"C04683",I4684:I9683)</f>
        <v>2394.19</v>
      </c>
      <c r="S4684" s="1">
        <v>4941.98</v>
      </c>
      <c r="T4684">
        <f t="shared" si="529"/>
        <v>95.7676</v>
      </c>
      <c r="U4684">
        <f t="shared" si="526"/>
        <v>532.5</v>
      </c>
      <c r="V4684">
        <f t="shared" si="530"/>
        <v>44.375</v>
      </c>
      <c r="W4684">
        <f t="shared" si="532"/>
        <v>1037.37333333333</v>
      </c>
      <c r="X4684">
        <f t="shared" si="527"/>
        <v>1.28324941068166</v>
      </c>
      <c r="AH4684" t="str">
        <f t="shared" si="525"/>
        <v>3rd Quality</v>
      </c>
      <c r="AJ4684">
        <f>((T4684-X4684)*2)/28.6</f>
        <v>6.60729724400827</v>
      </c>
      <c r="AK4684">
        <f t="shared" si="531"/>
        <v>88106.192</v>
      </c>
    </row>
    <row r="4685" spans="1:37">
      <c r="A4685" t="s">
        <v>4751</v>
      </c>
      <c r="B4685">
        <v>24</v>
      </c>
      <c r="C4685" t="s">
        <v>50</v>
      </c>
      <c r="D4685" t="s">
        <v>51</v>
      </c>
      <c r="E4685">
        <v>724</v>
      </c>
      <c r="F4685">
        <v>145</v>
      </c>
      <c r="G4685">
        <v>1</v>
      </c>
      <c r="H4685">
        <v>638.48</v>
      </c>
      <c r="I4685">
        <v>632.16</v>
      </c>
      <c r="J4685">
        <v>17</v>
      </c>
      <c r="K4685">
        <v>0</v>
      </c>
      <c r="L4685">
        <v>24.1</v>
      </c>
      <c r="M4685">
        <v>15</v>
      </c>
      <c r="N4685" t="s">
        <v>57</v>
      </c>
      <c r="O4685" t="s">
        <v>47</v>
      </c>
      <c r="P4685" t="s">
        <v>66</v>
      </c>
      <c r="R4685">
        <f>SUMIF(A4685:A9684,"C04684",I4685:I9684)</f>
        <v>632.16</v>
      </c>
      <c r="S4685" s="1">
        <v>12295.37</v>
      </c>
      <c r="T4685">
        <f t="shared" si="529"/>
        <v>37.1858823529412</v>
      </c>
      <c r="U4685">
        <f t="shared" si="526"/>
        <v>255</v>
      </c>
      <c r="V4685">
        <f t="shared" si="530"/>
        <v>21.25</v>
      </c>
      <c r="W4685">
        <f t="shared" si="532"/>
        <v>423.88</v>
      </c>
      <c r="X4685">
        <f t="shared" si="527"/>
        <v>1.13394311489788</v>
      </c>
      <c r="AH4685" t="str">
        <f t="shared" si="525"/>
        <v>3rd Quality</v>
      </c>
      <c r="AJ4685">
        <f>((T4685-X4685)*2)/24.1</f>
        <v>2.99186217743098</v>
      </c>
      <c r="AK4685">
        <f t="shared" si="531"/>
        <v>26922.5788235294</v>
      </c>
    </row>
    <row r="4686" spans="1:37">
      <c r="A4686" t="s">
        <v>4752</v>
      </c>
      <c r="B4686">
        <v>18</v>
      </c>
      <c r="C4686" t="s">
        <v>44</v>
      </c>
      <c r="D4686" t="s">
        <v>51</v>
      </c>
      <c r="E4686">
        <v>1082</v>
      </c>
      <c r="F4686">
        <v>217</v>
      </c>
      <c r="G4686">
        <v>1</v>
      </c>
      <c r="H4686">
        <v>1324.36</v>
      </c>
      <c r="I4686">
        <v>1320.61</v>
      </c>
      <c r="J4686">
        <v>9</v>
      </c>
      <c r="K4686">
        <v>0</v>
      </c>
      <c r="L4686">
        <v>13</v>
      </c>
      <c r="M4686">
        <v>27.4</v>
      </c>
      <c r="N4686" t="s">
        <v>52</v>
      </c>
      <c r="O4686" t="s">
        <v>75</v>
      </c>
      <c r="P4686" t="s">
        <v>66</v>
      </c>
      <c r="R4686">
        <f>SUMIF(A4686:A9685,"C04685",I4686:I9685)</f>
        <v>1320.61</v>
      </c>
      <c r="S4686" s="1">
        <v>7641.17</v>
      </c>
      <c r="T4686">
        <f t="shared" si="529"/>
        <v>146.734444444444</v>
      </c>
      <c r="U4686">
        <f t="shared" si="526"/>
        <v>246.6</v>
      </c>
      <c r="V4686">
        <f t="shared" si="530"/>
        <v>20.55</v>
      </c>
      <c r="W4686">
        <f t="shared" si="532"/>
        <v>881.99</v>
      </c>
      <c r="X4686">
        <f t="shared" si="527"/>
        <v>0.816998399226796</v>
      </c>
      <c r="AH4686" t="str">
        <f t="shared" ref="AH4686:AH4749" si="533">IF(AND(W4686&gt;=12550,B4686&lt;=33,E4686&gt;=915),"1st Quality",IF(AND(W4686&gt;=6275,B4686&lt;=43,E4686&gt;=457),"2nd Quality","3rd Quality"))</f>
        <v>3rd Quality</v>
      </c>
      <c r="AJ4686">
        <f>((T4686-X4686)*2)/13</f>
        <v>22.4488378531103</v>
      </c>
      <c r="AK4686">
        <f t="shared" si="531"/>
        <v>158766.668888889</v>
      </c>
    </row>
    <row r="4687" spans="1:37">
      <c r="A4687" t="s">
        <v>4753</v>
      </c>
      <c r="B4687">
        <v>19</v>
      </c>
      <c r="C4687" t="s">
        <v>44</v>
      </c>
      <c r="D4687" t="s">
        <v>60</v>
      </c>
      <c r="E4687">
        <v>1192</v>
      </c>
      <c r="F4687">
        <v>28</v>
      </c>
      <c r="G4687">
        <v>5</v>
      </c>
      <c r="H4687">
        <v>1050.64</v>
      </c>
      <c r="I4687">
        <v>4941.98</v>
      </c>
      <c r="J4687">
        <v>39</v>
      </c>
      <c r="K4687">
        <v>1</v>
      </c>
      <c r="L4687">
        <v>20.1</v>
      </c>
      <c r="M4687">
        <v>23.8</v>
      </c>
      <c r="N4687" t="s">
        <v>46</v>
      </c>
      <c r="O4687" t="s">
        <v>47</v>
      </c>
      <c r="P4687" t="s">
        <v>48</v>
      </c>
      <c r="R4687">
        <f>SUMIF(A4687:A9686,"C04686",I4687:I9686)</f>
        <v>4941.98</v>
      </c>
      <c r="S4687" s="1">
        <v>1369.67</v>
      </c>
      <c r="T4687">
        <f t="shared" si="529"/>
        <v>126.717435897436</v>
      </c>
      <c r="U4687">
        <f t="shared" si="526"/>
        <v>928.2</v>
      </c>
      <c r="V4687">
        <f>U4687*1</f>
        <v>928.2</v>
      </c>
      <c r="W4687">
        <f t="shared" si="532"/>
        <v>1997.87333333333</v>
      </c>
      <c r="X4687">
        <f t="shared" si="527"/>
        <v>1.13454656209548</v>
      </c>
      <c r="AH4687" t="str">
        <f t="shared" si="533"/>
        <v>3rd Quality</v>
      </c>
      <c r="AJ4687">
        <f>((T4687-X4687)*2)/20.1</f>
        <v>12.4958098841135</v>
      </c>
      <c r="AK4687">
        <f t="shared" si="531"/>
        <v>151047.183589744</v>
      </c>
    </row>
    <row r="4688" spans="1:37">
      <c r="A4688" t="s">
        <v>4754</v>
      </c>
      <c r="B4688">
        <v>29</v>
      </c>
      <c r="C4688" t="s">
        <v>50</v>
      </c>
      <c r="D4688" t="s">
        <v>60</v>
      </c>
      <c r="E4688">
        <v>1338</v>
      </c>
      <c r="F4688">
        <v>17</v>
      </c>
      <c r="G4688">
        <v>13</v>
      </c>
      <c r="H4688">
        <v>879.59</v>
      </c>
      <c r="I4688">
        <v>12295.37</v>
      </c>
      <c r="J4688">
        <v>118</v>
      </c>
      <c r="K4688">
        <v>1</v>
      </c>
      <c r="L4688">
        <v>27.4</v>
      </c>
      <c r="M4688">
        <v>33.5</v>
      </c>
      <c r="N4688" t="s">
        <v>46</v>
      </c>
      <c r="O4688" t="s">
        <v>47</v>
      </c>
      <c r="P4688" t="s">
        <v>68</v>
      </c>
      <c r="R4688">
        <f>SUMIF(A4688:A9687,"C04687",I4688:I9687)</f>
        <v>12295.37</v>
      </c>
      <c r="S4688" s="1">
        <v>5504.88</v>
      </c>
      <c r="T4688">
        <f t="shared" si="529"/>
        <v>104.198050847458</v>
      </c>
      <c r="U4688">
        <f t="shared" si="526"/>
        <v>3953</v>
      </c>
      <c r="V4688">
        <f>U4688*1</f>
        <v>3953</v>
      </c>
      <c r="W4688">
        <f t="shared" si="532"/>
        <v>4391.98666666667</v>
      </c>
      <c r="X4688">
        <f t="shared" si="527"/>
        <v>1.52116326925045</v>
      </c>
      <c r="AH4688" t="str">
        <f t="shared" si="533"/>
        <v>3rd Quality</v>
      </c>
      <c r="AJ4688">
        <f>((T4688-X4688)*2)/27.4</f>
        <v>7.49466332687646</v>
      </c>
      <c r="AK4688">
        <f t="shared" si="531"/>
        <v>139416.992033898</v>
      </c>
    </row>
    <row r="4689" spans="1:37">
      <c r="A4689" t="s">
        <v>4755</v>
      </c>
      <c r="B4689">
        <v>32</v>
      </c>
      <c r="C4689" t="s">
        <v>50</v>
      </c>
      <c r="D4689" t="s">
        <v>51</v>
      </c>
      <c r="E4689">
        <v>1321</v>
      </c>
      <c r="F4689">
        <v>94</v>
      </c>
      <c r="G4689">
        <v>9</v>
      </c>
      <c r="H4689">
        <v>843.09</v>
      </c>
      <c r="I4689">
        <v>7641.17</v>
      </c>
      <c r="J4689">
        <v>67</v>
      </c>
      <c r="K4689">
        <v>1</v>
      </c>
      <c r="L4689">
        <v>16.1</v>
      </c>
      <c r="M4689">
        <v>20</v>
      </c>
      <c r="N4689" t="s">
        <v>57</v>
      </c>
      <c r="O4689" t="s">
        <v>53</v>
      </c>
      <c r="P4689" t="s">
        <v>66</v>
      </c>
      <c r="R4689">
        <f>SUMIF(A4689:A9688,"C04688",I4689:I9688)</f>
        <v>7641.17</v>
      </c>
      <c r="S4689" s="1">
        <v>8206.29</v>
      </c>
      <c r="T4689">
        <f t="shared" si="529"/>
        <v>114.047313432836</v>
      </c>
      <c r="U4689">
        <f t="shared" si="526"/>
        <v>1340</v>
      </c>
      <c r="V4689">
        <f>U4689*1</f>
        <v>1340</v>
      </c>
      <c r="W4689">
        <f t="shared" si="532"/>
        <v>2828.42</v>
      </c>
      <c r="X4689">
        <f t="shared" si="527"/>
        <v>1.56685525863194</v>
      </c>
      <c r="AH4689" t="str">
        <f t="shared" si="533"/>
        <v>3rd Quality</v>
      </c>
      <c r="AJ4689">
        <f>((T4689-X4689)*2)/16.1</f>
        <v>13.9727277235036</v>
      </c>
      <c r="AK4689">
        <f t="shared" si="531"/>
        <v>150656.501044776</v>
      </c>
    </row>
    <row r="4690" spans="1:37">
      <c r="A4690" t="s">
        <v>4756</v>
      </c>
      <c r="B4690">
        <v>43</v>
      </c>
      <c r="C4690" t="s">
        <v>44</v>
      </c>
      <c r="D4690" t="s">
        <v>51</v>
      </c>
      <c r="E4690">
        <v>1422</v>
      </c>
      <c r="F4690">
        <v>45</v>
      </c>
      <c r="G4690">
        <v>1</v>
      </c>
      <c r="H4690">
        <v>1229.8</v>
      </c>
      <c r="I4690">
        <v>1369.67</v>
      </c>
      <c r="J4690">
        <v>14</v>
      </c>
      <c r="K4690">
        <v>0</v>
      </c>
      <c r="L4690">
        <v>20.8</v>
      </c>
      <c r="M4690">
        <v>18.1</v>
      </c>
      <c r="N4690" t="s">
        <v>57</v>
      </c>
      <c r="O4690" t="s">
        <v>53</v>
      </c>
      <c r="P4690" t="s">
        <v>68</v>
      </c>
      <c r="R4690">
        <f>SUMIF(A4690:A9689,"C04689",I4690:I9689)</f>
        <v>1369.67</v>
      </c>
      <c r="S4690" s="1">
        <v>10074.34</v>
      </c>
      <c r="T4690">
        <f t="shared" si="529"/>
        <v>97.8335714285714</v>
      </c>
      <c r="U4690">
        <f t="shared" si="526"/>
        <v>253.4</v>
      </c>
      <c r="V4690">
        <f t="shared" si="530"/>
        <v>21.1166666666667</v>
      </c>
      <c r="W4690">
        <f t="shared" si="532"/>
        <v>866.823333333333</v>
      </c>
      <c r="X4690">
        <f t="shared" si="527"/>
        <v>1.15628557489023</v>
      </c>
      <c r="AH4690" t="str">
        <f t="shared" si="533"/>
        <v>3rd Quality</v>
      </c>
      <c r="AJ4690">
        <f>((T4690-X4690)*2)/20.8</f>
        <v>9.29589287054627</v>
      </c>
      <c r="AK4690">
        <f t="shared" si="531"/>
        <v>139119.338571429</v>
      </c>
    </row>
    <row r="4691" spans="1:37">
      <c r="A4691" t="s">
        <v>4757</v>
      </c>
      <c r="B4691">
        <v>18</v>
      </c>
      <c r="C4691" t="s">
        <v>44</v>
      </c>
      <c r="D4691" t="s">
        <v>51</v>
      </c>
      <c r="E4691">
        <v>465</v>
      </c>
      <c r="F4691">
        <v>73</v>
      </c>
      <c r="G4691">
        <v>5</v>
      </c>
      <c r="H4691">
        <v>1095.97</v>
      </c>
      <c r="I4691">
        <v>5504.88</v>
      </c>
      <c r="J4691">
        <v>40</v>
      </c>
      <c r="K4691">
        <v>0</v>
      </c>
      <c r="L4691">
        <v>23.8</v>
      </c>
      <c r="M4691">
        <v>41.2</v>
      </c>
      <c r="N4691" t="s">
        <v>63</v>
      </c>
      <c r="O4691" t="s">
        <v>47</v>
      </c>
      <c r="P4691" t="s">
        <v>58</v>
      </c>
      <c r="R4691">
        <f>SUMIF(A4691:A9690,"C04690",I4691:I9690)</f>
        <v>5504.88</v>
      </c>
      <c r="S4691" s="1">
        <v>2625.56</v>
      </c>
      <c r="T4691">
        <f t="shared" si="529"/>
        <v>137.622</v>
      </c>
      <c r="U4691">
        <f t="shared" si="526"/>
        <v>1648</v>
      </c>
      <c r="V4691">
        <f t="shared" si="530"/>
        <v>137.333333333333</v>
      </c>
      <c r="W4691">
        <f t="shared" si="532"/>
        <v>2200.61666666667</v>
      </c>
      <c r="X4691">
        <f t="shared" si="527"/>
        <v>0.424281686542515</v>
      </c>
      <c r="AH4691" t="str">
        <f t="shared" si="533"/>
        <v>3rd Quality</v>
      </c>
      <c r="AJ4691">
        <f>((T4691-X4691)*2)/23.8</f>
        <v>11.529220026341</v>
      </c>
      <c r="AK4691">
        <f t="shared" si="531"/>
        <v>63994.23</v>
      </c>
    </row>
    <row r="4692" spans="1:37">
      <c r="A4692" t="s">
        <v>4758</v>
      </c>
      <c r="B4692">
        <v>23</v>
      </c>
      <c r="C4692" t="s">
        <v>50</v>
      </c>
      <c r="D4692" t="s">
        <v>60</v>
      </c>
      <c r="E4692">
        <v>498</v>
      </c>
      <c r="F4692">
        <v>25</v>
      </c>
      <c r="G4692">
        <v>9</v>
      </c>
      <c r="H4692">
        <v>987.52</v>
      </c>
      <c r="I4692">
        <v>8206.29</v>
      </c>
      <c r="J4692">
        <v>42</v>
      </c>
      <c r="K4692">
        <v>1</v>
      </c>
      <c r="L4692">
        <v>11.4</v>
      </c>
      <c r="M4692">
        <v>18.4</v>
      </c>
      <c r="N4692" t="s">
        <v>52</v>
      </c>
      <c r="O4692" t="s">
        <v>53</v>
      </c>
      <c r="P4692" t="s">
        <v>58</v>
      </c>
      <c r="R4692">
        <f>SUMIF(A4692:A9691,"C04691",I4692:I9691)</f>
        <v>8206.29</v>
      </c>
      <c r="S4692" s="1">
        <v>712.51</v>
      </c>
      <c r="T4692">
        <f t="shared" si="529"/>
        <v>195.387857142857</v>
      </c>
      <c r="U4692">
        <f t="shared" si="526"/>
        <v>772.8</v>
      </c>
      <c r="V4692">
        <f>U4692*1</f>
        <v>772.8</v>
      </c>
      <c r="W4692">
        <f t="shared" si="532"/>
        <v>3064.93666666667</v>
      </c>
      <c r="X4692">
        <f t="shared" si="527"/>
        <v>0.504293583927414</v>
      </c>
      <c r="AH4692" t="str">
        <f t="shared" si="533"/>
        <v>3rd Quality</v>
      </c>
      <c r="AJ4692">
        <f>((T4692-X4692)*2)/11.4</f>
        <v>34.1900988699876</v>
      </c>
      <c r="AK4692">
        <f t="shared" si="531"/>
        <v>97303.1528571429</v>
      </c>
    </row>
    <row r="4693" spans="1:37">
      <c r="A4693" t="s">
        <v>4759</v>
      </c>
      <c r="B4693">
        <v>30</v>
      </c>
      <c r="C4693" t="s">
        <v>44</v>
      </c>
      <c r="D4693" t="s">
        <v>45</v>
      </c>
      <c r="E4693">
        <v>1243</v>
      </c>
      <c r="F4693">
        <v>58</v>
      </c>
      <c r="G4693">
        <v>5</v>
      </c>
      <c r="H4693">
        <v>1892.12</v>
      </c>
      <c r="I4693">
        <v>10074.34</v>
      </c>
      <c r="J4693">
        <v>17</v>
      </c>
      <c r="K4693">
        <v>1</v>
      </c>
      <c r="L4693">
        <v>22.4</v>
      </c>
      <c r="M4693">
        <v>66.9</v>
      </c>
      <c r="N4693" t="s">
        <v>78</v>
      </c>
      <c r="O4693" t="s">
        <v>47</v>
      </c>
      <c r="P4693" t="s">
        <v>58</v>
      </c>
      <c r="R4693">
        <f>SUMIF(A4693:A9692,"C04692",I4693:I9692)</f>
        <v>10074.34</v>
      </c>
      <c r="S4693" s="1">
        <v>5619.96</v>
      </c>
      <c r="T4693">
        <f t="shared" si="529"/>
        <v>592.608235294118</v>
      </c>
      <c r="U4693">
        <f t="shared" si="526"/>
        <v>1137.3</v>
      </c>
      <c r="V4693">
        <f>U4693*1</f>
        <v>1137.3</v>
      </c>
      <c r="W4693">
        <f t="shared" si="532"/>
        <v>3989.15333333333</v>
      </c>
      <c r="X4693">
        <f t="shared" si="527"/>
        <v>0.656935078113439</v>
      </c>
      <c r="AH4693" t="str">
        <f t="shared" si="533"/>
        <v>3rd Quality</v>
      </c>
      <c r="AJ4693">
        <f>((T4693-X4693)*2)/22.4</f>
        <v>52.8527946621433</v>
      </c>
      <c r="AK4693">
        <f t="shared" si="531"/>
        <v>736612.036470588</v>
      </c>
    </row>
    <row r="4694" spans="1:37">
      <c r="A4694" t="s">
        <v>4760</v>
      </c>
      <c r="B4694">
        <v>32</v>
      </c>
      <c r="C4694" t="s">
        <v>44</v>
      </c>
      <c r="D4694" t="s">
        <v>60</v>
      </c>
      <c r="E4694">
        <v>1151</v>
      </c>
      <c r="F4694">
        <v>105</v>
      </c>
      <c r="G4694">
        <v>3</v>
      </c>
      <c r="H4694">
        <v>956.02</v>
      </c>
      <c r="I4694">
        <v>2625.56</v>
      </c>
      <c r="J4694">
        <v>23</v>
      </c>
      <c r="K4694">
        <v>1</v>
      </c>
      <c r="L4694">
        <v>29.8</v>
      </c>
      <c r="M4694">
        <v>22.8</v>
      </c>
      <c r="N4694" t="s">
        <v>61</v>
      </c>
      <c r="O4694" t="s">
        <v>47</v>
      </c>
      <c r="P4694" t="s">
        <v>58</v>
      </c>
      <c r="R4694">
        <f>SUMIF(A4694:A9693,"C04693",I4694:I9693)</f>
        <v>2625.56</v>
      </c>
      <c r="S4694" s="1">
        <v>4313.61</v>
      </c>
      <c r="T4694">
        <f t="shared" si="529"/>
        <v>114.154782608696</v>
      </c>
      <c r="U4694">
        <f t="shared" si="526"/>
        <v>524.4</v>
      </c>
      <c r="V4694">
        <f>U4694*1</f>
        <v>524.4</v>
      </c>
      <c r="W4694">
        <f t="shared" si="532"/>
        <v>1194.19333333333</v>
      </c>
      <c r="X4694">
        <f t="shared" si="527"/>
        <v>1.2039497081651</v>
      </c>
      <c r="AH4694" t="str">
        <f t="shared" si="533"/>
        <v>3rd Quality</v>
      </c>
      <c r="AJ4694">
        <f>((T4694-X4694)*2)/29.8</f>
        <v>7.58059281211617</v>
      </c>
      <c r="AK4694">
        <f t="shared" si="531"/>
        <v>131392.154782609</v>
      </c>
    </row>
    <row r="4695" spans="1:37">
      <c r="A4695" t="s">
        <v>4761</v>
      </c>
      <c r="B4695">
        <v>41</v>
      </c>
      <c r="C4695" t="s">
        <v>44</v>
      </c>
      <c r="D4695" t="s">
        <v>45</v>
      </c>
      <c r="E4695">
        <v>1189</v>
      </c>
      <c r="F4695">
        <v>29</v>
      </c>
      <c r="G4695">
        <v>1</v>
      </c>
      <c r="H4695">
        <v>751.59</v>
      </c>
      <c r="I4695">
        <v>712.51</v>
      </c>
      <c r="J4695">
        <v>12</v>
      </c>
      <c r="K4695">
        <v>0</v>
      </c>
      <c r="L4695">
        <v>36.1</v>
      </c>
      <c r="M4695">
        <v>38.9</v>
      </c>
      <c r="N4695" t="s">
        <v>63</v>
      </c>
      <c r="O4695" t="s">
        <v>47</v>
      </c>
      <c r="P4695" t="s">
        <v>58</v>
      </c>
      <c r="R4695">
        <f>SUMIF(A4695:A9694,"C04694",I4695:I9694)</f>
        <v>712.51</v>
      </c>
      <c r="S4695" s="1">
        <v>26323.51</v>
      </c>
      <c r="T4695">
        <f t="shared" si="529"/>
        <v>59.3758333333333</v>
      </c>
      <c r="U4695">
        <f t="shared" si="526"/>
        <v>466.8</v>
      </c>
      <c r="V4695">
        <f t="shared" si="530"/>
        <v>38.9</v>
      </c>
      <c r="W4695">
        <f t="shared" si="532"/>
        <v>488.366666666667</v>
      </c>
      <c r="X4695">
        <f t="shared" si="527"/>
        <v>1.5819795367155</v>
      </c>
      <c r="AH4695" t="str">
        <f t="shared" si="533"/>
        <v>3rd Quality</v>
      </c>
      <c r="AJ4695">
        <f>((T4695-X4695)*2)/36.1</f>
        <v>3.20187555659932</v>
      </c>
      <c r="AK4695">
        <f t="shared" si="531"/>
        <v>70597.8658333333</v>
      </c>
    </row>
    <row r="4696" spans="1:37">
      <c r="A4696" t="s">
        <v>4762</v>
      </c>
      <c r="B4696">
        <v>18</v>
      </c>
      <c r="C4696" t="s">
        <v>44</v>
      </c>
      <c r="D4696" t="s">
        <v>45</v>
      </c>
      <c r="E4696">
        <v>626</v>
      </c>
      <c r="F4696">
        <v>62</v>
      </c>
      <c r="G4696">
        <v>6</v>
      </c>
      <c r="H4696">
        <v>847.29</v>
      </c>
      <c r="I4696">
        <v>5619.96</v>
      </c>
      <c r="J4696">
        <v>31</v>
      </c>
      <c r="K4696">
        <v>0</v>
      </c>
      <c r="L4696">
        <v>14.6</v>
      </c>
      <c r="M4696">
        <v>50.1</v>
      </c>
      <c r="N4696" t="s">
        <v>52</v>
      </c>
      <c r="O4696" t="s">
        <v>53</v>
      </c>
      <c r="P4696" t="s">
        <v>68</v>
      </c>
      <c r="R4696">
        <f>SUMIF(A4696:A9695,"C04695",I4696:I9695)</f>
        <v>5619.96</v>
      </c>
      <c r="S4696" s="1">
        <v>15144.08</v>
      </c>
      <c r="T4696">
        <f t="shared" si="529"/>
        <v>181.289032258065</v>
      </c>
      <c r="U4696">
        <f t="shared" si="526"/>
        <v>1553.1</v>
      </c>
      <c r="V4696">
        <f t="shared" si="530"/>
        <v>129.425</v>
      </c>
      <c r="W4696">
        <f t="shared" si="532"/>
        <v>2156.08333333333</v>
      </c>
      <c r="X4696">
        <f t="shared" si="527"/>
        <v>0.738826139810455</v>
      </c>
      <c r="AH4696" t="str">
        <f t="shared" si="533"/>
        <v>3rd Quality</v>
      </c>
      <c r="AJ4696">
        <f>((T4696-X4696)*2)/14.6</f>
        <v>24.7329049477061</v>
      </c>
      <c r="AK4696">
        <f t="shared" si="531"/>
        <v>113486.934193548</v>
      </c>
    </row>
    <row r="4697" spans="1:37">
      <c r="A4697" t="s">
        <v>4763</v>
      </c>
      <c r="B4697">
        <v>51</v>
      </c>
      <c r="C4697" t="s">
        <v>50</v>
      </c>
      <c r="D4697" t="s">
        <v>45</v>
      </c>
      <c r="E4697">
        <v>871</v>
      </c>
      <c r="F4697">
        <v>45</v>
      </c>
      <c r="G4697">
        <v>4</v>
      </c>
      <c r="H4697">
        <v>967.76</v>
      </c>
      <c r="I4697">
        <v>4313.61</v>
      </c>
      <c r="J4697">
        <v>44</v>
      </c>
      <c r="K4697">
        <v>0</v>
      </c>
      <c r="L4697">
        <v>29.9</v>
      </c>
      <c r="M4697">
        <v>15.7</v>
      </c>
      <c r="N4697" t="s">
        <v>78</v>
      </c>
      <c r="O4697" t="s">
        <v>47</v>
      </c>
      <c r="P4697" t="s">
        <v>58</v>
      </c>
      <c r="R4697">
        <f>SUMIF(A4697:A9696,"C04696",I4697:I9696)</f>
        <v>4313.61</v>
      </c>
      <c r="S4697" s="1">
        <v>44072.23</v>
      </c>
      <c r="T4697">
        <f t="shared" si="529"/>
        <v>98.0365909090909</v>
      </c>
      <c r="U4697">
        <f t="shared" si="526"/>
        <v>690.8</v>
      </c>
      <c r="V4697">
        <f t="shared" si="530"/>
        <v>57.5666666666667</v>
      </c>
      <c r="W4697">
        <f t="shared" si="532"/>
        <v>1760.79</v>
      </c>
      <c r="X4697">
        <f t="shared" si="527"/>
        <v>0.900016533024717</v>
      </c>
      <c r="AH4697" t="str">
        <f t="shared" si="533"/>
        <v>3rd Quality</v>
      </c>
      <c r="AJ4697">
        <f>((T4697-X4697)*2)/29.9</f>
        <v>6.49742972415159</v>
      </c>
      <c r="AK4697">
        <f t="shared" si="531"/>
        <v>85389.8706818182</v>
      </c>
    </row>
    <row r="4698" spans="1:37">
      <c r="A4698" t="s">
        <v>4764</v>
      </c>
      <c r="B4698">
        <v>30</v>
      </c>
      <c r="C4698" t="s">
        <v>44</v>
      </c>
      <c r="D4698" t="s">
        <v>51</v>
      </c>
      <c r="E4698">
        <v>1071</v>
      </c>
      <c r="F4698">
        <v>44</v>
      </c>
      <c r="G4698">
        <v>9</v>
      </c>
      <c r="H4698">
        <v>2742.72</v>
      </c>
      <c r="I4698">
        <v>26323.51</v>
      </c>
      <c r="J4698">
        <v>41</v>
      </c>
      <c r="K4698">
        <v>1</v>
      </c>
      <c r="L4698">
        <v>24.3</v>
      </c>
      <c r="M4698">
        <v>19</v>
      </c>
      <c r="N4698" t="s">
        <v>61</v>
      </c>
      <c r="O4698" t="s">
        <v>53</v>
      </c>
      <c r="P4698" t="s">
        <v>48</v>
      </c>
      <c r="R4698">
        <f>SUMIF(A4698:A9697,"C04697",I4698:I9697)</f>
        <v>26323.51</v>
      </c>
      <c r="S4698" s="1">
        <v>4811.96</v>
      </c>
      <c r="T4698">
        <f t="shared" ref="T4698:T4705" si="534">I4698/J4698</f>
        <v>642.036829268293</v>
      </c>
      <c r="U4698">
        <f t="shared" si="526"/>
        <v>779</v>
      </c>
      <c r="V4698">
        <f>U4698*1</f>
        <v>779</v>
      </c>
      <c r="W4698">
        <f t="shared" si="532"/>
        <v>9689.07666666667</v>
      </c>
      <c r="X4698">
        <f t="shared" si="527"/>
        <v>0.390488274413721</v>
      </c>
      <c r="AH4698" t="str">
        <f t="shared" si="533"/>
        <v>2nd Quality</v>
      </c>
      <c r="AJ4698">
        <f>((T4698-X4698)*2)/24.3</f>
        <v>52.8103984357102</v>
      </c>
      <c r="AK4698">
        <f t="shared" si="531"/>
        <v>687621.444146341</v>
      </c>
    </row>
    <row r="4699" spans="1:37">
      <c r="A4699" t="s">
        <v>4765</v>
      </c>
      <c r="B4699">
        <v>50</v>
      </c>
      <c r="C4699" t="s">
        <v>44</v>
      </c>
      <c r="D4699" t="s">
        <v>45</v>
      </c>
      <c r="E4699">
        <v>1053</v>
      </c>
      <c r="F4699">
        <v>88</v>
      </c>
      <c r="G4699">
        <v>12</v>
      </c>
      <c r="H4699">
        <v>1357.5</v>
      </c>
      <c r="I4699">
        <v>15144.08</v>
      </c>
      <c r="J4699">
        <v>92</v>
      </c>
      <c r="K4699">
        <v>2</v>
      </c>
      <c r="L4699">
        <v>11.2</v>
      </c>
      <c r="M4699">
        <v>31.6</v>
      </c>
      <c r="N4699" t="s">
        <v>63</v>
      </c>
      <c r="O4699" t="s">
        <v>53</v>
      </c>
      <c r="P4699" t="s">
        <v>58</v>
      </c>
      <c r="R4699">
        <f>SUMIF(A4699:A9698,"C04698",I4699:I9698)</f>
        <v>15144.08</v>
      </c>
      <c r="S4699" s="1">
        <v>2382.28</v>
      </c>
      <c r="T4699">
        <f t="shared" si="534"/>
        <v>164.609565217391</v>
      </c>
      <c r="U4699">
        <f t="shared" si="526"/>
        <v>2907.2</v>
      </c>
      <c r="V4699">
        <f>U4699*2</f>
        <v>5814.4</v>
      </c>
      <c r="W4699">
        <f t="shared" si="532"/>
        <v>5500.86</v>
      </c>
      <c r="X4699">
        <f t="shared" si="527"/>
        <v>0.775690607734807</v>
      </c>
      <c r="AH4699" t="str">
        <f t="shared" si="533"/>
        <v>3rd Quality</v>
      </c>
      <c r="AJ4699">
        <f>((T4699-X4699)*2)/11.2</f>
        <v>29.2560490374386</v>
      </c>
      <c r="AK4699">
        <f t="shared" si="531"/>
        <v>173333.872173913</v>
      </c>
    </row>
    <row r="4700" spans="1:37">
      <c r="A4700" t="s">
        <v>4766</v>
      </c>
      <c r="B4700">
        <v>42</v>
      </c>
      <c r="C4700" t="s">
        <v>50</v>
      </c>
      <c r="D4700" t="s">
        <v>60</v>
      </c>
      <c r="E4700">
        <v>1306</v>
      </c>
      <c r="F4700">
        <v>17</v>
      </c>
      <c r="G4700">
        <v>3</v>
      </c>
      <c r="H4700">
        <v>13884.59</v>
      </c>
      <c r="I4700">
        <v>44072.23</v>
      </c>
      <c r="J4700">
        <v>16</v>
      </c>
      <c r="K4700">
        <v>0</v>
      </c>
      <c r="L4700">
        <v>7.5</v>
      </c>
      <c r="M4700">
        <v>37.7</v>
      </c>
      <c r="N4700" t="s">
        <v>46</v>
      </c>
      <c r="O4700" t="s">
        <v>47</v>
      </c>
      <c r="P4700" t="s">
        <v>68</v>
      </c>
      <c r="R4700">
        <f>SUMIF(A4700:A9699,"C04699",I4700:I9699)</f>
        <v>44072.23</v>
      </c>
      <c r="S4700" s="1">
        <v>7551.7</v>
      </c>
      <c r="T4700">
        <f t="shared" si="534"/>
        <v>2754.514375</v>
      </c>
      <c r="U4700">
        <f t="shared" si="526"/>
        <v>603.2</v>
      </c>
      <c r="V4700">
        <f t="shared" si="530"/>
        <v>50.2666666666667</v>
      </c>
      <c r="W4700">
        <f t="shared" si="532"/>
        <v>19319.2733333333</v>
      </c>
      <c r="X4700">
        <f t="shared" si="527"/>
        <v>0.0940611137959421</v>
      </c>
      <c r="AH4700" t="str">
        <f t="shared" si="533"/>
        <v>2nd Quality</v>
      </c>
      <c r="AJ4700">
        <f>((T4700-X4700)*2)/7.5</f>
        <v>734.512083702988</v>
      </c>
      <c r="AK4700">
        <f t="shared" si="531"/>
        <v>3597395.77375</v>
      </c>
    </row>
    <row r="4701" spans="1:37">
      <c r="A4701" t="s">
        <v>4767</v>
      </c>
      <c r="B4701">
        <v>20</v>
      </c>
      <c r="C4701" t="s">
        <v>50</v>
      </c>
      <c r="D4701" t="s">
        <v>60</v>
      </c>
      <c r="E4701">
        <v>770</v>
      </c>
      <c r="F4701">
        <v>58</v>
      </c>
      <c r="G4701">
        <v>6</v>
      </c>
      <c r="H4701">
        <v>784.29</v>
      </c>
      <c r="I4701">
        <v>4811.96</v>
      </c>
      <c r="J4701">
        <v>26</v>
      </c>
      <c r="K4701">
        <v>0</v>
      </c>
      <c r="L4701">
        <v>30.8</v>
      </c>
      <c r="M4701">
        <v>16</v>
      </c>
      <c r="N4701" t="s">
        <v>46</v>
      </c>
      <c r="O4701" t="s">
        <v>47</v>
      </c>
      <c r="P4701" t="s">
        <v>66</v>
      </c>
      <c r="R4701">
        <f>SUMIF(A4701:A9700,"C04700",I4701:I9700)</f>
        <v>4811.96</v>
      </c>
      <c r="S4701" s="1">
        <v>2675.66</v>
      </c>
      <c r="T4701">
        <f t="shared" si="534"/>
        <v>185.075384615385</v>
      </c>
      <c r="U4701">
        <f t="shared" si="526"/>
        <v>416</v>
      </c>
      <c r="V4701">
        <f t="shared" si="530"/>
        <v>34.6666666666667</v>
      </c>
      <c r="W4701">
        <f t="shared" si="532"/>
        <v>1865.75</v>
      </c>
      <c r="X4701">
        <f t="shared" si="527"/>
        <v>0.98177969883589</v>
      </c>
      <c r="AH4701" t="str">
        <f t="shared" si="533"/>
        <v>3rd Quality</v>
      </c>
      <c r="AJ4701">
        <f>((T4701-X4701)*2)/30.8</f>
        <v>11.9541301893863</v>
      </c>
      <c r="AK4701">
        <f t="shared" si="531"/>
        <v>142508.046153846</v>
      </c>
    </row>
    <row r="4702" spans="1:37">
      <c r="A4702" t="s">
        <v>4768</v>
      </c>
      <c r="B4702">
        <v>26</v>
      </c>
      <c r="C4702" t="s">
        <v>50</v>
      </c>
      <c r="D4702" t="s">
        <v>45</v>
      </c>
      <c r="E4702">
        <v>1282</v>
      </c>
      <c r="F4702">
        <v>182</v>
      </c>
      <c r="G4702">
        <v>1</v>
      </c>
      <c r="H4702">
        <v>2413.13</v>
      </c>
      <c r="I4702">
        <v>2382.28</v>
      </c>
      <c r="J4702">
        <v>16</v>
      </c>
      <c r="K4702">
        <v>0</v>
      </c>
      <c r="L4702">
        <v>16.1</v>
      </c>
      <c r="M4702">
        <v>24.8</v>
      </c>
      <c r="N4702" t="s">
        <v>57</v>
      </c>
      <c r="O4702" t="s">
        <v>47</v>
      </c>
      <c r="P4702" t="s">
        <v>48</v>
      </c>
      <c r="R4702">
        <f>SUMIF(A4702:A9701,"C04701",I4702:I9701)</f>
        <v>2382.28</v>
      </c>
      <c r="S4702" s="1">
        <v>2947.29</v>
      </c>
      <c r="T4702">
        <f t="shared" si="534"/>
        <v>148.8925</v>
      </c>
      <c r="U4702">
        <f t="shared" si="526"/>
        <v>396.8</v>
      </c>
      <c r="V4702">
        <f t="shared" si="530"/>
        <v>33.0666666666667</v>
      </c>
      <c r="W4702">
        <f t="shared" si="532"/>
        <v>1598.80333333333</v>
      </c>
      <c r="X4702">
        <f t="shared" si="527"/>
        <v>0.531260230489033</v>
      </c>
      <c r="AH4702" t="str">
        <f t="shared" si="533"/>
        <v>3rd Quality</v>
      </c>
      <c r="AJ4702">
        <f>((T4702-X4702)*2)/16.1</f>
        <v>18.4299676732312</v>
      </c>
      <c r="AK4702">
        <f t="shared" si="531"/>
        <v>190880.185</v>
      </c>
    </row>
    <row r="4703" spans="1:37">
      <c r="A4703" t="s">
        <v>4769</v>
      </c>
      <c r="B4703">
        <v>18</v>
      </c>
      <c r="C4703" t="s">
        <v>44</v>
      </c>
      <c r="D4703" t="s">
        <v>51</v>
      </c>
      <c r="E4703">
        <v>710</v>
      </c>
      <c r="F4703">
        <v>32</v>
      </c>
      <c r="G4703">
        <v>6</v>
      </c>
      <c r="H4703">
        <v>1275.1</v>
      </c>
      <c r="I4703">
        <v>7551.7</v>
      </c>
      <c r="J4703">
        <v>35</v>
      </c>
      <c r="K4703">
        <v>0</v>
      </c>
      <c r="L4703">
        <v>13</v>
      </c>
      <c r="M4703">
        <v>26.1</v>
      </c>
      <c r="N4703" t="s">
        <v>78</v>
      </c>
      <c r="O4703" t="s">
        <v>75</v>
      </c>
      <c r="P4703" t="s">
        <v>58</v>
      </c>
      <c r="R4703">
        <f>SUMIF(A4703:A9702,"C04702",I4703:I9702)</f>
        <v>7551.7</v>
      </c>
      <c r="S4703" s="1">
        <v>84891.38</v>
      </c>
      <c r="T4703">
        <f t="shared" si="534"/>
        <v>215.762857142857</v>
      </c>
      <c r="U4703">
        <f t="shared" si="526"/>
        <v>913.5</v>
      </c>
      <c r="V4703">
        <f t="shared" si="530"/>
        <v>76.125</v>
      </c>
      <c r="W4703">
        <f t="shared" si="532"/>
        <v>2942.6</v>
      </c>
      <c r="X4703">
        <f t="shared" si="527"/>
        <v>0.556819073013881</v>
      </c>
      <c r="AH4703" t="str">
        <f t="shared" si="533"/>
        <v>3rd Quality</v>
      </c>
      <c r="AJ4703">
        <f>((T4703-X4703)*2)/13</f>
        <v>33.1086212415143</v>
      </c>
      <c r="AK4703">
        <f t="shared" si="531"/>
        <v>153191.628571429</v>
      </c>
    </row>
    <row r="4704" spans="1:37">
      <c r="A4704" t="s">
        <v>4770</v>
      </c>
      <c r="B4704">
        <v>21</v>
      </c>
      <c r="C4704" t="s">
        <v>50</v>
      </c>
      <c r="D4704" t="s">
        <v>60</v>
      </c>
      <c r="E4704">
        <v>1199</v>
      </c>
      <c r="F4704">
        <v>41</v>
      </c>
      <c r="G4704">
        <v>5</v>
      </c>
      <c r="H4704">
        <v>541.23</v>
      </c>
      <c r="I4704">
        <v>2675.66</v>
      </c>
      <c r="J4704">
        <v>51</v>
      </c>
      <c r="K4704">
        <v>0</v>
      </c>
      <c r="L4704">
        <v>21.5</v>
      </c>
      <c r="M4704">
        <v>13.9</v>
      </c>
      <c r="N4704" t="s">
        <v>52</v>
      </c>
      <c r="O4704" t="s">
        <v>47</v>
      </c>
      <c r="P4704" t="s">
        <v>66</v>
      </c>
      <c r="R4704">
        <f>SUMIF(A4704:A9703,"C04703",I4704:I9703)</f>
        <v>2675.66</v>
      </c>
      <c r="S4704" s="1">
        <v>10862.8</v>
      </c>
      <c r="T4704">
        <f t="shared" si="534"/>
        <v>52.4639215686274</v>
      </c>
      <c r="U4704">
        <f t="shared" si="526"/>
        <v>708.9</v>
      </c>
      <c r="V4704">
        <f t="shared" si="530"/>
        <v>59.075</v>
      </c>
      <c r="W4704">
        <f t="shared" si="532"/>
        <v>1072.63</v>
      </c>
      <c r="X4704">
        <f t="shared" si="527"/>
        <v>2.21532435378674</v>
      </c>
      <c r="AH4704" t="str">
        <f t="shared" si="533"/>
        <v>3rd Quality</v>
      </c>
      <c r="AJ4704">
        <f>((T4704-X4704)*2)/21.5</f>
        <v>4.67428811300843</v>
      </c>
      <c r="AK4704">
        <f t="shared" si="531"/>
        <v>62904.2419607843</v>
      </c>
    </row>
    <row r="4705" spans="1:37">
      <c r="A4705" t="s">
        <v>4771</v>
      </c>
      <c r="B4705">
        <v>31</v>
      </c>
      <c r="C4705" t="s">
        <v>50</v>
      </c>
      <c r="D4705" t="s">
        <v>60</v>
      </c>
      <c r="E4705">
        <v>406</v>
      </c>
      <c r="F4705">
        <v>51</v>
      </c>
      <c r="G4705">
        <v>3</v>
      </c>
      <c r="H4705">
        <v>1026.18</v>
      </c>
      <c r="I4705">
        <v>2947.29</v>
      </c>
      <c r="J4705">
        <v>19</v>
      </c>
      <c r="K4705">
        <v>1</v>
      </c>
      <c r="L4705">
        <v>8.3</v>
      </c>
      <c r="M4705">
        <v>23</v>
      </c>
      <c r="N4705" t="s">
        <v>52</v>
      </c>
      <c r="O4705" t="s">
        <v>47</v>
      </c>
      <c r="P4705" t="s">
        <v>48</v>
      </c>
      <c r="R4705">
        <f>SUMIF(A4705:A9704,"C04704",I4705:I9704)</f>
        <v>2947.29</v>
      </c>
      <c r="S4705" s="1">
        <v>81778.91</v>
      </c>
      <c r="T4705">
        <f t="shared" si="534"/>
        <v>155.120526315789</v>
      </c>
      <c r="U4705">
        <f t="shared" si="526"/>
        <v>437</v>
      </c>
      <c r="V4705">
        <f>U4705*1</f>
        <v>437</v>
      </c>
      <c r="W4705">
        <f t="shared" si="532"/>
        <v>1324.82333333333</v>
      </c>
      <c r="X4705">
        <f t="shared" si="527"/>
        <v>0.395642090081662</v>
      </c>
      <c r="AH4705" t="str">
        <f t="shared" si="533"/>
        <v>3rd Quality</v>
      </c>
      <c r="AJ4705">
        <f>((T4705-X4705)*2)/8.3</f>
        <v>37.2831046327006</v>
      </c>
      <c r="AK4705">
        <f t="shared" si="531"/>
        <v>62978.9336842105</v>
      </c>
    </row>
    <row r="4706" spans="1:37">
      <c r="A4706" t="s">
        <v>4772</v>
      </c>
      <c r="B4706">
        <v>26</v>
      </c>
      <c r="C4706" t="s">
        <v>101</v>
      </c>
      <c r="D4706" t="s">
        <v>60</v>
      </c>
      <c r="E4706">
        <v>593</v>
      </c>
      <c r="F4706">
        <v>4</v>
      </c>
      <c r="G4706">
        <v>25</v>
      </c>
      <c r="H4706">
        <v>3364.94</v>
      </c>
      <c r="I4706">
        <v>84891.38</v>
      </c>
      <c r="J4706">
        <v>208</v>
      </c>
      <c r="K4706">
        <v>0</v>
      </c>
      <c r="L4706">
        <v>11.3</v>
      </c>
      <c r="M4706">
        <v>21.4</v>
      </c>
      <c r="N4706" t="s">
        <v>46</v>
      </c>
      <c r="O4706" t="s">
        <v>47</v>
      </c>
      <c r="P4706" t="s">
        <v>66</v>
      </c>
      <c r="R4706">
        <f>SUMIF(A4706:A9705,"C04705",I4706:I9705)</f>
        <v>84891.38</v>
      </c>
      <c r="S4706" s="1">
        <v>16450.36</v>
      </c>
      <c r="T4706">
        <f t="shared" ref="T4706:T4714" si="535">I4706/J4706</f>
        <v>408.131634615385</v>
      </c>
      <c r="U4706">
        <f t="shared" ref="U4706:U4769" si="536">J4706*M4706</f>
        <v>4451.2</v>
      </c>
      <c r="V4706">
        <f t="shared" si="530"/>
        <v>370.933333333333</v>
      </c>
      <c r="W4706">
        <f t="shared" si="532"/>
        <v>29419.1066666667</v>
      </c>
      <c r="X4706">
        <f t="shared" si="527"/>
        <v>0.176228996653729</v>
      </c>
      <c r="AH4706" t="str">
        <f t="shared" si="533"/>
        <v>2nd Quality</v>
      </c>
      <c r="AJ4706">
        <f>((T4706-X4706)*2)/11.3</f>
        <v>72.204496569687</v>
      </c>
      <c r="AK4706">
        <f t="shared" si="531"/>
        <v>242022.059326923</v>
      </c>
    </row>
    <row r="4707" spans="1:37">
      <c r="A4707" t="s">
        <v>4773</v>
      </c>
      <c r="B4707">
        <v>20</v>
      </c>
      <c r="C4707" t="s">
        <v>50</v>
      </c>
      <c r="D4707" t="s">
        <v>45</v>
      </c>
      <c r="E4707">
        <v>377</v>
      </c>
      <c r="F4707">
        <v>34</v>
      </c>
      <c r="G4707">
        <v>6</v>
      </c>
      <c r="H4707">
        <v>2037.05</v>
      </c>
      <c r="I4707">
        <v>10862.8</v>
      </c>
      <c r="J4707">
        <v>55</v>
      </c>
      <c r="K4707">
        <v>1</v>
      </c>
      <c r="L4707">
        <v>27.2</v>
      </c>
      <c r="M4707">
        <v>28.3</v>
      </c>
      <c r="N4707" t="s">
        <v>61</v>
      </c>
      <c r="O4707" t="s">
        <v>53</v>
      </c>
      <c r="P4707" t="s">
        <v>68</v>
      </c>
      <c r="R4707">
        <f>SUMIF(A4707:A9706,"C04706",I4707:I9706)</f>
        <v>10862.8</v>
      </c>
      <c r="S4707" s="1">
        <v>64814.62</v>
      </c>
      <c r="T4707">
        <f t="shared" si="535"/>
        <v>197.505454545455</v>
      </c>
      <c r="U4707">
        <f t="shared" si="536"/>
        <v>1556.5</v>
      </c>
      <c r="V4707">
        <f>U4707*1</f>
        <v>1556.5</v>
      </c>
      <c r="W4707">
        <f t="shared" si="532"/>
        <v>4300.28333333333</v>
      </c>
      <c r="X4707">
        <f t="shared" si="527"/>
        <v>0.185071549544685</v>
      </c>
      <c r="AH4707" t="str">
        <f t="shared" si="533"/>
        <v>3rd Quality</v>
      </c>
      <c r="AJ4707">
        <f>((T4707-X4707)*2)/27.2</f>
        <v>14.5088516908758</v>
      </c>
      <c r="AK4707">
        <f t="shared" si="531"/>
        <v>74459.5563636364</v>
      </c>
    </row>
    <row r="4708" spans="1:37">
      <c r="A4708" t="s">
        <v>4774</v>
      </c>
      <c r="B4708">
        <v>27</v>
      </c>
      <c r="C4708" t="s">
        <v>101</v>
      </c>
      <c r="D4708" t="s">
        <v>45</v>
      </c>
      <c r="E4708">
        <v>605</v>
      </c>
      <c r="F4708">
        <v>4</v>
      </c>
      <c r="G4708">
        <v>25</v>
      </c>
      <c r="H4708">
        <v>3018.68</v>
      </c>
      <c r="I4708">
        <v>81778.91</v>
      </c>
      <c r="J4708">
        <v>204</v>
      </c>
      <c r="K4708">
        <v>5</v>
      </c>
      <c r="L4708">
        <v>7.5</v>
      </c>
      <c r="M4708">
        <v>39.8</v>
      </c>
      <c r="N4708" t="s">
        <v>81</v>
      </c>
      <c r="O4708" t="s">
        <v>53</v>
      </c>
      <c r="P4708" t="s">
        <v>58</v>
      </c>
      <c r="R4708">
        <f>SUMIF(A4708:A9707,"C04707",I4708:I9707)</f>
        <v>81778.91</v>
      </c>
      <c r="S4708" s="1">
        <v>16236.49</v>
      </c>
      <c r="T4708">
        <f t="shared" si="535"/>
        <v>400.877009803922</v>
      </c>
      <c r="U4708">
        <f t="shared" si="536"/>
        <v>8119.2</v>
      </c>
      <c r="V4708">
        <f>U4708*5</f>
        <v>40596</v>
      </c>
      <c r="W4708">
        <f t="shared" si="532"/>
        <v>28266.1966666667</v>
      </c>
      <c r="X4708">
        <f t="shared" si="527"/>
        <v>0.200418726065698</v>
      </c>
      <c r="AH4708" t="str">
        <f t="shared" si="533"/>
        <v>2nd Quality</v>
      </c>
      <c r="AJ4708">
        <f>((T4708-X4708)*2)/7.5</f>
        <v>106.847090954095</v>
      </c>
      <c r="AK4708">
        <f t="shared" si="531"/>
        <v>242530.590931373</v>
      </c>
    </row>
    <row r="4709" spans="1:37">
      <c r="A4709" t="s">
        <v>4775</v>
      </c>
      <c r="B4709">
        <v>25</v>
      </c>
      <c r="C4709" t="s">
        <v>50</v>
      </c>
      <c r="D4709" t="s">
        <v>60</v>
      </c>
      <c r="E4709">
        <v>944</v>
      </c>
      <c r="F4709">
        <v>56</v>
      </c>
      <c r="G4709">
        <v>11</v>
      </c>
      <c r="H4709">
        <v>1365.38</v>
      </c>
      <c r="I4709">
        <v>16450.36</v>
      </c>
      <c r="J4709">
        <v>56</v>
      </c>
      <c r="K4709">
        <v>0</v>
      </c>
      <c r="L4709">
        <v>31</v>
      </c>
      <c r="M4709">
        <v>18.9</v>
      </c>
      <c r="N4709" t="s">
        <v>78</v>
      </c>
      <c r="O4709" t="s">
        <v>53</v>
      </c>
      <c r="P4709" t="s">
        <v>48</v>
      </c>
      <c r="R4709">
        <f>SUMIF(A4709:A9708,"C04708",I4709:I9708)</f>
        <v>16450.36</v>
      </c>
      <c r="S4709" s="1">
        <v>4809.18</v>
      </c>
      <c r="T4709">
        <f t="shared" si="535"/>
        <v>293.756428571429</v>
      </c>
      <c r="U4709">
        <f t="shared" si="536"/>
        <v>1058.4</v>
      </c>
      <c r="V4709">
        <f t="shared" si="530"/>
        <v>88.2</v>
      </c>
      <c r="W4709">
        <f t="shared" si="532"/>
        <v>5938.91333333333</v>
      </c>
      <c r="X4709">
        <f t="shared" si="527"/>
        <v>0.691382618758148</v>
      </c>
      <c r="AH4709" t="str">
        <f t="shared" si="533"/>
        <v>3rd Quality</v>
      </c>
      <c r="AJ4709">
        <f>((T4709-X4709)*2)/31</f>
        <v>18.9074223195272</v>
      </c>
      <c r="AK4709">
        <f t="shared" si="531"/>
        <v>277306.068571429</v>
      </c>
    </row>
    <row r="4710" spans="1:37">
      <c r="A4710" t="s">
        <v>4776</v>
      </c>
      <c r="B4710">
        <v>23</v>
      </c>
      <c r="C4710" t="s">
        <v>44</v>
      </c>
      <c r="D4710" t="s">
        <v>60</v>
      </c>
      <c r="E4710">
        <v>1320</v>
      </c>
      <c r="F4710">
        <v>20</v>
      </c>
      <c r="G4710">
        <v>26</v>
      </c>
      <c r="H4710">
        <v>2559.95</v>
      </c>
      <c r="I4710">
        <v>64814.62</v>
      </c>
      <c r="J4710">
        <v>140</v>
      </c>
      <c r="K4710">
        <v>2</v>
      </c>
      <c r="L4710">
        <v>4.1</v>
      </c>
      <c r="M4710">
        <v>34</v>
      </c>
      <c r="N4710" t="s">
        <v>57</v>
      </c>
      <c r="O4710" t="s">
        <v>47</v>
      </c>
      <c r="P4710" t="s">
        <v>58</v>
      </c>
      <c r="R4710">
        <f>SUMIF(A4710:A9709,"C04709",I4710:I9709)</f>
        <v>64814.62</v>
      </c>
      <c r="S4710" s="1">
        <v>11312.52</v>
      </c>
      <c r="T4710">
        <f t="shared" si="535"/>
        <v>462.961571428571</v>
      </c>
      <c r="U4710">
        <f t="shared" si="536"/>
        <v>4760</v>
      </c>
      <c r="V4710">
        <f>U4710*2</f>
        <v>9520</v>
      </c>
      <c r="W4710">
        <f t="shared" si="532"/>
        <v>22458.5233333333</v>
      </c>
      <c r="X4710">
        <f t="shared" ref="X4710:X4773" si="537">E4710/H4710</f>
        <v>0.51563507099748</v>
      </c>
      <c r="AH4710" t="str">
        <f t="shared" si="533"/>
        <v>1st Quality</v>
      </c>
      <c r="AJ4710">
        <f>((T4710-X4710)*2)/4.1</f>
        <v>225.58338358906</v>
      </c>
      <c r="AK4710">
        <f t="shared" si="531"/>
        <v>611109.274285714</v>
      </c>
    </row>
    <row r="4711" spans="1:37">
      <c r="A4711" t="s">
        <v>4777</v>
      </c>
      <c r="B4711">
        <v>35</v>
      </c>
      <c r="C4711" t="s">
        <v>44</v>
      </c>
      <c r="D4711" t="s">
        <v>45</v>
      </c>
      <c r="E4711">
        <v>382</v>
      </c>
      <c r="F4711">
        <v>25</v>
      </c>
      <c r="G4711">
        <v>6</v>
      </c>
      <c r="H4711">
        <v>2443.07</v>
      </c>
      <c r="I4711">
        <v>16236.49</v>
      </c>
      <c r="J4711">
        <v>63</v>
      </c>
      <c r="K4711">
        <v>1</v>
      </c>
      <c r="L4711">
        <v>16.9</v>
      </c>
      <c r="M4711">
        <v>30.9</v>
      </c>
      <c r="N4711" t="s">
        <v>78</v>
      </c>
      <c r="O4711" t="s">
        <v>75</v>
      </c>
      <c r="P4711" t="s">
        <v>58</v>
      </c>
      <c r="R4711">
        <f>SUMIF(A4711:A9710,"C04710",I4711:I9710)</f>
        <v>16236.49</v>
      </c>
      <c r="S4711" s="1">
        <v>40883.27</v>
      </c>
      <c r="T4711">
        <f t="shared" si="535"/>
        <v>257.722063492064</v>
      </c>
      <c r="U4711">
        <f t="shared" si="536"/>
        <v>1946.7</v>
      </c>
      <c r="V4711">
        <f>U4711*1</f>
        <v>1946.7</v>
      </c>
      <c r="W4711">
        <f t="shared" si="532"/>
        <v>6226.85333333333</v>
      </c>
      <c r="X4711">
        <f t="shared" si="537"/>
        <v>0.156360644598804</v>
      </c>
      <c r="AH4711" t="str">
        <f t="shared" si="533"/>
        <v>3rd Quality</v>
      </c>
      <c r="AJ4711">
        <f>((T4711-X4711)*2)/16.9</f>
        <v>30.4811482659722</v>
      </c>
      <c r="AK4711">
        <f t="shared" si="531"/>
        <v>98449.8282539683</v>
      </c>
    </row>
    <row r="4712" spans="1:37">
      <c r="A4712" t="s">
        <v>4778</v>
      </c>
      <c r="B4712">
        <v>18</v>
      </c>
      <c r="C4712" t="s">
        <v>50</v>
      </c>
      <c r="D4712" t="s">
        <v>45</v>
      </c>
      <c r="E4712">
        <v>1008</v>
      </c>
      <c r="F4712">
        <v>101</v>
      </c>
      <c r="G4712">
        <v>3</v>
      </c>
      <c r="H4712">
        <v>1503.42</v>
      </c>
      <c r="I4712">
        <v>4809.18</v>
      </c>
      <c r="J4712">
        <v>12</v>
      </c>
      <c r="K4712">
        <v>0</v>
      </c>
      <c r="L4712">
        <v>27.1</v>
      </c>
      <c r="M4712">
        <v>31</v>
      </c>
      <c r="N4712" t="s">
        <v>61</v>
      </c>
      <c r="O4712" t="s">
        <v>47</v>
      </c>
      <c r="P4712" t="s">
        <v>58</v>
      </c>
      <c r="R4712">
        <f>SUMIF(A4712:A9711,"C04711",I4712:I9711)</f>
        <v>4809.18</v>
      </c>
      <c r="S4712" s="1">
        <v>1645.37</v>
      </c>
      <c r="T4712">
        <f t="shared" si="535"/>
        <v>400.765</v>
      </c>
      <c r="U4712">
        <f t="shared" si="536"/>
        <v>372</v>
      </c>
      <c r="V4712">
        <f t="shared" si="530"/>
        <v>31</v>
      </c>
      <c r="W4712">
        <f t="shared" si="532"/>
        <v>2104.53333333333</v>
      </c>
      <c r="X4712">
        <f t="shared" si="537"/>
        <v>0.670471325378138</v>
      </c>
      <c r="AH4712" t="str">
        <f t="shared" si="533"/>
        <v>3rd Quality</v>
      </c>
      <c r="AJ4712">
        <f>((T4712-X4712)*2)/27.1</f>
        <v>29.527271488902</v>
      </c>
      <c r="AK4712">
        <f t="shared" si="531"/>
        <v>403971.12</v>
      </c>
    </row>
    <row r="4713" spans="1:37">
      <c r="A4713" t="s">
        <v>4779</v>
      </c>
      <c r="B4713">
        <v>42</v>
      </c>
      <c r="C4713" t="s">
        <v>44</v>
      </c>
      <c r="D4713" t="s">
        <v>45</v>
      </c>
      <c r="E4713">
        <v>504</v>
      </c>
      <c r="F4713">
        <v>85</v>
      </c>
      <c r="G4713">
        <v>10</v>
      </c>
      <c r="H4713">
        <v>1044.08</v>
      </c>
      <c r="I4713">
        <v>11312.52</v>
      </c>
      <c r="J4713">
        <v>76</v>
      </c>
      <c r="K4713">
        <v>1</v>
      </c>
      <c r="L4713">
        <v>37.8</v>
      </c>
      <c r="M4713">
        <v>29.3</v>
      </c>
      <c r="N4713" t="s">
        <v>57</v>
      </c>
      <c r="O4713" t="s">
        <v>47</v>
      </c>
      <c r="P4713" t="s">
        <v>66</v>
      </c>
      <c r="R4713">
        <f>SUMIF(A4713:A9712,"C04712",I4713:I9712)</f>
        <v>11312.52</v>
      </c>
      <c r="S4713" s="1">
        <v>38535.05</v>
      </c>
      <c r="T4713">
        <f t="shared" si="535"/>
        <v>148.848947368421</v>
      </c>
      <c r="U4713">
        <f t="shared" si="536"/>
        <v>2226.8</v>
      </c>
      <c r="V4713">
        <f>U4713*1</f>
        <v>2226.8</v>
      </c>
      <c r="W4713">
        <f t="shared" si="532"/>
        <v>4119.2</v>
      </c>
      <c r="X4713">
        <f t="shared" si="537"/>
        <v>0.482721630526396</v>
      </c>
      <c r="AH4713" t="str">
        <f t="shared" si="533"/>
        <v>3rd Quality</v>
      </c>
      <c r="AJ4713">
        <f>((T4713-X4713)*2)/37.8</f>
        <v>7.85006485385686</v>
      </c>
      <c r="AK4713">
        <f t="shared" si="531"/>
        <v>75019.8694736842</v>
      </c>
    </row>
    <row r="4714" spans="1:37">
      <c r="A4714" t="s">
        <v>4780</v>
      </c>
      <c r="B4714">
        <v>32</v>
      </c>
      <c r="C4714" t="s">
        <v>44</v>
      </c>
      <c r="D4714" t="s">
        <v>60</v>
      </c>
      <c r="E4714">
        <v>559</v>
      </c>
      <c r="F4714">
        <v>38</v>
      </c>
      <c r="G4714">
        <v>7</v>
      </c>
      <c r="H4714">
        <v>5339.09</v>
      </c>
      <c r="I4714">
        <v>40883.27</v>
      </c>
      <c r="J4714">
        <v>24</v>
      </c>
      <c r="K4714">
        <v>0</v>
      </c>
      <c r="L4714">
        <v>4</v>
      </c>
      <c r="M4714">
        <v>42.5</v>
      </c>
      <c r="N4714" t="s">
        <v>63</v>
      </c>
      <c r="O4714" t="s">
        <v>75</v>
      </c>
      <c r="P4714" t="s">
        <v>58</v>
      </c>
      <c r="R4714">
        <f>SUMIF(A4714:A9713,"C04713",I4714:I9713)</f>
        <v>40883.27</v>
      </c>
      <c r="S4714" s="1">
        <v>83209.11</v>
      </c>
      <c r="T4714">
        <f t="shared" si="535"/>
        <v>1703.46958333333</v>
      </c>
      <c r="U4714">
        <f t="shared" si="536"/>
        <v>1020</v>
      </c>
      <c r="V4714">
        <f t="shared" si="530"/>
        <v>85</v>
      </c>
      <c r="W4714">
        <f t="shared" si="532"/>
        <v>15407.7866666667</v>
      </c>
      <c r="X4714">
        <f t="shared" si="537"/>
        <v>0.104699489987994</v>
      </c>
      <c r="AH4714" t="str">
        <f t="shared" si="533"/>
        <v>2nd Quality</v>
      </c>
      <c r="AJ4714">
        <f>((T4714-X4714)*2)/4</f>
        <v>851.682441921671</v>
      </c>
      <c r="AK4714">
        <f t="shared" si="531"/>
        <v>952239.497083333</v>
      </c>
    </row>
    <row r="4715" spans="1:37">
      <c r="A4715" t="s">
        <v>4781</v>
      </c>
      <c r="B4715">
        <v>37</v>
      </c>
      <c r="C4715" t="s">
        <v>44</v>
      </c>
      <c r="D4715" t="s">
        <v>51</v>
      </c>
      <c r="E4715">
        <v>475</v>
      </c>
      <c r="F4715">
        <v>83</v>
      </c>
      <c r="G4715">
        <v>2</v>
      </c>
      <c r="H4715">
        <v>855.47</v>
      </c>
      <c r="I4715">
        <v>1645.37</v>
      </c>
      <c r="J4715">
        <v>14</v>
      </c>
      <c r="K4715">
        <v>1</v>
      </c>
      <c r="L4715">
        <v>32</v>
      </c>
      <c r="M4715">
        <v>19.5</v>
      </c>
      <c r="N4715" t="s">
        <v>61</v>
      </c>
      <c r="O4715" t="s">
        <v>75</v>
      </c>
      <c r="P4715" t="s">
        <v>58</v>
      </c>
      <c r="R4715">
        <f>SUMIF(A4715:A9714,"C04714",I4715:I9714)</f>
        <v>1645.37</v>
      </c>
      <c r="S4715" s="1">
        <v>14532.25</v>
      </c>
      <c r="T4715">
        <f t="shared" ref="T4715:T4778" si="538">I4715/J4715</f>
        <v>117.526428571429</v>
      </c>
      <c r="U4715">
        <f t="shared" si="536"/>
        <v>273</v>
      </c>
      <c r="V4715">
        <f>U4715*1</f>
        <v>273</v>
      </c>
      <c r="W4715">
        <f t="shared" si="532"/>
        <v>833.946666666667</v>
      </c>
      <c r="X4715">
        <f t="shared" si="537"/>
        <v>0.555250330227828</v>
      </c>
      <c r="AH4715" t="str">
        <f t="shared" si="533"/>
        <v>3rd Quality</v>
      </c>
      <c r="AJ4715">
        <f>((T4715-X4715)*2)/32</f>
        <v>7.31069864007507</v>
      </c>
      <c r="AK4715">
        <f t="shared" si="531"/>
        <v>55825.0535714286</v>
      </c>
    </row>
    <row r="4716" spans="1:37">
      <c r="A4716" t="s">
        <v>4782</v>
      </c>
      <c r="B4716">
        <v>31</v>
      </c>
      <c r="C4716" t="s">
        <v>44</v>
      </c>
      <c r="D4716" t="s">
        <v>45</v>
      </c>
      <c r="E4716">
        <v>1011</v>
      </c>
      <c r="F4716">
        <v>6</v>
      </c>
      <c r="G4716">
        <v>3</v>
      </c>
      <c r="H4716">
        <v>11948.28</v>
      </c>
      <c r="I4716">
        <v>38535.05</v>
      </c>
      <c r="J4716">
        <v>28</v>
      </c>
      <c r="K4716">
        <v>0</v>
      </c>
      <c r="L4716">
        <v>5.7</v>
      </c>
      <c r="M4716">
        <v>51.5</v>
      </c>
      <c r="N4716" t="s">
        <v>78</v>
      </c>
      <c r="O4716" t="s">
        <v>47</v>
      </c>
      <c r="P4716" t="s">
        <v>68</v>
      </c>
      <c r="R4716">
        <f>SUMIF(A4716:A9715,"C04715",I4716:I9715)</f>
        <v>38535.05</v>
      </c>
      <c r="S4716" s="1">
        <v>32324.11</v>
      </c>
      <c r="T4716">
        <f t="shared" si="538"/>
        <v>1376.25178571429</v>
      </c>
      <c r="U4716">
        <f t="shared" si="536"/>
        <v>1442</v>
      </c>
      <c r="V4716">
        <f t="shared" si="530"/>
        <v>120.166666666667</v>
      </c>
      <c r="W4716">
        <f t="shared" si="532"/>
        <v>16828.11</v>
      </c>
      <c r="X4716">
        <f t="shared" si="537"/>
        <v>0.0846146893109301</v>
      </c>
      <c r="AH4716" t="str">
        <f t="shared" si="533"/>
        <v>1st Quality</v>
      </c>
      <c r="AJ4716">
        <f>((T4716-X4716)*2)/5.7</f>
        <v>482.865674043852</v>
      </c>
      <c r="AK4716">
        <f t="shared" si="531"/>
        <v>1391390.55535714</v>
      </c>
    </row>
    <row r="4717" spans="1:37">
      <c r="A4717" t="s">
        <v>4783</v>
      </c>
      <c r="B4717">
        <v>29</v>
      </c>
      <c r="C4717" t="s">
        <v>50</v>
      </c>
      <c r="D4717" t="s">
        <v>60</v>
      </c>
      <c r="E4717">
        <v>1060</v>
      </c>
      <c r="F4717">
        <v>5</v>
      </c>
      <c r="G4717">
        <v>27</v>
      </c>
      <c r="H4717">
        <v>3368.73</v>
      </c>
      <c r="I4717">
        <v>83209.11</v>
      </c>
      <c r="J4717">
        <v>88</v>
      </c>
      <c r="K4717">
        <v>0</v>
      </c>
      <c r="L4717">
        <v>3.3</v>
      </c>
      <c r="M4717">
        <v>34.8</v>
      </c>
      <c r="N4717" t="s">
        <v>61</v>
      </c>
      <c r="O4717" t="s">
        <v>47</v>
      </c>
      <c r="P4717" t="s">
        <v>48</v>
      </c>
      <c r="R4717">
        <f>SUMIF(A4717:A9716,"C04716",I4717:I9716)</f>
        <v>83209.11</v>
      </c>
      <c r="S4717" s="1">
        <v>62295.81</v>
      </c>
      <c r="T4717">
        <f t="shared" si="538"/>
        <v>945.558068181818</v>
      </c>
      <c r="U4717">
        <f t="shared" si="536"/>
        <v>3062.4</v>
      </c>
      <c r="V4717">
        <f t="shared" si="530"/>
        <v>255.2</v>
      </c>
      <c r="W4717">
        <f t="shared" si="532"/>
        <v>28859.6133333333</v>
      </c>
      <c r="X4717">
        <f t="shared" si="537"/>
        <v>0.314658639902871</v>
      </c>
      <c r="AH4717" t="str">
        <f t="shared" si="533"/>
        <v>1st Quality</v>
      </c>
      <c r="AJ4717">
        <f>((T4717-X4717)*2)/3.3</f>
        <v>572.874793661767</v>
      </c>
      <c r="AK4717">
        <f t="shared" si="531"/>
        <v>1002291.55227273</v>
      </c>
    </row>
    <row r="4718" spans="1:37">
      <c r="A4718" t="s">
        <v>4784</v>
      </c>
      <c r="B4718">
        <v>18</v>
      </c>
      <c r="C4718" t="s">
        <v>50</v>
      </c>
      <c r="D4718" t="s">
        <v>45</v>
      </c>
      <c r="E4718">
        <v>671</v>
      </c>
      <c r="F4718">
        <v>29</v>
      </c>
      <c r="G4718">
        <v>13</v>
      </c>
      <c r="H4718">
        <v>1003.03</v>
      </c>
      <c r="I4718">
        <v>14532.25</v>
      </c>
      <c r="J4718">
        <v>28</v>
      </c>
      <c r="K4718">
        <v>1</v>
      </c>
      <c r="L4718">
        <v>35.7</v>
      </c>
      <c r="M4718">
        <v>50.1</v>
      </c>
      <c r="N4718" t="s">
        <v>57</v>
      </c>
      <c r="O4718" t="s">
        <v>47</v>
      </c>
      <c r="P4718" t="s">
        <v>58</v>
      </c>
      <c r="R4718">
        <f>SUMIF(A4718:A9717,"C04717",I4718:I9717)</f>
        <v>14532.25</v>
      </c>
      <c r="S4718" s="1">
        <v>103184.67</v>
      </c>
      <c r="T4718">
        <f t="shared" si="538"/>
        <v>519.008928571429</v>
      </c>
      <c r="U4718">
        <f t="shared" si="536"/>
        <v>1402.8</v>
      </c>
      <c r="V4718">
        <f>U4718*1</f>
        <v>1402.8</v>
      </c>
      <c r="W4718">
        <f t="shared" si="532"/>
        <v>5178.76</v>
      </c>
      <c r="X4718">
        <f t="shared" si="537"/>
        <v>0.668973011774324</v>
      </c>
      <c r="AH4718" t="str">
        <f t="shared" si="533"/>
        <v>3rd Quality</v>
      </c>
      <c r="AJ4718">
        <f>((T4718-X4718)*2)/35.7</f>
        <v>29.0386529725297</v>
      </c>
      <c r="AK4718">
        <f t="shared" si="531"/>
        <v>348254.991071429</v>
      </c>
    </row>
    <row r="4719" spans="1:37">
      <c r="A4719" t="s">
        <v>4785</v>
      </c>
      <c r="B4719">
        <v>63</v>
      </c>
      <c r="C4719" t="s">
        <v>50</v>
      </c>
      <c r="D4719" t="s">
        <v>60</v>
      </c>
      <c r="E4719">
        <v>1099</v>
      </c>
      <c r="F4719">
        <v>50</v>
      </c>
      <c r="G4719">
        <v>3</v>
      </c>
      <c r="H4719">
        <v>10533.83</v>
      </c>
      <c r="I4719">
        <v>32324.11</v>
      </c>
      <c r="J4719">
        <v>25</v>
      </c>
      <c r="K4719">
        <v>0</v>
      </c>
      <c r="L4719">
        <v>7.3</v>
      </c>
      <c r="M4719">
        <v>7.7</v>
      </c>
      <c r="N4719" t="s">
        <v>46</v>
      </c>
      <c r="O4719" t="s">
        <v>47</v>
      </c>
      <c r="P4719" t="s">
        <v>58</v>
      </c>
      <c r="R4719">
        <f>SUMIF(A4719:A9718,"C04718",I4719:I9718)</f>
        <v>32324.11</v>
      </c>
      <c r="S4719" s="1">
        <v>9326.64</v>
      </c>
      <c r="T4719">
        <f t="shared" si="538"/>
        <v>1292.9644</v>
      </c>
      <c r="U4719">
        <f t="shared" si="536"/>
        <v>192.5</v>
      </c>
      <c r="V4719">
        <f t="shared" si="530"/>
        <v>16.0416666666667</v>
      </c>
      <c r="W4719">
        <f t="shared" si="532"/>
        <v>14286.3133333333</v>
      </c>
      <c r="X4719">
        <f t="shared" si="537"/>
        <v>0.104330523655688</v>
      </c>
      <c r="AH4719" t="str">
        <f t="shared" si="533"/>
        <v>3rd Quality</v>
      </c>
      <c r="AJ4719">
        <f>((T4719-X4719)*2)/7.3</f>
        <v>354.208238212697</v>
      </c>
      <c r="AK4719">
        <f t="shared" si="531"/>
        <v>1420967.8756</v>
      </c>
    </row>
    <row r="4720" spans="1:37">
      <c r="A4720" t="s">
        <v>4786</v>
      </c>
      <c r="B4720">
        <v>41</v>
      </c>
      <c r="C4720" t="s">
        <v>44</v>
      </c>
      <c r="D4720" t="s">
        <v>60</v>
      </c>
      <c r="E4720">
        <v>806</v>
      </c>
      <c r="F4720">
        <v>22</v>
      </c>
      <c r="G4720">
        <v>10</v>
      </c>
      <c r="H4720">
        <v>5952.24</v>
      </c>
      <c r="I4720">
        <v>62295.81</v>
      </c>
      <c r="J4720">
        <v>70</v>
      </c>
      <c r="K4720">
        <v>0</v>
      </c>
      <c r="L4720">
        <v>3.9</v>
      </c>
      <c r="M4720">
        <v>39.7</v>
      </c>
      <c r="N4720" t="s">
        <v>46</v>
      </c>
      <c r="O4720" t="s">
        <v>47</v>
      </c>
      <c r="P4720" t="s">
        <v>48</v>
      </c>
      <c r="R4720">
        <f>SUMIF(A4720:A9719,"C04719",I4720:I9719)</f>
        <v>62295.81</v>
      </c>
      <c r="S4720" s="1">
        <v>34736.21</v>
      </c>
      <c r="T4720">
        <f t="shared" si="538"/>
        <v>889.940142857143</v>
      </c>
      <c r="U4720">
        <f t="shared" si="536"/>
        <v>2779</v>
      </c>
      <c r="V4720">
        <f t="shared" si="530"/>
        <v>231.583333333333</v>
      </c>
      <c r="W4720">
        <f t="shared" si="532"/>
        <v>22749.6833333333</v>
      </c>
      <c r="X4720">
        <f t="shared" si="537"/>
        <v>0.135411206537371</v>
      </c>
      <c r="AH4720" t="str">
        <f t="shared" si="533"/>
        <v>2nd Quality</v>
      </c>
      <c r="AJ4720">
        <f>((T4720-X4720)*2)/3.9</f>
        <v>456.310118795182</v>
      </c>
      <c r="AK4720">
        <f t="shared" si="531"/>
        <v>717291.755142857</v>
      </c>
    </row>
    <row r="4721" spans="1:37">
      <c r="A4721" t="s">
        <v>4787</v>
      </c>
      <c r="B4721">
        <v>32</v>
      </c>
      <c r="C4721" t="s">
        <v>44</v>
      </c>
      <c r="D4721" t="s">
        <v>45</v>
      </c>
      <c r="E4721">
        <v>1192</v>
      </c>
      <c r="F4721">
        <v>3</v>
      </c>
      <c r="G4721">
        <v>25</v>
      </c>
      <c r="H4721">
        <v>4328.5</v>
      </c>
      <c r="I4721">
        <v>103184.67</v>
      </c>
      <c r="J4721">
        <v>110</v>
      </c>
      <c r="K4721">
        <v>1</v>
      </c>
      <c r="L4721">
        <v>15</v>
      </c>
      <c r="M4721">
        <v>28.5</v>
      </c>
      <c r="N4721" t="s">
        <v>63</v>
      </c>
      <c r="O4721" t="s">
        <v>47</v>
      </c>
      <c r="P4721" t="s">
        <v>48</v>
      </c>
      <c r="R4721">
        <f>SUMIF(A4721:A9720,"C04720",I4721:I9720)</f>
        <v>103184.67</v>
      </c>
      <c r="S4721" s="1">
        <v>15027.43</v>
      </c>
      <c r="T4721">
        <f t="shared" si="538"/>
        <v>938.042454545455</v>
      </c>
      <c r="U4721">
        <f t="shared" si="536"/>
        <v>3135</v>
      </c>
      <c r="V4721">
        <f>U4721*1</f>
        <v>3135</v>
      </c>
      <c r="W4721">
        <f t="shared" si="532"/>
        <v>35838.0566666667</v>
      </c>
      <c r="X4721">
        <f t="shared" si="537"/>
        <v>0.275384082245582</v>
      </c>
      <c r="AH4721" t="str">
        <f t="shared" si="533"/>
        <v>1st Quality</v>
      </c>
      <c r="AJ4721">
        <f>((T4721-X4721)*2)/15</f>
        <v>125.035609395095</v>
      </c>
      <c r="AK4721">
        <f t="shared" si="531"/>
        <v>1118146.60581818</v>
      </c>
    </row>
    <row r="4722" spans="1:37">
      <c r="A4722" t="s">
        <v>4788</v>
      </c>
      <c r="B4722">
        <v>39</v>
      </c>
      <c r="C4722" t="s">
        <v>50</v>
      </c>
      <c r="D4722" t="s">
        <v>60</v>
      </c>
      <c r="E4722">
        <v>941</v>
      </c>
      <c r="F4722">
        <v>28</v>
      </c>
      <c r="G4722">
        <v>9</v>
      </c>
      <c r="H4722">
        <v>1167.46</v>
      </c>
      <c r="I4722">
        <v>9326.64</v>
      </c>
      <c r="J4722">
        <v>65</v>
      </c>
      <c r="K4722">
        <v>0</v>
      </c>
      <c r="L4722">
        <v>30.7</v>
      </c>
      <c r="M4722">
        <v>23.6</v>
      </c>
      <c r="N4722" t="s">
        <v>46</v>
      </c>
      <c r="O4722" t="s">
        <v>47</v>
      </c>
      <c r="P4722" t="s">
        <v>68</v>
      </c>
      <c r="R4722">
        <f>SUMIF(A4722:A9721,"C04721",I4722:I9721)</f>
        <v>9326.64</v>
      </c>
      <c r="S4722" s="1">
        <v>24129.38</v>
      </c>
      <c r="T4722">
        <f t="shared" si="538"/>
        <v>143.486769230769</v>
      </c>
      <c r="U4722">
        <f t="shared" si="536"/>
        <v>1534</v>
      </c>
      <c r="V4722">
        <f t="shared" si="530"/>
        <v>127.833333333333</v>
      </c>
      <c r="W4722">
        <f t="shared" si="532"/>
        <v>3498.36666666667</v>
      </c>
      <c r="X4722">
        <f t="shared" si="537"/>
        <v>0.806023332705189</v>
      </c>
      <c r="AH4722" t="str">
        <f t="shared" si="533"/>
        <v>3rd Quality</v>
      </c>
      <c r="AJ4722">
        <f>((T4722-X4722)*2)/30.7</f>
        <v>9.2951625992224</v>
      </c>
      <c r="AK4722">
        <f t="shared" si="531"/>
        <v>135021.049846154</v>
      </c>
    </row>
    <row r="4723" spans="1:37">
      <c r="A4723" t="s">
        <v>4789</v>
      </c>
      <c r="B4723">
        <v>31</v>
      </c>
      <c r="C4723" t="s">
        <v>50</v>
      </c>
      <c r="D4723" t="s">
        <v>51</v>
      </c>
      <c r="E4723">
        <v>1431</v>
      </c>
      <c r="F4723">
        <v>24</v>
      </c>
      <c r="G4723">
        <v>6</v>
      </c>
      <c r="H4723">
        <v>6298.66</v>
      </c>
      <c r="I4723">
        <v>34736.21</v>
      </c>
      <c r="J4723">
        <v>38</v>
      </c>
      <c r="K4723">
        <v>0</v>
      </c>
      <c r="L4723">
        <v>1.9</v>
      </c>
      <c r="M4723">
        <v>17.5</v>
      </c>
      <c r="N4723" t="s">
        <v>78</v>
      </c>
      <c r="O4723" t="s">
        <v>53</v>
      </c>
      <c r="P4723" t="s">
        <v>58</v>
      </c>
      <c r="R4723">
        <f>SUMIF(A4723:A9722,"C04722",I4723:I9722)</f>
        <v>34736.21</v>
      </c>
      <c r="S4723" s="1">
        <v>73355.91</v>
      </c>
      <c r="T4723">
        <f t="shared" si="538"/>
        <v>914.110789473684</v>
      </c>
      <c r="U4723">
        <f t="shared" si="536"/>
        <v>665</v>
      </c>
      <c r="V4723">
        <f t="shared" si="530"/>
        <v>55.4166666666667</v>
      </c>
      <c r="W4723">
        <f t="shared" si="532"/>
        <v>13678.6233333333</v>
      </c>
      <c r="X4723">
        <f t="shared" si="537"/>
        <v>0.227191180346296</v>
      </c>
      <c r="AH4723" t="str">
        <f t="shared" si="533"/>
        <v>1st Quality</v>
      </c>
      <c r="AJ4723">
        <f>((T4723-X4723)*2)/1.9</f>
        <v>961.982735045619</v>
      </c>
      <c r="AK4723">
        <f t="shared" si="531"/>
        <v>1308092.53973684</v>
      </c>
    </row>
    <row r="4724" spans="1:37">
      <c r="A4724" t="s">
        <v>4790</v>
      </c>
      <c r="B4724">
        <v>21</v>
      </c>
      <c r="C4724" t="s">
        <v>50</v>
      </c>
      <c r="D4724" t="s">
        <v>51</v>
      </c>
      <c r="E4724">
        <v>1097</v>
      </c>
      <c r="F4724">
        <v>19</v>
      </c>
      <c r="G4724">
        <v>14</v>
      </c>
      <c r="H4724">
        <v>1174.26</v>
      </c>
      <c r="I4724">
        <v>15027.43</v>
      </c>
      <c r="J4724">
        <v>93</v>
      </c>
      <c r="K4724">
        <v>1</v>
      </c>
      <c r="L4724">
        <v>28.3</v>
      </c>
      <c r="M4724">
        <v>16.7</v>
      </c>
      <c r="N4724" t="s">
        <v>78</v>
      </c>
      <c r="O4724" t="s">
        <v>75</v>
      </c>
      <c r="P4724" t="s">
        <v>58</v>
      </c>
      <c r="R4724">
        <f>SUMIF(A4724:A9723,"C04723",I4724:I9723)</f>
        <v>15027.43</v>
      </c>
      <c r="S4724" s="1">
        <v>20941.82</v>
      </c>
      <c r="T4724">
        <f t="shared" si="538"/>
        <v>161.585268817204</v>
      </c>
      <c r="U4724">
        <f t="shared" si="536"/>
        <v>1553.1</v>
      </c>
      <c r="V4724">
        <f>U4724*1</f>
        <v>1553.1</v>
      </c>
      <c r="W4724">
        <f t="shared" si="532"/>
        <v>5400.89666666667</v>
      </c>
      <c r="X4724">
        <f t="shared" si="537"/>
        <v>0.934205371893788</v>
      </c>
      <c r="AH4724" t="str">
        <f t="shared" si="533"/>
        <v>3rd Quality</v>
      </c>
      <c r="AJ4724">
        <f>((T4724-X4724)*2)/28.3</f>
        <v>11.353432045605</v>
      </c>
      <c r="AK4724">
        <f t="shared" si="531"/>
        <v>177259.039892473</v>
      </c>
    </row>
    <row r="4725" spans="1:37">
      <c r="A4725" t="s">
        <v>4791</v>
      </c>
      <c r="B4725">
        <v>22</v>
      </c>
      <c r="C4725" t="s">
        <v>50</v>
      </c>
      <c r="D4725" t="s">
        <v>45</v>
      </c>
      <c r="E4725">
        <v>1439</v>
      </c>
      <c r="F4725">
        <v>22</v>
      </c>
      <c r="G4725">
        <v>3</v>
      </c>
      <c r="H4725">
        <v>8155.81</v>
      </c>
      <c r="I4725">
        <v>24129.38</v>
      </c>
      <c r="J4725">
        <v>13</v>
      </c>
      <c r="K4725">
        <v>0</v>
      </c>
      <c r="L4725">
        <v>4.4</v>
      </c>
      <c r="M4725">
        <v>12.3</v>
      </c>
      <c r="N4725" t="s">
        <v>63</v>
      </c>
      <c r="O4725" t="s">
        <v>47</v>
      </c>
      <c r="P4725" t="s">
        <v>68</v>
      </c>
      <c r="R4725">
        <f>SUMIF(A4725:A9724,"C04724",I4725:I9724)</f>
        <v>24129.38</v>
      </c>
      <c r="S4725" s="1">
        <v>2808.87</v>
      </c>
      <c r="T4725">
        <f t="shared" si="538"/>
        <v>1856.10615384615</v>
      </c>
      <c r="U4725">
        <f t="shared" si="536"/>
        <v>159.9</v>
      </c>
      <c r="V4725">
        <f t="shared" si="530"/>
        <v>13.325</v>
      </c>
      <c r="W4725">
        <f t="shared" si="532"/>
        <v>10762.0633333333</v>
      </c>
      <c r="X4725">
        <f t="shared" si="537"/>
        <v>0.176438636996203</v>
      </c>
      <c r="AH4725" t="str">
        <f t="shared" si="533"/>
        <v>2nd Quality</v>
      </c>
      <c r="AJ4725">
        <f>((T4725-X4725)*2)/4.4</f>
        <v>843.604416004161</v>
      </c>
      <c r="AK4725">
        <f t="shared" si="531"/>
        <v>2670936.75538462</v>
      </c>
    </row>
    <row r="4726" spans="1:37">
      <c r="A4726" t="s">
        <v>4792</v>
      </c>
      <c r="B4726">
        <v>51</v>
      </c>
      <c r="C4726" t="s">
        <v>50</v>
      </c>
      <c r="D4726" t="s">
        <v>51</v>
      </c>
      <c r="E4726">
        <v>1363</v>
      </c>
      <c r="F4726">
        <v>11</v>
      </c>
      <c r="G4726">
        <v>21</v>
      </c>
      <c r="H4726">
        <v>3676.18</v>
      </c>
      <c r="I4726">
        <v>73355.91</v>
      </c>
      <c r="J4726">
        <v>68</v>
      </c>
      <c r="K4726">
        <v>0</v>
      </c>
      <c r="L4726">
        <v>2.1</v>
      </c>
      <c r="M4726">
        <v>32.2</v>
      </c>
      <c r="N4726" t="s">
        <v>46</v>
      </c>
      <c r="O4726" t="s">
        <v>47</v>
      </c>
      <c r="P4726" t="s">
        <v>58</v>
      </c>
      <c r="R4726">
        <f>SUMIF(A4726:A9725,"C04725",I4726:I9725)</f>
        <v>73355.91</v>
      </c>
      <c r="S4726" s="1">
        <v>17377.79</v>
      </c>
      <c r="T4726">
        <f t="shared" si="538"/>
        <v>1078.76338235294</v>
      </c>
      <c r="U4726">
        <f t="shared" si="536"/>
        <v>2189.6</v>
      </c>
      <c r="V4726">
        <f t="shared" ref="V4726:V4789" si="539">U4726/12</f>
        <v>182.466666666667</v>
      </c>
      <c r="W4726">
        <f t="shared" si="532"/>
        <v>25677.6966666667</v>
      </c>
      <c r="X4726">
        <f t="shared" si="537"/>
        <v>0.37076530528973</v>
      </c>
      <c r="AH4726" t="str">
        <f t="shared" si="533"/>
        <v>3rd Quality</v>
      </c>
      <c r="AJ4726">
        <f>((T4726-X4726)*2)/2.1</f>
        <v>1027.04058766443</v>
      </c>
      <c r="AK4726">
        <f t="shared" si="531"/>
        <v>1470354.49014706</v>
      </c>
    </row>
    <row r="4727" spans="1:37">
      <c r="A4727" t="s">
        <v>4793</v>
      </c>
      <c r="B4727">
        <v>31</v>
      </c>
      <c r="C4727" t="s">
        <v>50</v>
      </c>
      <c r="D4727" t="s">
        <v>60</v>
      </c>
      <c r="E4727">
        <v>596</v>
      </c>
      <c r="F4727">
        <v>7</v>
      </c>
      <c r="G4727">
        <v>9</v>
      </c>
      <c r="H4727">
        <v>2102.62</v>
      </c>
      <c r="I4727">
        <v>20941.82</v>
      </c>
      <c r="J4727">
        <v>58</v>
      </c>
      <c r="K4727">
        <v>0</v>
      </c>
      <c r="L4727">
        <v>17</v>
      </c>
      <c r="M4727">
        <v>13.5</v>
      </c>
      <c r="N4727" t="s">
        <v>52</v>
      </c>
      <c r="O4727" t="s">
        <v>47</v>
      </c>
      <c r="P4727" t="s">
        <v>68</v>
      </c>
      <c r="R4727">
        <f>SUMIF(A4727:A9726,"C04726",I4727:I9726)</f>
        <v>20941.82</v>
      </c>
      <c r="S4727" s="1">
        <v>38383.95</v>
      </c>
      <c r="T4727">
        <f t="shared" si="538"/>
        <v>361.065862068965</v>
      </c>
      <c r="U4727">
        <f t="shared" si="536"/>
        <v>783</v>
      </c>
      <c r="V4727">
        <f t="shared" si="539"/>
        <v>65.25</v>
      </c>
      <c r="W4727">
        <f t="shared" si="532"/>
        <v>7681.81333333333</v>
      </c>
      <c r="X4727">
        <f t="shared" si="537"/>
        <v>0.283455878855904</v>
      </c>
      <c r="AH4727" t="str">
        <f t="shared" si="533"/>
        <v>2nd Quality</v>
      </c>
      <c r="AJ4727">
        <f>((T4727-X4727)*2)/17</f>
        <v>42.4449889635422</v>
      </c>
      <c r="AK4727">
        <f t="shared" si="531"/>
        <v>215195.253793103</v>
      </c>
    </row>
    <row r="4728" spans="1:37">
      <c r="A4728" t="s">
        <v>4794</v>
      </c>
      <c r="B4728">
        <v>43</v>
      </c>
      <c r="C4728" t="s">
        <v>44</v>
      </c>
      <c r="D4728" t="s">
        <v>60</v>
      </c>
      <c r="E4728">
        <v>747</v>
      </c>
      <c r="F4728">
        <v>78</v>
      </c>
      <c r="G4728">
        <v>2</v>
      </c>
      <c r="H4728">
        <v>1298.04</v>
      </c>
      <c r="I4728">
        <v>2808.87</v>
      </c>
      <c r="J4728">
        <v>18</v>
      </c>
      <c r="K4728">
        <v>0</v>
      </c>
      <c r="L4728">
        <v>20.8</v>
      </c>
      <c r="M4728">
        <v>34.5</v>
      </c>
      <c r="N4728" t="s">
        <v>78</v>
      </c>
      <c r="O4728" t="s">
        <v>47</v>
      </c>
      <c r="P4728" t="s">
        <v>58</v>
      </c>
      <c r="R4728">
        <f>SUMIF(A4728:A9727,"C04727",I4728:I9727)</f>
        <v>2808.87</v>
      </c>
      <c r="S4728" s="1">
        <v>14428.16</v>
      </c>
      <c r="T4728">
        <f t="shared" si="538"/>
        <v>156.048333333333</v>
      </c>
      <c r="U4728">
        <f t="shared" si="536"/>
        <v>621</v>
      </c>
      <c r="V4728">
        <f t="shared" si="539"/>
        <v>51.75</v>
      </c>
      <c r="W4728">
        <f t="shared" si="532"/>
        <v>1369.30333333333</v>
      </c>
      <c r="X4728">
        <f t="shared" si="537"/>
        <v>0.575483035961912</v>
      </c>
      <c r="AH4728" t="str">
        <f t="shared" si="533"/>
        <v>3rd Quality</v>
      </c>
      <c r="AJ4728">
        <f>((T4728-X4728)*2)/20.8</f>
        <v>14.9493125285934</v>
      </c>
      <c r="AK4728">
        <f t="shared" si="531"/>
        <v>116568.105</v>
      </c>
    </row>
    <row r="4729" spans="1:37">
      <c r="A4729" t="s">
        <v>4795</v>
      </c>
      <c r="B4729">
        <v>42</v>
      </c>
      <c r="C4729" t="s">
        <v>50</v>
      </c>
      <c r="D4729" t="s">
        <v>45</v>
      </c>
      <c r="E4729">
        <v>753</v>
      </c>
      <c r="F4729">
        <v>143</v>
      </c>
      <c r="G4729">
        <v>12</v>
      </c>
      <c r="H4729">
        <v>1434.43</v>
      </c>
      <c r="I4729">
        <v>17377.79</v>
      </c>
      <c r="J4729">
        <v>109</v>
      </c>
      <c r="K4729">
        <v>1</v>
      </c>
      <c r="L4729">
        <v>22.6</v>
      </c>
      <c r="M4729">
        <v>6.1</v>
      </c>
      <c r="N4729" t="s">
        <v>61</v>
      </c>
      <c r="O4729" t="s">
        <v>47</v>
      </c>
      <c r="P4729" t="s">
        <v>66</v>
      </c>
      <c r="R4729">
        <f>SUMIF(A4729:A9728,"C04728",I4729:I9728)</f>
        <v>17377.79</v>
      </c>
      <c r="S4729" s="1">
        <v>7590.38</v>
      </c>
      <c r="T4729">
        <f t="shared" si="538"/>
        <v>159.429266055046</v>
      </c>
      <c r="U4729">
        <f t="shared" si="536"/>
        <v>664.9</v>
      </c>
      <c r="V4729">
        <f>U4729*1</f>
        <v>664.9</v>
      </c>
      <c r="W4729">
        <f t="shared" si="532"/>
        <v>6271.07333333333</v>
      </c>
      <c r="X4729">
        <f t="shared" si="537"/>
        <v>0.524947191567382</v>
      </c>
      <c r="AH4729" t="str">
        <f t="shared" si="533"/>
        <v>3rd Quality</v>
      </c>
      <c r="AJ4729">
        <f>((T4729-X4729)*2)/22.6</f>
        <v>14.0623291029627</v>
      </c>
      <c r="AK4729">
        <f t="shared" si="531"/>
        <v>120050.23733945</v>
      </c>
    </row>
    <row r="4730" spans="1:37">
      <c r="A4730" t="s">
        <v>4796</v>
      </c>
      <c r="B4730">
        <v>31</v>
      </c>
      <c r="C4730" t="s">
        <v>50</v>
      </c>
      <c r="D4730" t="s">
        <v>60</v>
      </c>
      <c r="E4730">
        <v>1036</v>
      </c>
      <c r="F4730">
        <v>37</v>
      </c>
      <c r="G4730">
        <v>4</v>
      </c>
      <c r="H4730">
        <v>8847.72</v>
      </c>
      <c r="I4730">
        <v>38383.95</v>
      </c>
      <c r="J4730">
        <v>17</v>
      </c>
      <c r="K4730">
        <v>0</v>
      </c>
      <c r="L4730">
        <v>6.6</v>
      </c>
      <c r="M4730">
        <v>45.3</v>
      </c>
      <c r="N4730" t="s">
        <v>81</v>
      </c>
      <c r="O4730" t="s">
        <v>47</v>
      </c>
      <c r="P4730" t="s">
        <v>54</v>
      </c>
      <c r="R4730">
        <f>SUMIF(A4730:A9729,"C04729",I4730:I9729)</f>
        <v>38383.95</v>
      </c>
      <c r="S4730" s="1">
        <v>1786.92</v>
      </c>
      <c r="T4730">
        <f t="shared" si="538"/>
        <v>2257.87941176471</v>
      </c>
      <c r="U4730">
        <f t="shared" si="536"/>
        <v>770.1</v>
      </c>
      <c r="V4730">
        <f t="shared" si="539"/>
        <v>64.175</v>
      </c>
      <c r="W4730">
        <f t="shared" si="532"/>
        <v>15744.2233333333</v>
      </c>
      <c r="X4730">
        <f t="shared" si="537"/>
        <v>0.117092313047881</v>
      </c>
      <c r="AH4730" t="str">
        <f t="shared" si="533"/>
        <v>1st Quality</v>
      </c>
      <c r="AJ4730">
        <f>((T4730-X4730)*2)/6.6</f>
        <v>684.170399833837</v>
      </c>
      <c r="AK4730">
        <f t="shared" si="531"/>
        <v>2339163.07058824</v>
      </c>
    </row>
    <row r="4731" spans="1:37">
      <c r="A4731" t="s">
        <v>4797</v>
      </c>
      <c r="B4731">
        <v>32</v>
      </c>
      <c r="C4731" t="s">
        <v>44</v>
      </c>
      <c r="D4731" t="s">
        <v>60</v>
      </c>
      <c r="E4731">
        <v>982</v>
      </c>
      <c r="F4731">
        <v>61</v>
      </c>
      <c r="G4731">
        <v>13</v>
      </c>
      <c r="H4731">
        <v>1087.65</v>
      </c>
      <c r="I4731">
        <v>14428.16</v>
      </c>
      <c r="J4731">
        <v>48</v>
      </c>
      <c r="K4731">
        <v>0</v>
      </c>
      <c r="L4731">
        <v>30</v>
      </c>
      <c r="M4731">
        <v>6.9</v>
      </c>
      <c r="N4731" t="s">
        <v>46</v>
      </c>
      <c r="O4731" t="s">
        <v>53</v>
      </c>
      <c r="P4731" t="s">
        <v>58</v>
      </c>
      <c r="R4731">
        <f>SUMIF(A4731:A9730,"C04730",I4731:I9730)</f>
        <v>14428.16</v>
      </c>
      <c r="S4731" s="1">
        <v>9289.22</v>
      </c>
      <c r="T4731">
        <f t="shared" si="538"/>
        <v>300.586666666667</v>
      </c>
      <c r="U4731">
        <f t="shared" si="536"/>
        <v>331.2</v>
      </c>
      <c r="V4731">
        <f t="shared" si="539"/>
        <v>27.6</v>
      </c>
      <c r="W4731">
        <f t="shared" si="532"/>
        <v>5172.27</v>
      </c>
      <c r="X4731">
        <f t="shared" si="537"/>
        <v>0.902863972785363</v>
      </c>
      <c r="AH4731" t="str">
        <f t="shared" si="533"/>
        <v>3rd Quality</v>
      </c>
      <c r="AJ4731">
        <f>((T4731-X4731)*2)/30</f>
        <v>19.9789201795921</v>
      </c>
      <c r="AK4731">
        <f t="shared" si="531"/>
        <v>295176.106666667</v>
      </c>
    </row>
    <row r="4732" spans="1:37">
      <c r="A4732" t="s">
        <v>4798</v>
      </c>
      <c r="B4732">
        <v>26</v>
      </c>
      <c r="C4732" t="s">
        <v>44</v>
      </c>
      <c r="D4732" t="s">
        <v>60</v>
      </c>
      <c r="E4732">
        <v>884</v>
      </c>
      <c r="F4732">
        <v>84</v>
      </c>
      <c r="G4732">
        <v>10</v>
      </c>
      <c r="H4732">
        <v>689.53</v>
      </c>
      <c r="I4732">
        <v>7590.38</v>
      </c>
      <c r="J4732">
        <v>30</v>
      </c>
      <c r="K4732">
        <v>1</v>
      </c>
      <c r="L4732">
        <v>28.1</v>
      </c>
      <c r="M4732">
        <v>25.1</v>
      </c>
      <c r="N4732" t="s">
        <v>46</v>
      </c>
      <c r="O4732" t="s">
        <v>75</v>
      </c>
      <c r="P4732" t="s">
        <v>58</v>
      </c>
      <c r="R4732">
        <f>SUMIF(A4732:A9731,"C04731",I4732:I9731)</f>
        <v>7590.38</v>
      </c>
      <c r="S4732" s="1">
        <v>16231.88</v>
      </c>
      <c r="T4732">
        <f t="shared" si="538"/>
        <v>253.012666666667</v>
      </c>
      <c r="U4732">
        <f t="shared" si="536"/>
        <v>753</v>
      </c>
      <c r="V4732">
        <f>U4732*1</f>
        <v>753</v>
      </c>
      <c r="W4732">
        <f t="shared" si="532"/>
        <v>2760.30333333333</v>
      </c>
      <c r="X4732">
        <f t="shared" si="537"/>
        <v>1.28203268893304</v>
      </c>
      <c r="AH4732" t="str">
        <f t="shared" si="533"/>
        <v>3rd Quality</v>
      </c>
      <c r="AJ4732">
        <f>((T4732-X4732)*2)/28.1</f>
        <v>17.9167711016181</v>
      </c>
      <c r="AK4732">
        <f t="shared" si="531"/>
        <v>223663.197333333</v>
      </c>
    </row>
    <row r="4733" spans="1:37">
      <c r="A4733" t="s">
        <v>4799</v>
      </c>
      <c r="B4733">
        <v>34</v>
      </c>
      <c r="C4733" t="s">
        <v>50</v>
      </c>
      <c r="D4733" t="s">
        <v>45</v>
      </c>
      <c r="E4733">
        <v>418</v>
      </c>
      <c r="F4733">
        <v>365</v>
      </c>
      <c r="G4733">
        <v>1</v>
      </c>
      <c r="H4733">
        <v>1687.63</v>
      </c>
      <c r="I4733">
        <v>1786.92</v>
      </c>
      <c r="J4733">
        <v>11</v>
      </c>
      <c r="K4733">
        <v>0</v>
      </c>
      <c r="L4733">
        <v>14.2</v>
      </c>
      <c r="M4733">
        <v>50.4</v>
      </c>
      <c r="N4733" t="s">
        <v>63</v>
      </c>
      <c r="O4733" t="s">
        <v>75</v>
      </c>
      <c r="P4733" t="s">
        <v>66</v>
      </c>
      <c r="R4733">
        <f>SUMIF(A4733:A9732,"C04732",I4733:I9732)</f>
        <v>1786.92</v>
      </c>
      <c r="S4733" s="1">
        <v>1686.48</v>
      </c>
      <c r="T4733">
        <f t="shared" si="538"/>
        <v>162.447272727273</v>
      </c>
      <c r="U4733">
        <f t="shared" si="536"/>
        <v>554.4</v>
      </c>
      <c r="V4733">
        <f t="shared" si="539"/>
        <v>46.2</v>
      </c>
      <c r="W4733">
        <f t="shared" si="532"/>
        <v>1158.51666666667</v>
      </c>
      <c r="X4733">
        <f t="shared" si="537"/>
        <v>0.247684622814242</v>
      </c>
      <c r="AH4733" t="str">
        <f t="shared" si="533"/>
        <v>3rd Quality</v>
      </c>
      <c r="AJ4733">
        <f>((T4733-X4733)*2)/14.2</f>
        <v>22.8450124090787</v>
      </c>
      <c r="AK4733">
        <f t="shared" si="531"/>
        <v>67902.96</v>
      </c>
    </row>
    <row r="4734" spans="1:37">
      <c r="A4734" t="s">
        <v>4800</v>
      </c>
      <c r="B4734">
        <v>43</v>
      </c>
      <c r="C4734" t="s">
        <v>50</v>
      </c>
      <c r="D4734" t="s">
        <v>60</v>
      </c>
      <c r="E4734">
        <v>858</v>
      </c>
      <c r="F4734">
        <v>22</v>
      </c>
      <c r="G4734">
        <v>9</v>
      </c>
      <c r="H4734">
        <v>976.99</v>
      </c>
      <c r="I4734">
        <v>9289.22</v>
      </c>
      <c r="J4734">
        <v>23</v>
      </c>
      <c r="K4734">
        <v>0</v>
      </c>
      <c r="L4734">
        <v>20.6</v>
      </c>
      <c r="M4734">
        <v>27.3</v>
      </c>
      <c r="N4734" t="s">
        <v>61</v>
      </c>
      <c r="O4734" t="s">
        <v>47</v>
      </c>
      <c r="P4734" t="s">
        <v>68</v>
      </c>
      <c r="R4734">
        <f>SUMIF(A4734:A9733,"C04733",I4734:I9733)</f>
        <v>9289.22</v>
      </c>
      <c r="S4734" s="1">
        <v>6014.27</v>
      </c>
      <c r="T4734">
        <f t="shared" si="538"/>
        <v>403.879130434783</v>
      </c>
      <c r="U4734">
        <f t="shared" si="536"/>
        <v>627.9</v>
      </c>
      <c r="V4734">
        <f t="shared" si="539"/>
        <v>52.325</v>
      </c>
      <c r="W4734">
        <f t="shared" si="532"/>
        <v>3422.40333333333</v>
      </c>
      <c r="X4734">
        <f t="shared" si="537"/>
        <v>0.878207555860347</v>
      </c>
      <c r="AH4734" t="str">
        <f t="shared" si="533"/>
        <v>3rd Quality</v>
      </c>
      <c r="AJ4734">
        <f>((T4734-X4734)*2)/20.6</f>
        <v>39.1263031921284</v>
      </c>
      <c r="AK4734">
        <f t="shared" si="531"/>
        <v>346528.293913043</v>
      </c>
    </row>
    <row r="4735" spans="1:37">
      <c r="A4735" t="s">
        <v>4801</v>
      </c>
      <c r="B4735">
        <v>45</v>
      </c>
      <c r="C4735" t="s">
        <v>44</v>
      </c>
      <c r="D4735" t="s">
        <v>45</v>
      </c>
      <c r="E4735">
        <v>579</v>
      </c>
      <c r="F4735">
        <v>7</v>
      </c>
      <c r="G4735">
        <v>8</v>
      </c>
      <c r="H4735">
        <v>2144.86</v>
      </c>
      <c r="I4735">
        <v>16231.88</v>
      </c>
      <c r="J4735">
        <v>73</v>
      </c>
      <c r="K4735">
        <v>1</v>
      </c>
      <c r="L4735">
        <v>17.5</v>
      </c>
      <c r="M4735">
        <v>48.3</v>
      </c>
      <c r="N4735" t="s">
        <v>52</v>
      </c>
      <c r="O4735" t="s">
        <v>75</v>
      </c>
      <c r="P4735" t="s">
        <v>58</v>
      </c>
      <c r="R4735">
        <f>SUMIF(A4735:A9734,"C04734",I4735:I9734)</f>
        <v>16231.88</v>
      </c>
      <c r="S4735" s="1">
        <v>19093</v>
      </c>
      <c r="T4735">
        <f t="shared" si="538"/>
        <v>222.354520547945</v>
      </c>
      <c r="U4735">
        <f t="shared" si="536"/>
        <v>3525.9</v>
      </c>
      <c r="V4735">
        <f>U4735*1</f>
        <v>3525.9</v>
      </c>
      <c r="W4735">
        <f t="shared" si="532"/>
        <v>6125.91333333333</v>
      </c>
      <c r="X4735">
        <f t="shared" si="537"/>
        <v>0.269947688893448</v>
      </c>
      <c r="AH4735" t="str">
        <f t="shared" si="533"/>
        <v>3rd Quality</v>
      </c>
      <c r="AJ4735">
        <f>((T4735-X4735)*2)/17.5</f>
        <v>25.3810940410345</v>
      </c>
      <c r="AK4735">
        <f t="shared" si="531"/>
        <v>128743.26739726</v>
      </c>
    </row>
    <row r="4736" spans="1:37">
      <c r="A4736" t="s">
        <v>4802</v>
      </c>
      <c r="B4736">
        <v>18</v>
      </c>
      <c r="C4736" t="s">
        <v>44</v>
      </c>
      <c r="D4736" t="s">
        <v>60</v>
      </c>
      <c r="E4736">
        <v>1405</v>
      </c>
      <c r="F4736">
        <v>365</v>
      </c>
      <c r="G4736">
        <v>1</v>
      </c>
      <c r="H4736">
        <v>1575.16</v>
      </c>
      <c r="I4736">
        <v>1686.48</v>
      </c>
      <c r="J4736">
        <v>15</v>
      </c>
      <c r="K4736">
        <v>0</v>
      </c>
      <c r="L4736">
        <v>17.8</v>
      </c>
      <c r="M4736">
        <v>15.5</v>
      </c>
      <c r="N4736" t="s">
        <v>61</v>
      </c>
      <c r="O4736" t="s">
        <v>47</v>
      </c>
      <c r="P4736" t="s">
        <v>68</v>
      </c>
      <c r="R4736">
        <f>SUMIF(A4736:A9735,"C04735",I4736:I9735)</f>
        <v>1686.48</v>
      </c>
      <c r="S4736" s="1">
        <v>61960.89</v>
      </c>
      <c r="T4736">
        <f t="shared" si="538"/>
        <v>112.432</v>
      </c>
      <c r="U4736">
        <f t="shared" si="536"/>
        <v>232.5</v>
      </c>
      <c r="V4736">
        <f t="shared" si="539"/>
        <v>19.375</v>
      </c>
      <c r="W4736">
        <f t="shared" si="532"/>
        <v>1087.54666666667</v>
      </c>
      <c r="X4736">
        <f t="shared" si="537"/>
        <v>0.891972878945631</v>
      </c>
      <c r="AH4736" t="str">
        <f t="shared" si="533"/>
        <v>3rd Quality</v>
      </c>
      <c r="AJ4736">
        <f>((T4736-X4736)*2)/17.8</f>
        <v>12.5325873169724</v>
      </c>
      <c r="AK4736">
        <f t="shared" si="531"/>
        <v>157966.96</v>
      </c>
    </row>
    <row r="4737" spans="1:37">
      <c r="A4737" t="s">
        <v>4803</v>
      </c>
      <c r="B4737">
        <v>30</v>
      </c>
      <c r="C4737" t="s">
        <v>50</v>
      </c>
      <c r="D4737" t="s">
        <v>60</v>
      </c>
      <c r="E4737">
        <v>1301</v>
      </c>
      <c r="F4737">
        <v>77</v>
      </c>
      <c r="G4737">
        <v>5</v>
      </c>
      <c r="H4737">
        <v>1129.05</v>
      </c>
      <c r="I4737">
        <v>6014.27</v>
      </c>
      <c r="J4737">
        <v>37</v>
      </c>
      <c r="K4737">
        <v>0</v>
      </c>
      <c r="L4737">
        <v>27.5</v>
      </c>
      <c r="M4737">
        <v>48.5</v>
      </c>
      <c r="N4737" t="s">
        <v>63</v>
      </c>
      <c r="O4737" t="s">
        <v>47</v>
      </c>
      <c r="P4737" t="s">
        <v>68</v>
      </c>
      <c r="R4737">
        <f>SUMIF(A4737:A9736,"C04736",I4737:I9736)</f>
        <v>6014.27</v>
      </c>
      <c r="S4737" s="1">
        <v>87905.06</v>
      </c>
      <c r="T4737">
        <f t="shared" si="538"/>
        <v>162.547837837838</v>
      </c>
      <c r="U4737">
        <f t="shared" si="536"/>
        <v>1794.5</v>
      </c>
      <c r="V4737">
        <f t="shared" si="539"/>
        <v>149.541666666667</v>
      </c>
      <c r="W4737">
        <f t="shared" si="532"/>
        <v>2381.44</v>
      </c>
      <c r="X4737">
        <f t="shared" si="537"/>
        <v>1.15229617820291</v>
      </c>
      <c r="AH4737" t="str">
        <f t="shared" si="533"/>
        <v>3rd Quality</v>
      </c>
      <c r="AJ4737">
        <f>((T4737-X4737)*2)/27.5</f>
        <v>11.7378575752462</v>
      </c>
      <c r="AK4737">
        <f t="shared" si="531"/>
        <v>211474.737027027</v>
      </c>
    </row>
    <row r="4738" spans="1:37">
      <c r="A4738" t="s">
        <v>4804</v>
      </c>
      <c r="B4738">
        <v>22</v>
      </c>
      <c r="C4738" t="s">
        <v>44</v>
      </c>
      <c r="D4738" t="s">
        <v>45</v>
      </c>
      <c r="E4738">
        <v>568</v>
      </c>
      <c r="F4738">
        <v>81</v>
      </c>
      <c r="G4738">
        <v>3</v>
      </c>
      <c r="H4738">
        <v>707.6</v>
      </c>
      <c r="I4738">
        <v>19093</v>
      </c>
      <c r="J4738">
        <v>25</v>
      </c>
      <c r="K4738">
        <v>0</v>
      </c>
      <c r="L4738">
        <v>29.3</v>
      </c>
      <c r="M4738">
        <v>30.3</v>
      </c>
      <c r="N4738" t="s">
        <v>57</v>
      </c>
      <c r="O4738" t="s">
        <v>53</v>
      </c>
      <c r="P4738" t="s">
        <v>58</v>
      </c>
      <c r="R4738">
        <f>SUMIF(A4738:A9737,"C04737",I4738:I9737)</f>
        <v>19093</v>
      </c>
      <c r="S4738" s="1">
        <v>94162.49</v>
      </c>
      <c r="T4738">
        <f t="shared" si="538"/>
        <v>763.72</v>
      </c>
      <c r="U4738">
        <f t="shared" si="536"/>
        <v>757.5</v>
      </c>
      <c r="V4738">
        <f t="shared" si="539"/>
        <v>63.125</v>
      </c>
      <c r="W4738">
        <f t="shared" si="532"/>
        <v>6600.53333333333</v>
      </c>
      <c r="X4738">
        <f t="shared" si="537"/>
        <v>0.802713397399661</v>
      </c>
      <c r="AH4738" t="str">
        <f t="shared" si="533"/>
        <v>2nd Quality</v>
      </c>
      <c r="AJ4738">
        <f>((T4738-X4738)*2)/29.3</f>
        <v>52.0762652971058</v>
      </c>
      <c r="AK4738">
        <f t="shared" si="531"/>
        <v>433792.96</v>
      </c>
    </row>
    <row r="4739" spans="1:37">
      <c r="A4739" t="s">
        <v>4805</v>
      </c>
      <c r="B4739">
        <v>48</v>
      </c>
      <c r="C4739" t="s">
        <v>56</v>
      </c>
      <c r="D4739" t="s">
        <v>60</v>
      </c>
      <c r="E4739">
        <v>815</v>
      </c>
      <c r="F4739">
        <v>14</v>
      </c>
      <c r="G4739">
        <v>28</v>
      </c>
      <c r="H4739">
        <v>2475.56</v>
      </c>
      <c r="I4739">
        <v>61960.89</v>
      </c>
      <c r="J4739">
        <v>63</v>
      </c>
      <c r="K4739">
        <v>0</v>
      </c>
      <c r="L4739">
        <v>19.2</v>
      </c>
      <c r="M4739">
        <v>24.6</v>
      </c>
      <c r="N4739" t="s">
        <v>61</v>
      </c>
      <c r="O4739" t="s">
        <v>53</v>
      </c>
      <c r="P4739" t="s">
        <v>58</v>
      </c>
      <c r="R4739">
        <f>SUMIF(A4739:A9738,"C04738",I4739:I9738)</f>
        <v>61960.89</v>
      </c>
      <c r="S4739" s="1">
        <v>92690.69</v>
      </c>
      <c r="T4739">
        <f t="shared" si="538"/>
        <v>983.50619047619</v>
      </c>
      <c r="U4739">
        <f t="shared" si="536"/>
        <v>1549.8</v>
      </c>
      <c r="V4739">
        <f t="shared" si="539"/>
        <v>129.15</v>
      </c>
      <c r="W4739">
        <f t="shared" si="532"/>
        <v>21479.15</v>
      </c>
      <c r="X4739">
        <f t="shared" si="537"/>
        <v>0.329218439464202</v>
      </c>
      <c r="AH4739" t="str">
        <f t="shared" si="533"/>
        <v>3rd Quality</v>
      </c>
      <c r="AJ4739">
        <f>((T4739-X4739)*2)/19.2</f>
        <v>102.414267920492</v>
      </c>
      <c r="AK4739">
        <f t="shared" ref="AK4739:AK4802" si="540">I4739/J4739*E4739</f>
        <v>801557.545238095</v>
      </c>
    </row>
    <row r="4740" spans="1:37">
      <c r="A4740" t="s">
        <v>4806</v>
      </c>
      <c r="B4740">
        <v>33</v>
      </c>
      <c r="C4740" t="s">
        <v>44</v>
      </c>
      <c r="D4740" t="s">
        <v>45</v>
      </c>
      <c r="E4740">
        <v>1062</v>
      </c>
      <c r="F4740">
        <v>10</v>
      </c>
      <c r="G4740">
        <v>20</v>
      </c>
      <c r="H4740">
        <v>4026.8</v>
      </c>
      <c r="I4740">
        <v>87905.06</v>
      </c>
      <c r="J4740">
        <v>127</v>
      </c>
      <c r="K4740">
        <v>1</v>
      </c>
      <c r="L4740">
        <v>19.6</v>
      </c>
      <c r="M4740">
        <v>24.3</v>
      </c>
      <c r="N4740" t="s">
        <v>81</v>
      </c>
      <c r="O4740" t="s">
        <v>75</v>
      </c>
      <c r="P4740" t="s">
        <v>66</v>
      </c>
      <c r="R4740">
        <f>SUMIF(A4740:A9739,"C04739",I4740:I9739)</f>
        <v>87905.06</v>
      </c>
      <c r="S4740" s="1">
        <v>7198.87</v>
      </c>
      <c r="T4740">
        <f t="shared" si="538"/>
        <v>692.165826771654</v>
      </c>
      <c r="U4740">
        <f t="shared" si="536"/>
        <v>3086.1</v>
      </c>
      <c r="V4740">
        <f>U4740*1</f>
        <v>3086.1</v>
      </c>
      <c r="W4740">
        <f t="shared" si="532"/>
        <v>30644.2866666667</v>
      </c>
      <c r="X4740">
        <f t="shared" si="537"/>
        <v>0.263732988973875</v>
      </c>
      <c r="AH4740" t="str">
        <f t="shared" si="533"/>
        <v>1st Quality</v>
      </c>
      <c r="AJ4740">
        <f>((T4740-X4740)*2)/19.6</f>
        <v>70.6022544676204</v>
      </c>
      <c r="AK4740">
        <f t="shared" si="540"/>
        <v>735080.108031496</v>
      </c>
    </row>
    <row r="4741" spans="1:37">
      <c r="A4741" t="s">
        <v>4807</v>
      </c>
      <c r="B4741">
        <v>38</v>
      </c>
      <c r="C4741" t="s">
        <v>50</v>
      </c>
      <c r="D4741" t="s">
        <v>60</v>
      </c>
      <c r="E4741">
        <v>898</v>
      </c>
      <c r="F4741">
        <v>34</v>
      </c>
      <c r="G4741">
        <v>8</v>
      </c>
      <c r="H4741">
        <v>10557.04</v>
      </c>
      <c r="I4741">
        <v>94162.49</v>
      </c>
      <c r="J4741">
        <v>36</v>
      </c>
      <c r="K4741">
        <v>0</v>
      </c>
      <c r="L4741">
        <v>1.6</v>
      </c>
      <c r="M4741">
        <v>52.1</v>
      </c>
      <c r="N4741" t="s">
        <v>46</v>
      </c>
      <c r="O4741" t="s">
        <v>47</v>
      </c>
      <c r="P4741" t="s">
        <v>58</v>
      </c>
      <c r="R4741">
        <f>SUMIF(A4741:A9740,"C04740",I4741:I9740)</f>
        <v>94162.49</v>
      </c>
      <c r="S4741" s="1">
        <v>5628.19</v>
      </c>
      <c r="T4741">
        <f t="shared" si="538"/>
        <v>2615.62472222222</v>
      </c>
      <c r="U4741">
        <f t="shared" si="536"/>
        <v>1875.6</v>
      </c>
      <c r="V4741">
        <f t="shared" si="539"/>
        <v>156.3</v>
      </c>
      <c r="W4741">
        <f t="shared" si="532"/>
        <v>34906.8433333333</v>
      </c>
      <c r="X4741">
        <f t="shared" si="537"/>
        <v>0.0850617218462751</v>
      </c>
      <c r="AH4741" t="str">
        <f t="shared" si="533"/>
        <v>2nd Quality</v>
      </c>
      <c r="AJ4741">
        <f>((T4741-X4741)*2)/1.6</f>
        <v>3269.42457562547</v>
      </c>
      <c r="AK4741">
        <f t="shared" si="540"/>
        <v>2348831.00055556</v>
      </c>
    </row>
    <row r="4742" spans="1:37">
      <c r="A4742" t="s">
        <v>4808</v>
      </c>
      <c r="B4742">
        <v>34</v>
      </c>
      <c r="C4742" t="s">
        <v>44</v>
      </c>
      <c r="D4742" t="s">
        <v>45</v>
      </c>
      <c r="E4742">
        <v>556</v>
      </c>
      <c r="F4742">
        <v>12</v>
      </c>
      <c r="G4742">
        <v>25</v>
      </c>
      <c r="H4742">
        <v>3616.8</v>
      </c>
      <c r="I4742">
        <v>92690.69</v>
      </c>
      <c r="J4742">
        <v>182</v>
      </c>
      <c r="K4742">
        <v>2</v>
      </c>
      <c r="L4742">
        <v>14.4</v>
      </c>
      <c r="M4742">
        <v>9.5</v>
      </c>
      <c r="N4742" t="s">
        <v>63</v>
      </c>
      <c r="O4742" t="s">
        <v>75</v>
      </c>
      <c r="P4742" t="s">
        <v>68</v>
      </c>
      <c r="R4742">
        <f>SUMIF(A4742:A9741,"C04741",I4742:I9741)</f>
        <v>92690.69</v>
      </c>
      <c r="S4742" s="1">
        <v>21371.65</v>
      </c>
      <c r="T4742">
        <f t="shared" si="538"/>
        <v>509.289505494506</v>
      </c>
      <c r="U4742">
        <f t="shared" si="536"/>
        <v>1729</v>
      </c>
      <c r="V4742">
        <f>U4742*2</f>
        <v>3458</v>
      </c>
      <c r="W4742">
        <f t="shared" si="532"/>
        <v>32102.83</v>
      </c>
      <c r="X4742">
        <f t="shared" si="537"/>
        <v>0.153727051537271</v>
      </c>
      <c r="AH4742" t="str">
        <f t="shared" si="533"/>
        <v>2nd Quality</v>
      </c>
      <c r="AJ4742">
        <f>((T4742-X4742)*2)/14.4</f>
        <v>70.7133025615234</v>
      </c>
      <c r="AK4742">
        <f t="shared" si="540"/>
        <v>283164.965054945</v>
      </c>
    </row>
    <row r="4743" spans="1:37">
      <c r="A4743" t="s">
        <v>4809</v>
      </c>
      <c r="B4743">
        <v>26</v>
      </c>
      <c r="C4743" t="s">
        <v>44</v>
      </c>
      <c r="D4743" t="s">
        <v>45</v>
      </c>
      <c r="E4743">
        <v>1173</v>
      </c>
      <c r="F4743">
        <v>69</v>
      </c>
      <c r="G4743">
        <v>6</v>
      </c>
      <c r="H4743">
        <v>1302.74</v>
      </c>
      <c r="I4743">
        <v>7198.87</v>
      </c>
      <c r="J4743">
        <v>18</v>
      </c>
      <c r="K4743">
        <v>1</v>
      </c>
      <c r="L4743">
        <v>26.6</v>
      </c>
      <c r="M4743">
        <v>8.6</v>
      </c>
      <c r="N4743" t="s">
        <v>63</v>
      </c>
      <c r="O4743" t="s">
        <v>75</v>
      </c>
      <c r="P4743" t="s">
        <v>58</v>
      </c>
      <c r="R4743">
        <f>SUMIF(A4743:A9742,"C04742",I4743:I9742)</f>
        <v>7198.87</v>
      </c>
      <c r="S4743" s="1">
        <v>60384</v>
      </c>
      <c r="T4743">
        <f t="shared" si="538"/>
        <v>399.937222222222</v>
      </c>
      <c r="U4743">
        <f t="shared" si="536"/>
        <v>154.8</v>
      </c>
      <c r="V4743">
        <f>U4743*1</f>
        <v>154.8</v>
      </c>
      <c r="W4743">
        <f t="shared" si="532"/>
        <v>2834.20333333333</v>
      </c>
      <c r="X4743">
        <f t="shared" si="537"/>
        <v>0.900409905276571</v>
      </c>
      <c r="AH4743" t="str">
        <f t="shared" si="533"/>
        <v>3rd Quality</v>
      </c>
      <c r="AJ4743">
        <f>((T4743-X4743)*2)/26.6</f>
        <v>30.0027678433794</v>
      </c>
      <c r="AK4743">
        <f t="shared" si="540"/>
        <v>469126.361666667</v>
      </c>
    </row>
    <row r="4744" spans="1:37">
      <c r="A4744" t="s">
        <v>4810</v>
      </c>
      <c r="B4744">
        <v>54</v>
      </c>
      <c r="C4744" t="s">
        <v>50</v>
      </c>
      <c r="D4744" t="s">
        <v>60</v>
      </c>
      <c r="E4744">
        <v>1359</v>
      </c>
      <c r="F4744">
        <v>125</v>
      </c>
      <c r="G4744">
        <v>5</v>
      </c>
      <c r="H4744">
        <v>1147.34</v>
      </c>
      <c r="I4744">
        <v>5628.19</v>
      </c>
      <c r="J4744">
        <v>28</v>
      </c>
      <c r="K4744">
        <v>0</v>
      </c>
      <c r="L4744">
        <v>25.2</v>
      </c>
      <c r="M4744">
        <v>63.2</v>
      </c>
      <c r="N4744" t="s">
        <v>78</v>
      </c>
      <c r="O4744" t="s">
        <v>75</v>
      </c>
      <c r="P4744" t="s">
        <v>68</v>
      </c>
      <c r="R4744">
        <f>SUMIF(A4744:A9743,"C04743",I4744:I9743)</f>
        <v>5628.19</v>
      </c>
      <c r="S4744" s="1">
        <v>24786.18</v>
      </c>
      <c r="T4744">
        <f t="shared" si="538"/>
        <v>201.006785714286</v>
      </c>
      <c r="U4744">
        <f t="shared" si="536"/>
        <v>1769.6</v>
      </c>
      <c r="V4744">
        <f t="shared" si="539"/>
        <v>147.466666666667</v>
      </c>
      <c r="W4744">
        <f t="shared" si="532"/>
        <v>2258.84333333333</v>
      </c>
      <c r="X4744">
        <f t="shared" si="537"/>
        <v>1.18447888158698</v>
      </c>
      <c r="AH4744" t="str">
        <f t="shared" si="533"/>
        <v>3rd Quality</v>
      </c>
      <c r="AJ4744">
        <f>((T4744-X4744)*2)/25.2</f>
        <v>15.8589132406904</v>
      </c>
      <c r="AK4744">
        <f t="shared" si="540"/>
        <v>273168.221785714</v>
      </c>
    </row>
    <row r="4745" spans="1:37">
      <c r="A4745" t="s">
        <v>4811</v>
      </c>
      <c r="B4745">
        <v>47</v>
      </c>
      <c r="C4745" t="s">
        <v>44</v>
      </c>
      <c r="D4745" t="s">
        <v>45</v>
      </c>
      <c r="E4745">
        <v>1252</v>
      </c>
      <c r="F4745">
        <v>13</v>
      </c>
      <c r="G4745">
        <v>14</v>
      </c>
      <c r="H4745">
        <v>1724.81</v>
      </c>
      <c r="I4745">
        <v>21371.65</v>
      </c>
      <c r="J4745">
        <v>50</v>
      </c>
      <c r="K4745">
        <v>1</v>
      </c>
      <c r="L4745">
        <v>31.9</v>
      </c>
      <c r="M4745">
        <v>41.2</v>
      </c>
      <c r="N4745" t="s">
        <v>81</v>
      </c>
      <c r="O4745" t="s">
        <v>75</v>
      </c>
      <c r="P4745" t="s">
        <v>66</v>
      </c>
      <c r="R4745">
        <f>SUMIF(A4745:A9744,"C04744",I4745:I9744)</f>
        <v>21371.65</v>
      </c>
      <c r="S4745" s="1">
        <v>19637.06</v>
      </c>
      <c r="T4745">
        <f t="shared" si="538"/>
        <v>427.433</v>
      </c>
      <c r="U4745">
        <f t="shared" si="536"/>
        <v>2060</v>
      </c>
      <c r="V4745">
        <f>U4745*1</f>
        <v>2060</v>
      </c>
      <c r="W4745">
        <f t="shared" ref="W4745:W4808" si="541">(H4745+I4745+1)/3</f>
        <v>7699.15333333333</v>
      </c>
      <c r="X4745">
        <f t="shared" si="537"/>
        <v>0.725877053124692</v>
      </c>
      <c r="AH4745" t="str">
        <f t="shared" si="533"/>
        <v>3rd Quality</v>
      </c>
      <c r="AJ4745">
        <f>((T4745-X4745)*2)/31.9</f>
        <v>26.7527976769201</v>
      </c>
      <c r="AK4745">
        <f t="shared" si="540"/>
        <v>535146.116</v>
      </c>
    </row>
    <row r="4746" spans="1:37">
      <c r="A4746" t="s">
        <v>4812</v>
      </c>
      <c r="B4746">
        <v>37</v>
      </c>
      <c r="C4746" t="s">
        <v>50</v>
      </c>
      <c r="D4746" t="s">
        <v>60</v>
      </c>
      <c r="E4746">
        <v>756</v>
      </c>
      <c r="F4746">
        <v>3</v>
      </c>
      <c r="G4746">
        <v>25</v>
      </c>
      <c r="H4746">
        <v>1399.28</v>
      </c>
      <c r="I4746">
        <v>37683.12</v>
      </c>
      <c r="J4746">
        <v>104</v>
      </c>
      <c r="K4746">
        <v>0</v>
      </c>
      <c r="L4746">
        <v>0</v>
      </c>
      <c r="M4746">
        <v>45.4</v>
      </c>
      <c r="N4746" t="s">
        <v>63</v>
      </c>
      <c r="O4746" t="s">
        <v>47</v>
      </c>
      <c r="P4746" t="s">
        <v>58</v>
      </c>
      <c r="R4746">
        <f>SUMIF(A4746:A9745,"C04745",I4746:I9745)</f>
        <v>37683.12</v>
      </c>
      <c r="S4746" s="1">
        <v>936.09</v>
      </c>
      <c r="T4746">
        <f t="shared" si="538"/>
        <v>362.337692307692</v>
      </c>
      <c r="U4746">
        <f t="shared" si="536"/>
        <v>4721.6</v>
      </c>
      <c r="V4746">
        <f t="shared" si="539"/>
        <v>393.466666666667</v>
      </c>
      <c r="W4746">
        <f t="shared" si="541"/>
        <v>13027.8</v>
      </c>
      <c r="X4746">
        <f t="shared" si="537"/>
        <v>0.540277857183694</v>
      </c>
      <c r="AH4746" t="str">
        <f t="shared" si="533"/>
        <v>2nd Quality</v>
      </c>
      <c r="AJ4746">
        <f>((T4746-X4746)*2)</f>
        <v>723.594828901017</v>
      </c>
      <c r="AK4746">
        <f t="shared" si="540"/>
        <v>273927.295384615</v>
      </c>
    </row>
    <row r="4747" spans="1:37">
      <c r="A4747" t="s">
        <v>4813</v>
      </c>
      <c r="B4747">
        <v>23</v>
      </c>
      <c r="C4747" t="s">
        <v>50</v>
      </c>
      <c r="D4747" t="s">
        <v>45</v>
      </c>
      <c r="E4747">
        <v>1313</v>
      </c>
      <c r="F4747">
        <v>5</v>
      </c>
      <c r="G4747">
        <v>23</v>
      </c>
      <c r="H4747">
        <v>2901.76</v>
      </c>
      <c r="I4747">
        <v>60384</v>
      </c>
      <c r="J4747">
        <v>168</v>
      </c>
      <c r="K4747">
        <v>1</v>
      </c>
      <c r="L4747">
        <v>16.5</v>
      </c>
      <c r="M4747">
        <v>43.7</v>
      </c>
      <c r="N4747" t="s">
        <v>81</v>
      </c>
      <c r="O4747" t="s">
        <v>47</v>
      </c>
      <c r="P4747" t="s">
        <v>68</v>
      </c>
      <c r="R4747">
        <f>SUMIF(A4747:A9746,"C04746",I4747:I9746)</f>
        <v>60384</v>
      </c>
      <c r="S4747" s="1">
        <v>63311.49</v>
      </c>
      <c r="T4747">
        <f t="shared" si="538"/>
        <v>359.428571428571</v>
      </c>
      <c r="U4747">
        <f t="shared" si="536"/>
        <v>7341.6</v>
      </c>
      <c r="V4747">
        <f>U4747*1</f>
        <v>7341.6</v>
      </c>
      <c r="W4747">
        <f t="shared" si="541"/>
        <v>21095.5866666667</v>
      </c>
      <c r="X4747">
        <f t="shared" si="537"/>
        <v>0.452484009704455</v>
      </c>
      <c r="AH4747" t="str">
        <f t="shared" si="533"/>
        <v>1st Quality</v>
      </c>
      <c r="AJ4747">
        <f>((T4747-X4747)*2)/16.5</f>
        <v>43.5122530204687</v>
      </c>
      <c r="AK4747">
        <f t="shared" si="540"/>
        <v>471929.714285714</v>
      </c>
    </row>
    <row r="4748" spans="1:37">
      <c r="A4748" t="s">
        <v>4814</v>
      </c>
      <c r="B4748">
        <v>30</v>
      </c>
      <c r="C4748" t="s">
        <v>44</v>
      </c>
      <c r="D4748" t="s">
        <v>60</v>
      </c>
      <c r="E4748">
        <v>1333</v>
      </c>
      <c r="F4748">
        <v>45</v>
      </c>
      <c r="G4748">
        <v>13</v>
      </c>
      <c r="H4748">
        <v>1985.17</v>
      </c>
      <c r="I4748">
        <v>24786.18</v>
      </c>
      <c r="J4748">
        <v>40</v>
      </c>
      <c r="K4748">
        <v>0</v>
      </c>
      <c r="L4748">
        <v>21.2</v>
      </c>
      <c r="M4748">
        <v>29.3</v>
      </c>
      <c r="N4748" t="s">
        <v>52</v>
      </c>
      <c r="O4748" t="s">
        <v>47</v>
      </c>
      <c r="P4748" t="s">
        <v>58</v>
      </c>
      <c r="R4748">
        <f>SUMIF(A4748:A9747,"C04747",I4748:I9747)</f>
        <v>24786.18</v>
      </c>
      <c r="S4748" s="1">
        <v>80367.51</v>
      </c>
      <c r="T4748">
        <f t="shared" si="538"/>
        <v>619.6545</v>
      </c>
      <c r="U4748">
        <f t="shared" si="536"/>
        <v>1172</v>
      </c>
      <c r="V4748">
        <f t="shared" si="539"/>
        <v>97.6666666666667</v>
      </c>
      <c r="W4748">
        <f t="shared" si="541"/>
        <v>8924.11666666667</v>
      </c>
      <c r="X4748">
        <f t="shared" si="537"/>
        <v>0.67147901691039</v>
      </c>
      <c r="AH4748" t="str">
        <f t="shared" si="533"/>
        <v>2nd Quality</v>
      </c>
      <c r="AJ4748">
        <f>((T4748-X4748)*2)/21.2</f>
        <v>58.3946246210462</v>
      </c>
      <c r="AK4748">
        <f t="shared" si="540"/>
        <v>825999.4485</v>
      </c>
    </row>
    <row r="4749" spans="1:37">
      <c r="A4749" t="s">
        <v>4815</v>
      </c>
      <c r="B4749">
        <v>36</v>
      </c>
      <c r="C4749" t="s">
        <v>50</v>
      </c>
      <c r="D4749" t="s">
        <v>45</v>
      </c>
      <c r="E4749">
        <v>1346</v>
      </c>
      <c r="F4749">
        <v>12</v>
      </c>
      <c r="G4749">
        <v>3</v>
      </c>
      <c r="H4749">
        <v>6448.64</v>
      </c>
      <c r="I4749">
        <v>19637.06</v>
      </c>
      <c r="J4749">
        <v>14</v>
      </c>
      <c r="K4749">
        <v>0</v>
      </c>
      <c r="L4749">
        <v>0</v>
      </c>
      <c r="M4749">
        <v>35.8</v>
      </c>
      <c r="N4749" t="s">
        <v>46</v>
      </c>
      <c r="O4749" t="s">
        <v>47</v>
      </c>
      <c r="P4749" t="s">
        <v>66</v>
      </c>
      <c r="R4749">
        <f>SUMIF(A4749:A9748,"C04748",I4749:I9748)</f>
        <v>19637.06</v>
      </c>
      <c r="S4749" s="1">
        <v>29534.45</v>
      </c>
      <c r="T4749">
        <f t="shared" si="538"/>
        <v>1402.64714285714</v>
      </c>
      <c r="U4749">
        <f t="shared" si="536"/>
        <v>501.2</v>
      </c>
      <c r="V4749">
        <f t="shared" si="539"/>
        <v>41.7666666666667</v>
      </c>
      <c r="W4749">
        <f t="shared" si="541"/>
        <v>8695.56666666667</v>
      </c>
      <c r="X4749">
        <f t="shared" si="537"/>
        <v>0.208726181024216</v>
      </c>
      <c r="AH4749" t="str">
        <f t="shared" si="533"/>
        <v>2nd Quality</v>
      </c>
      <c r="AJ4749">
        <f>((T4749-X4749)*2)</f>
        <v>2804.87683335223</v>
      </c>
      <c r="AK4749">
        <f t="shared" si="540"/>
        <v>1887963.05428571</v>
      </c>
    </row>
    <row r="4750" spans="1:37">
      <c r="A4750" t="s">
        <v>4816</v>
      </c>
      <c r="B4750">
        <v>29</v>
      </c>
      <c r="C4750" t="s">
        <v>44</v>
      </c>
      <c r="D4750" t="s">
        <v>51</v>
      </c>
      <c r="E4750">
        <v>1270</v>
      </c>
      <c r="F4750">
        <v>87</v>
      </c>
      <c r="G4750">
        <v>1</v>
      </c>
      <c r="H4750">
        <v>893.61</v>
      </c>
      <c r="I4750">
        <v>936.09</v>
      </c>
      <c r="J4750">
        <v>17</v>
      </c>
      <c r="K4750">
        <v>0</v>
      </c>
      <c r="L4750">
        <v>15.7</v>
      </c>
      <c r="M4750">
        <v>36.7</v>
      </c>
      <c r="N4750" t="s">
        <v>61</v>
      </c>
      <c r="O4750" t="s">
        <v>47</v>
      </c>
      <c r="P4750" t="s">
        <v>58</v>
      </c>
      <c r="R4750">
        <f>SUMIF(A4750:A9749,"C04749",I4750:I9749)</f>
        <v>936.09</v>
      </c>
      <c r="S4750" s="1">
        <v>9997.12</v>
      </c>
      <c r="T4750">
        <f t="shared" si="538"/>
        <v>55.0641176470588</v>
      </c>
      <c r="U4750">
        <f t="shared" si="536"/>
        <v>623.9</v>
      </c>
      <c r="V4750">
        <f t="shared" si="539"/>
        <v>51.9916666666667</v>
      </c>
      <c r="W4750">
        <f t="shared" si="541"/>
        <v>610.233333333333</v>
      </c>
      <c r="X4750">
        <f t="shared" si="537"/>
        <v>1.42120164277481</v>
      </c>
      <c r="AH4750" t="str">
        <f t="shared" ref="AH4750:AH4813" si="542">IF(AND(W4750&gt;=12550,B4750&lt;=33,E4750&gt;=915),"1st Quality",IF(AND(W4750&gt;=6275,B4750&lt;=43,E4750&gt;=457),"2nd Quality","3rd Quality"))</f>
        <v>3rd Quality</v>
      </c>
      <c r="AJ4750">
        <f>((T4750-X4750)*2)/15.7</f>
        <v>6.83349248462216</v>
      </c>
      <c r="AK4750">
        <f t="shared" si="540"/>
        <v>69931.4294117647</v>
      </c>
    </row>
    <row r="4751" spans="1:37">
      <c r="A4751" t="s">
        <v>4817</v>
      </c>
      <c r="B4751">
        <v>23</v>
      </c>
      <c r="C4751" t="s">
        <v>44</v>
      </c>
      <c r="D4751" t="s">
        <v>60</v>
      </c>
      <c r="E4751">
        <v>691</v>
      </c>
      <c r="F4751">
        <v>12</v>
      </c>
      <c r="G4751">
        <v>19</v>
      </c>
      <c r="H4751">
        <v>3035.61</v>
      </c>
      <c r="I4751">
        <v>63311.49</v>
      </c>
      <c r="J4751">
        <v>83</v>
      </c>
      <c r="K4751">
        <v>2</v>
      </c>
      <c r="L4751">
        <v>22.1</v>
      </c>
      <c r="M4751">
        <v>30.4</v>
      </c>
      <c r="N4751" t="s">
        <v>63</v>
      </c>
      <c r="O4751" t="s">
        <v>47</v>
      </c>
      <c r="P4751" t="s">
        <v>58</v>
      </c>
      <c r="R4751">
        <f>SUMIF(A4751:A9750,"C04750",I4751:I9750)</f>
        <v>63311.49</v>
      </c>
      <c r="S4751" s="1">
        <v>11294.54</v>
      </c>
      <c r="T4751">
        <f t="shared" si="538"/>
        <v>762.789036144578</v>
      </c>
      <c r="U4751">
        <f t="shared" si="536"/>
        <v>2523.2</v>
      </c>
      <c r="V4751">
        <f>U4751*2</f>
        <v>5046.4</v>
      </c>
      <c r="W4751">
        <f t="shared" si="541"/>
        <v>22116.0333333333</v>
      </c>
      <c r="X4751">
        <f t="shared" si="537"/>
        <v>0.227631349218114</v>
      </c>
      <c r="AH4751" t="str">
        <f t="shared" si="542"/>
        <v>2nd Quality</v>
      </c>
      <c r="AJ4751">
        <f>((T4751-X4751)*2)/22.1</f>
        <v>69.010081881933</v>
      </c>
      <c r="AK4751">
        <f t="shared" si="540"/>
        <v>527087.223975904</v>
      </c>
    </row>
    <row r="4752" spans="1:37">
      <c r="A4752" t="s">
        <v>4818</v>
      </c>
      <c r="B4752">
        <v>32</v>
      </c>
      <c r="C4752" t="s">
        <v>50</v>
      </c>
      <c r="D4752" t="s">
        <v>51</v>
      </c>
      <c r="E4752">
        <v>916</v>
      </c>
      <c r="F4752">
        <v>6</v>
      </c>
      <c r="G4752">
        <v>21</v>
      </c>
      <c r="H4752">
        <v>3900.21</v>
      </c>
      <c r="I4752">
        <v>80367.51</v>
      </c>
      <c r="J4752">
        <v>50</v>
      </c>
      <c r="K4752">
        <v>1</v>
      </c>
      <c r="L4752">
        <v>26.6</v>
      </c>
      <c r="M4752">
        <v>32.2</v>
      </c>
      <c r="N4752" t="s">
        <v>46</v>
      </c>
      <c r="O4752" t="s">
        <v>75</v>
      </c>
      <c r="P4752" t="s">
        <v>58</v>
      </c>
      <c r="R4752">
        <f>SUMIF(A4752:A9751,"C04751",I4752:I9751)</f>
        <v>80367.51</v>
      </c>
      <c r="S4752" s="1">
        <v>745.12</v>
      </c>
      <c r="T4752">
        <f t="shared" si="538"/>
        <v>1607.3502</v>
      </c>
      <c r="U4752">
        <f t="shared" si="536"/>
        <v>1610</v>
      </c>
      <c r="V4752">
        <f>U4752*1</f>
        <v>1610</v>
      </c>
      <c r="W4752">
        <f t="shared" si="541"/>
        <v>28089.5733333333</v>
      </c>
      <c r="X4752">
        <f t="shared" si="537"/>
        <v>0.234859148609947</v>
      </c>
      <c r="AH4752" t="str">
        <f t="shared" si="542"/>
        <v>1st Quality</v>
      </c>
      <c r="AJ4752">
        <f>((T4752-X4752)*2)/26.6</f>
        <v>120.835739913638</v>
      </c>
      <c r="AK4752">
        <f t="shared" si="540"/>
        <v>1472332.7832</v>
      </c>
    </row>
    <row r="4753" spans="1:37">
      <c r="A4753" t="s">
        <v>4819</v>
      </c>
      <c r="B4753">
        <v>28</v>
      </c>
      <c r="C4753" t="s">
        <v>50</v>
      </c>
      <c r="D4753" t="s">
        <v>60</v>
      </c>
      <c r="E4753">
        <v>1078</v>
      </c>
      <c r="F4753">
        <v>75</v>
      </c>
      <c r="G4753">
        <v>4</v>
      </c>
      <c r="H4753">
        <v>7974.98</v>
      </c>
      <c r="I4753">
        <v>29534.45</v>
      </c>
      <c r="J4753">
        <v>19</v>
      </c>
      <c r="K4753">
        <v>1</v>
      </c>
      <c r="L4753">
        <v>0.5</v>
      </c>
      <c r="M4753">
        <v>10.3</v>
      </c>
      <c r="N4753" t="s">
        <v>63</v>
      </c>
      <c r="O4753" t="s">
        <v>47</v>
      </c>
      <c r="P4753" t="s">
        <v>54</v>
      </c>
      <c r="R4753">
        <f>SUMIF(A4753:A9752,"C04752",I4753:I9752)</f>
        <v>29534.45</v>
      </c>
      <c r="S4753" s="1">
        <v>42609.74</v>
      </c>
      <c r="T4753">
        <f t="shared" si="538"/>
        <v>1554.44473684211</v>
      </c>
      <c r="U4753">
        <f t="shared" si="536"/>
        <v>195.7</v>
      </c>
      <c r="V4753">
        <f>U4753*1</f>
        <v>195.7</v>
      </c>
      <c r="W4753">
        <f t="shared" si="541"/>
        <v>12503.4766666667</v>
      </c>
      <c r="X4753">
        <f t="shared" si="537"/>
        <v>0.135172752784333</v>
      </c>
      <c r="AH4753" t="str">
        <f t="shared" si="542"/>
        <v>2nd Quality</v>
      </c>
      <c r="AJ4753">
        <f>((T4753-X4753)*2)/0.5</f>
        <v>6217.2382563573</v>
      </c>
      <c r="AK4753">
        <f t="shared" si="540"/>
        <v>1675691.42631579</v>
      </c>
    </row>
    <row r="4754" spans="1:37">
      <c r="A4754" t="s">
        <v>4820</v>
      </c>
      <c r="B4754">
        <v>18</v>
      </c>
      <c r="C4754" t="s">
        <v>44</v>
      </c>
      <c r="D4754" t="s">
        <v>60</v>
      </c>
      <c r="E4754">
        <v>1257</v>
      </c>
      <c r="F4754">
        <v>23</v>
      </c>
      <c r="G4754">
        <v>5</v>
      </c>
      <c r="H4754">
        <v>2206.54</v>
      </c>
      <c r="I4754">
        <v>9997.12</v>
      </c>
      <c r="J4754">
        <v>17</v>
      </c>
      <c r="K4754">
        <v>0</v>
      </c>
      <c r="L4754">
        <v>21.7</v>
      </c>
      <c r="M4754">
        <v>28.9</v>
      </c>
      <c r="N4754" t="s">
        <v>61</v>
      </c>
      <c r="O4754" t="s">
        <v>47</v>
      </c>
      <c r="P4754" t="s">
        <v>58</v>
      </c>
      <c r="R4754">
        <f>SUMIF(A4754:A9753,"C04753",I4754:I9753)</f>
        <v>9997.12</v>
      </c>
      <c r="S4754" s="1">
        <v>6173.99</v>
      </c>
      <c r="T4754">
        <f t="shared" si="538"/>
        <v>588.065882352941</v>
      </c>
      <c r="U4754">
        <f t="shared" si="536"/>
        <v>491.3</v>
      </c>
      <c r="V4754">
        <f t="shared" si="539"/>
        <v>40.9416666666667</v>
      </c>
      <c r="W4754">
        <f t="shared" si="541"/>
        <v>4068.22</v>
      </c>
      <c r="X4754">
        <f t="shared" si="537"/>
        <v>0.569670162335602</v>
      </c>
      <c r="AH4754" t="str">
        <f t="shared" si="542"/>
        <v>3rd Quality</v>
      </c>
      <c r="AJ4754">
        <f>((T4754-X4754)*2)/21.7</f>
        <v>54.1471163309314</v>
      </c>
      <c r="AK4754">
        <f t="shared" si="540"/>
        <v>739198.814117647</v>
      </c>
    </row>
    <row r="4755" spans="1:37">
      <c r="A4755" t="s">
        <v>4821</v>
      </c>
      <c r="B4755">
        <v>18</v>
      </c>
      <c r="C4755" t="s">
        <v>44</v>
      </c>
      <c r="D4755" t="s">
        <v>45</v>
      </c>
      <c r="E4755">
        <v>491</v>
      </c>
      <c r="F4755">
        <v>57</v>
      </c>
      <c r="G4755">
        <v>4</v>
      </c>
      <c r="H4755">
        <v>2720.13</v>
      </c>
      <c r="I4755">
        <v>11294.54</v>
      </c>
      <c r="J4755">
        <v>38</v>
      </c>
      <c r="K4755">
        <v>0</v>
      </c>
      <c r="L4755">
        <v>20.7</v>
      </c>
      <c r="M4755">
        <v>18.7</v>
      </c>
      <c r="N4755" t="s">
        <v>81</v>
      </c>
      <c r="O4755" t="s">
        <v>47</v>
      </c>
      <c r="P4755" t="s">
        <v>68</v>
      </c>
      <c r="R4755">
        <f>SUMIF(A4755:A9754,"C04754",I4755:I9754)</f>
        <v>11294.54</v>
      </c>
      <c r="S4755" s="1">
        <v>4283.29</v>
      </c>
      <c r="T4755">
        <f t="shared" si="538"/>
        <v>297.224736842105</v>
      </c>
      <c r="U4755">
        <f t="shared" si="536"/>
        <v>710.6</v>
      </c>
      <c r="V4755">
        <f t="shared" si="539"/>
        <v>59.2166666666667</v>
      </c>
      <c r="W4755">
        <f t="shared" si="541"/>
        <v>4671.89</v>
      </c>
      <c r="X4755">
        <f t="shared" si="537"/>
        <v>0.180506078753589</v>
      </c>
      <c r="AH4755" t="str">
        <f t="shared" si="542"/>
        <v>3rd Quality</v>
      </c>
      <c r="AJ4755">
        <f>((T4755-X4755)*2)/20.7</f>
        <v>28.6999256776185</v>
      </c>
      <c r="AK4755">
        <f t="shared" si="540"/>
        <v>145937.345789474</v>
      </c>
    </row>
    <row r="4756" spans="1:37">
      <c r="A4756" t="s">
        <v>4822</v>
      </c>
      <c r="B4756">
        <v>35</v>
      </c>
      <c r="C4756" t="s">
        <v>44</v>
      </c>
      <c r="D4756" t="s">
        <v>45</v>
      </c>
      <c r="E4756">
        <v>442</v>
      </c>
      <c r="F4756">
        <v>184</v>
      </c>
      <c r="G4756">
        <v>1</v>
      </c>
      <c r="H4756">
        <v>817.99</v>
      </c>
      <c r="I4756">
        <v>745.12</v>
      </c>
      <c r="J4756">
        <v>16</v>
      </c>
      <c r="K4756">
        <v>0</v>
      </c>
      <c r="L4756">
        <v>16.9</v>
      </c>
      <c r="M4756">
        <v>34</v>
      </c>
      <c r="N4756" t="s">
        <v>61</v>
      </c>
      <c r="O4756" t="s">
        <v>47</v>
      </c>
      <c r="P4756" t="s">
        <v>48</v>
      </c>
      <c r="R4756">
        <f>SUMIF(A4756:A9755,"C04755",I4756:I9755)</f>
        <v>745.12</v>
      </c>
      <c r="S4756" s="1">
        <v>93185.52</v>
      </c>
      <c r="T4756">
        <f t="shared" si="538"/>
        <v>46.57</v>
      </c>
      <c r="U4756">
        <f t="shared" si="536"/>
        <v>544</v>
      </c>
      <c r="V4756">
        <f t="shared" si="539"/>
        <v>45.3333333333333</v>
      </c>
      <c r="W4756">
        <f t="shared" si="541"/>
        <v>521.37</v>
      </c>
      <c r="X4756">
        <f t="shared" si="537"/>
        <v>0.540348904020832</v>
      </c>
      <c r="AH4756" t="str">
        <f t="shared" si="542"/>
        <v>3rd Quality</v>
      </c>
      <c r="AJ4756">
        <f>((T4756-X4756)*2)/16.9</f>
        <v>5.44729598768984</v>
      </c>
      <c r="AK4756">
        <f t="shared" si="540"/>
        <v>20583.94</v>
      </c>
    </row>
    <row r="4757" spans="1:37">
      <c r="A4757" t="s">
        <v>4823</v>
      </c>
      <c r="B4757">
        <v>34</v>
      </c>
      <c r="C4757" t="s">
        <v>44</v>
      </c>
      <c r="D4757" t="s">
        <v>60</v>
      </c>
      <c r="E4757">
        <v>1427</v>
      </c>
      <c r="F4757">
        <v>10</v>
      </c>
      <c r="G4757">
        <v>5</v>
      </c>
      <c r="H4757">
        <v>8210.17</v>
      </c>
      <c r="I4757">
        <v>42609.74</v>
      </c>
      <c r="J4757">
        <v>27</v>
      </c>
      <c r="K4757">
        <v>0</v>
      </c>
      <c r="L4757">
        <v>17.4</v>
      </c>
      <c r="M4757">
        <v>12.6</v>
      </c>
      <c r="N4757" t="s">
        <v>57</v>
      </c>
      <c r="O4757" t="s">
        <v>75</v>
      </c>
      <c r="P4757" t="s">
        <v>58</v>
      </c>
      <c r="R4757">
        <f>SUMIF(A4757:A9756,"C04756",I4757:I9756)</f>
        <v>42609.74</v>
      </c>
      <c r="S4757" s="1">
        <v>4666.88</v>
      </c>
      <c r="T4757">
        <f t="shared" si="538"/>
        <v>1578.13851851852</v>
      </c>
      <c r="U4757">
        <f t="shared" si="536"/>
        <v>340.2</v>
      </c>
      <c r="V4757">
        <f t="shared" si="539"/>
        <v>28.35</v>
      </c>
      <c r="W4757">
        <f t="shared" si="541"/>
        <v>16940.3033333333</v>
      </c>
      <c r="X4757">
        <f t="shared" si="537"/>
        <v>0.173808824908619</v>
      </c>
      <c r="AH4757" t="str">
        <f t="shared" si="542"/>
        <v>2nd Quality</v>
      </c>
      <c r="AJ4757">
        <f>((T4757-X4757)*2)/17.4</f>
        <v>181.375253987771</v>
      </c>
      <c r="AK4757">
        <f t="shared" si="540"/>
        <v>2252003.66592593</v>
      </c>
    </row>
    <row r="4758" spans="1:37">
      <c r="A4758" t="s">
        <v>4824</v>
      </c>
      <c r="B4758">
        <v>40</v>
      </c>
      <c r="C4758" t="s">
        <v>44</v>
      </c>
      <c r="D4758" t="s">
        <v>45</v>
      </c>
      <c r="E4758">
        <v>1129</v>
      </c>
      <c r="F4758">
        <v>22</v>
      </c>
      <c r="G4758">
        <v>11</v>
      </c>
      <c r="H4758">
        <v>567.23</v>
      </c>
      <c r="I4758">
        <v>6173.99</v>
      </c>
      <c r="J4758">
        <v>67</v>
      </c>
      <c r="K4758">
        <v>0</v>
      </c>
      <c r="L4758">
        <v>19.3</v>
      </c>
      <c r="M4758">
        <v>49.4</v>
      </c>
      <c r="N4758" t="s">
        <v>61</v>
      </c>
      <c r="O4758" t="s">
        <v>53</v>
      </c>
      <c r="P4758" t="s">
        <v>68</v>
      </c>
      <c r="R4758">
        <f>SUMIF(A4758:A9757,"C04757",I4758:I9757)</f>
        <v>6173.99</v>
      </c>
      <c r="S4758" s="1">
        <v>30916.73</v>
      </c>
      <c r="T4758">
        <f t="shared" si="538"/>
        <v>92.1491044776119</v>
      </c>
      <c r="U4758">
        <f t="shared" si="536"/>
        <v>3309.8</v>
      </c>
      <c r="V4758">
        <f t="shared" si="539"/>
        <v>275.816666666667</v>
      </c>
      <c r="W4758">
        <f t="shared" si="541"/>
        <v>2247.40666666667</v>
      </c>
      <c r="X4758">
        <f t="shared" si="537"/>
        <v>1.99037427498546</v>
      </c>
      <c r="AH4758" t="str">
        <f t="shared" si="542"/>
        <v>3rd Quality</v>
      </c>
      <c r="AJ4758">
        <f>((T4758-X4758)*2)/19.3</f>
        <v>9.34287359612709</v>
      </c>
      <c r="AK4758">
        <f t="shared" si="540"/>
        <v>104036.338955224</v>
      </c>
    </row>
    <row r="4759" spans="1:37">
      <c r="A4759" t="s">
        <v>4825</v>
      </c>
      <c r="B4759">
        <v>47</v>
      </c>
      <c r="C4759" t="s">
        <v>50</v>
      </c>
      <c r="D4759" t="s">
        <v>60</v>
      </c>
      <c r="E4759">
        <v>661</v>
      </c>
      <c r="F4759">
        <v>194</v>
      </c>
      <c r="G4759">
        <v>2</v>
      </c>
      <c r="H4759">
        <v>2185.43</v>
      </c>
      <c r="I4759">
        <v>4283.29</v>
      </c>
      <c r="J4759">
        <v>21</v>
      </c>
      <c r="K4759">
        <v>0</v>
      </c>
      <c r="L4759">
        <v>11.5</v>
      </c>
      <c r="M4759">
        <v>54.3</v>
      </c>
      <c r="N4759" t="s">
        <v>46</v>
      </c>
      <c r="O4759" t="s">
        <v>47</v>
      </c>
      <c r="P4759" t="s">
        <v>58</v>
      </c>
      <c r="R4759">
        <f>SUMIF(A4759:A9758,"C04758",I4759:I9758)</f>
        <v>4283.29</v>
      </c>
      <c r="S4759" s="1">
        <v>11536.92</v>
      </c>
      <c r="T4759">
        <f t="shared" si="538"/>
        <v>203.96619047619</v>
      </c>
      <c r="U4759">
        <f t="shared" si="536"/>
        <v>1140.3</v>
      </c>
      <c r="V4759">
        <f t="shared" si="539"/>
        <v>95.025</v>
      </c>
      <c r="W4759">
        <f t="shared" si="541"/>
        <v>2156.57333333333</v>
      </c>
      <c r="X4759">
        <f t="shared" si="537"/>
        <v>0.302457639915257</v>
      </c>
      <c r="AH4759" t="str">
        <f t="shared" si="542"/>
        <v>3rd Quality</v>
      </c>
      <c r="AJ4759">
        <f>((T4759-X4759)*2)/11.5</f>
        <v>35.4197796237</v>
      </c>
      <c r="AK4759">
        <f t="shared" si="540"/>
        <v>134821.651904762</v>
      </c>
    </row>
    <row r="4760" spans="1:37">
      <c r="A4760" t="s">
        <v>4826</v>
      </c>
      <c r="B4760">
        <v>18</v>
      </c>
      <c r="C4760" t="s">
        <v>50</v>
      </c>
      <c r="D4760" t="s">
        <v>45</v>
      </c>
      <c r="E4760">
        <v>1456</v>
      </c>
      <c r="F4760">
        <v>6</v>
      </c>
      <c r="G4760">
        <v>40</v>
      </c>
      <c r="H4760">
        <v>2471.45</v>
      </c>
      <c r="I4760">
        <v>93185.52</v>
      </c>
      <c r="J4760">
        <v>162</v>
      </c>
      <c r="K4760">
        <v>2</v>
      </c>
      <c r="L4760">
        <v>5.9</v>
      </c>
      <c r="M4760">
        <v>31.8</v>
      </c>
      <c r="N4760" t="s">
        <v>61</v>
      </c>
      <c r="O4760" t="s">
        <v>47</v>
      </c>
      <c r="P4760" t="s">
        <v>66</v>
      </c>
      <c r="R4760">
        <f>SUMIF(A4760:A9759,"C04759",I4760:I9759)</f>
        <v>93185.52</v>
      </c>
      <c r="S4760" s="1">
        <v>2747.09</v>
      </c>
      <c r="T4760">
        <f t="shared" si="538"/>
        <v>575.219259259259</v>
      </c>
      <c r="U4760">
        <f t="shared" si="536"/>
        <v>5151.6</v>
      </c>
      <c r="V4760">
        <f>U4760*2</f>
        <v>10303.2</v>
      </c>
      <c r="W4760">
        <f t="shared" si="541"/>
        <v>31885.99</v>
      </c>
      <c r="X4760">
        <f t="shared" si="537"/>
        <v>0.589127839932024</v>
      </c>
      <c r="AH4760" t="str">
        <f t="shared" si="542"/>
        <v>1st Quality</v>
      </c>
      <c r="AJ4760">
        <f>((T4760-X4760)*2)/5.9</f>
        <v>194.789875057399</v>
      </c>
      <c r="AK4760">
        <f t="shared" si="540"/>
        <v>837519.241481481</v>
      </c>
    </row>
    <row r="4761" spans="1:37">
      <c r="A4761" t="s">
        <v>4827</v>
      </c>
      <c r="B4761">
        <v>25</v>
      </c>
      <c r="C4761" t="s">
        <v>50</v>
      </c>
      <c r="D4761" t="s">
        <v>45</v>
      </c>
      <c r="E4761">
        <v>795</v>
      </c>
      <c r="F4761">
        <v>365</v>
      </c>
      <c r="G4761">
        <v>3</v>
      </c>
      <c r="H4761">
        <v>1418.82</v>
      </c>
      <c r="I4761">
        <v>4666.88</v>
      </c>
      <c r="J4761">
        <v>16</v>
      </c>
      <c r="K4761">
        <v>0</v>
      </c>
      <c r="L4761">
        <v>15.7</v>
      </c>
      <c r="M4761">
        <v>28.8</v>
      </c>
      <c r="N4761" t="s">
        <v>46</v>
      </c>
      <c r="O4761" t="s">
        <v>47</v>
      </c>
      <c r="P4761" t="s">
        <v>58</v>
      </c>
      <c r="R4761">
        <f>SUMIF(A4761:A9760,"C04760",I4761:I9760)</f>
        <v>4666.88</v>
      </c>
      <c r="S4761" s="1">
        <v>38643.17</v>
      </c>
      <c r="T4761">
        <f t="shared" si="538"/>
        <v>291.68</v>
      </c>
      <c r="U4761">
        <f t="shared" si="536"/>
        <v>460.8</v>
      </c>
      <c r="V4761">
        <f t="shared" si="539"/>
        <v>38.4</v>
      </c>
      <c r="W4761">
        <f t="shared" si="541"/>
        <v>2028.9</v>
      </c>
      <c r="X4761">
        <f t="shared" si="537"/>
        <v>0.560324776927306</v>
      </c>
      <c r="AH4761" t="str">
        <f t="shared" si="542"/>
        <v>3rd Quality</v>
      </c>
      <c r="AJ4761">
        <f>((T4761-X4761)*2)/15.7</f>
        <v>37.0853089456144</v>
      </c>
      <c r="AK4761">
        <f t="shared" si="540"/>
        <v>231885.6</v>
      </c>
    </row>
    <row r="4762" spans="1:37">
      <c r="A4762" t="s">
        <v>4828</v>
      </c>
      <c r="B4762">
        <v>18</v>
      </c>
      <c r="C4762" t="s">
        <v>44</v>
      </c>
      <c r="D4762" t="s">
        <v>45</v>
      </c>
      <c r="E4762">
        <v>1059</v>
      </c>
      <c r="F4762">
        <v>13</v>
      </c>
      <c r="G4762">
        <v>2</v>
      </c>
      <c r="H4762">
        <v>14695.87</v>
      </c>
      <c r="I4762">
        <v>30916.73</v>
      </c>
      <c r="J4762">
        <v>14</v>
      </c>
      <c r="K4762">
        <v>0</v>
      </c>
      <c r="L4762">
        <v>11.4</v>
      </c>
      <c r="M4762">
        <v>29.3</v>
      </c>
      <c r="N4762" t="s">
        <v>61</v>
      </c>
      <c r="O4762" t="s">
        <v>47</v>
      </c>
      <c r="P4762" t="s">
        <v>66</v>
      </c>
      <c r="R4762">
        <f>SUMIF(A4762:A9761,"C04761",I4762:I9761)</f>
        <v>30916.73</v>
      </c>
      <c r="S4762" s="1">
        <v>14944.11</v>
      </c>
      <c r="T4762">
        <f t="shared" si="538"/>
        <v>2208.33785714286</v>
      </c>
      <c r="U4762">
        <f t="shared" si="536"/>
        <v>410.2</v>
      </c>
      <c r="V4762">
        <f t="shared" si="539"/>
        <v>34.1833333333333</v>
      </c>
      <c r="W4762">
        <f t="shared" si="541"/>
        <v>15204.5333333333</v>
      </c>
      <c r="X4762">
        <f t="shared" si="537"/>
        <v>0.0720610620534885</v>
      </c>
      <c r="AH4762" t="str">
        <f t="shared" si="542"/>
        <v>1st Quality</v>
      </c>
      <c r="AJ4762">
        <f>((T4762-X4762)*2)/11.4</f>
        <v>387.415051944001</v>
      </c>
      <c r="AK4762">
        <f t="shared" si="540"/>
        <v>2338629.79071429</v>
      </c>
    </row>
    <row r="4763" spans="1:37">
      <c r="A4763" t="s">
        <v>4829</v>
      </c>
      <c r="B4763">
        <v>53</v>
      </c>
      <c r="C4763" t="s">
        <v>50</v>
      </c>
      <c r="D4763" t="s">
        <v>51</v>
      </c>
      <c r="E4763">
        <v>1385</v>
      </c>
      <c r="F4763">
        <v>21</v>
      </c>
      <c r="G4763">
        <v>2</v>
      </c>
      <c r="H4763">
        <v>5734.5</v>
      </c>
      <c r="I4763">
        <v>11536.92</v>
      </c>
      <c r="J4763">
        <v>24</v>
      </c>
      <c r="K4763">
        <v>0</v>
      </c>
      <c r="L4763">
        <v>6.9</v>
      </c>
      <c r="M4763">
        <v>51.2</v>
      </c>
      <c r="N4763" t="s">
        <v>61</v>
      </c>
      <c r="O4763" t="s">
        <v>75</v>
      </c>
      <c r="P4763" t="s">
        <v>48</v>
      </c>
      <c r="R4763">
        <f>SUMIF(A4763:A9762,"C04762",I4763:I9762)</f>
        <v>11536.92</v>
      </c>
      <c r="S4763" s="1">
        <v>10864.79</v>
      </c>
      <c r="T4763">
        <f t="shared" si="538"/>
        <v>480.705</v>
      </c>
      <c r="U4763">
        <f t="shared" si="536"/>
        <v>1228.8</v>
      </c>
      <c r="V4763">
        <f t="shared" si="539"/>
        <v>102.4</v>
      </c>
      <c r="W4763">
        <f t="shared" si="541"/>
        <v>5757.47333333333</v>
      </c>
      <c r="X4763">
        <f t="shared" si="537"/>
        <v>0.241520620803906</v>
      </c>
      <c r="AH4763" t="str">
        <f t="shared" si="542"/>
        <v>3rd Quality</v>
      </c>
      <c r="AJ4763">
        <f>((T4763-X4763)*2)/6.9</f>
        <v>139.264776631651</v>
      </c>
      <c r="AK4763">
        <f t="shared" si="540"/>
        <v>665776.425</v>
      </c>
    </row>
    <row r="4764" spans="1:37">
      <c r="A4764" t="s">
        <v>4830</v>
      </c>
      <c r="B4764">
        <v>32</v>
      </c>
      <c r="C4764" t="s">
        <v>44</v>
      </c>
      <c r="D4764" t="s">
        <v>60</v>
      </c>
      <c r="E4764">
        <v>1302</v>
      </c>
      <c r="F4764">
        <v>276</v>
      </c>
      <c r="G4764">
        <v>3</v>
      </c>
      <c r="H4764">
        <v>932.76</v>
      </c>
      <c r="I4764">
        <v>2747.09</v>
      </c>
      <c r="J4764">
        <v>14</v>
      </c>
      <c r="K4764">
        <v>0</v>
      </c>
      <c r="L4764">
        <v>21.7</v>
      </c>
      <c r="M4764">
        <v>13.6</v>
      </c>
      <c r="N4764" t="s">
        <v>81</v>
      </c>
      <c r="O4764" t="s">
        <v>47</v>
      </c>
      <c r="P4764" t="s">
        <v>58</v>
      </c>
      <c r="R4764">
        <f>SUMIF(A4764:A9763,"C04763",I4764:I9763)</f>
        <v>2747.09</v>
      </c>
      <c r="S4764" s="1">
        <v>8335.92</v>
      </c>
      <c r="T4764">
        <f t="shared" si="538"/>
        <v>196.220714285714</v>
      </c>
      <c r="U4764">
        <f t="shared" si="536"/>
        <v>190.4</v>
      </c>
      <c r="V4764">
        <f t="shared" si="539"/>
        <v>15.8666666666667</v>
      </c>
      <c r="W4764">
        <f t="shared" si="541"/>
        <v>1226.95</v>
      </c>
      <c r="X4764">
        <f t="shared" si="537"/>
        <v>1.39585745529397</v>
      </c>
      <c r="AH4764" t="str">
        <f t="shared" si="542"/>
        <v>3rd Quality</v>
      </c>
      <c r="AJ4764">
        <f>((T4764-X4764)*2)/21.7</f>
        <v>17.9562080028037</v>
      </c>
      <c r="AK4764">
        <f t="shared" si="540"/>
        <v>255479.37</v>
      </c>
    </row>
    <row r="4765" spans="1:37">
      <c r="A4765" t="s">
        <v>4831</v>
      </c>
      <c r="B4765">
        <v>18</v>
      </c>
      <c r="C4765" t="s">
        <v>44</v>
      </c>
      <c r="D4765" t="s">
        <v>60</v>
      </c>
      <c r="E4765">
        <v>1057</v>
      </c>
      <c r="F4765">
        <v>90</v>
      </c>
      <c r="G4765">
        <v>10</v>
      </c>
      <c r="H4765">
        <v>3998.23</v>
      </c>
      <c r="I4765">
        <v>38643.17</v>
      </c>
      <c r="J4765">
        <v>89</v>
      </c>
      <c r="K4765">
        <v>0</v>
      </c>
      <c r="L4765">
        <v>13.4</v>
      </c>
      <c r="M4765">
        <v>21.2</v>
      </c>
      <c r="N4765" t="s">
        <v>57</v>
      </c>
      <c r="O4765" t="s">
        <v>53</v>
      </c>
      <c r="P4765" t="s">
        <v>58</v>
      </c>
      <c r="R4765">
        <f>SUMIF(A4765:A9764,"C04764",I4765:I9764)</f>
        <v>38643.17</v>
      </c>
      <c r="S4765" s="1">
        <v>5155.5</v>
      </c>
      <c r="T4765">
        <f t="shared" si="538"/>
        <v>434.192921348315</v>
      </c>
      <c r="U4765">
        <f t="shared" si="536"/>
        <v>1886.8</v>
      </c>
      <c r="V4765">
        <f t="shared" si="539"/>
        <v>157.233333333333</v>
      </c>
      <c r="W4765">
        <f t="shared" si="541"/>
        <v>14214.1333333333</v>
      </c>
      <c r="X4765">
        <f t="shared" si="537"/>
        <v>0.264366982389707</v>
      </c>
      <c r="AH4765" t="str">
        <f t="shared" si="542"/>
        <v>1st Quality</v>
      </c>
      <c r="AJ4765">
        <f>((T4765-X4765)*2)/13.4</f>
        <v>64.7654558755112</v>
      </c>
      <c r="AK4765">
        <f t="shared" si="540"/>
        <v>458941.917865169</v>
      </c>
    </row>
    <row r="4766" spans="1:37">
      <c r="A4766" t="s">
        <v>4832</v>
      </c>
      <c r="B4766">
        <v>34</v>
      </c>
      <c r="C4766" t="s">
        <v>101</v>
      </c>
      <c r="D4766" t="s">
        <v>51</v>
      </c>
      <c r="E4766">
        <v>971</v>
      </c>
      <c r="F4766">
        <v>52</v>
      </c>
      <c r="G4766">
        <v>7</v>
      </c>
      <c r="H4766">
        <v>2187.82</v>
      </c>
      <c r="I4766">
        <v>14944.11</v>
      </c>
      <c r="J4766">
        <v>61</v>
      </c>
      <c r="K4766">
        <v>0</v>
      </c>
      <c r="L4766">
        <v>20</v>
      </c>
      <c r="M4766">
        <v>41</v>
      </c>
      <c r="N4766" t="s">
        <v>46</v>
      </c>
      <c r="O4766" t="s">
        <v>47</v>
      </c>
      <c r="P4766" t="s">
        <v>68</v>
      </c>
      <c r="R4766">
        <f>SUMIF(A4766:A9765,"C04765",I4766:I9765)</f>
        <v>14944.11</v>
      </c>
      <c r="S4766" s="1">
        <v>82274.88</v>
      </c>
      <c r="T4766">
        <f t="shared" si="538"/>
        <v>244.985409836066</v>
      </c>
      <c r="U4766">
        <f t="shared" si="536"/>
        <v>2501</v>
      </c>
      <c r="V4766">
        <f t="shared" si="539"/>
        <v>208.416666666667</v>
      </c>
      <c r="W4766">
        <f t="shared" si="541"/>
        <v>5710.97666666667</v>
      </c>
      <c r="X4766">
        <f t="shared" si="537"/>
        <v>0.443820789644486</v>
      </c>
      <c r="AH4766" t="str">
        <f t="shared" si="542"/>
        <v>3rd Quality</v>
      </c>
      <c r="AJ4766">
        <f>((T4766-X4766)*2)/20</f>
        <v>24.4541589046421</v>
      </c>
      <c r="AK4766">
        <f t="shared" si="540"/>
        <v>237880.83295082</v>
      </c>
    </row>
    <row r="4767" spans="1:37">
      <c r="A4767" t="s">
        <v>4833</v>
      </c>
      <c r="B4767">
        <v>21</v>
      </c>
      <c r="C4767" t="s">
        <v>44</v>
      </c>
      <c r="D4767" t="s">
        <v>45</v>
      </c>
      <c r="E4767">
        <v>684</v>
      </c>
      <c r="F4767">
        <v>45</v>
      </c>
      <c r="G4767">
        <v>5</v>
      </c>
      <c r="H4767">
        <v>2002.96</v>
      </c>
      <c r="I4767">
        <v>10864.79</v>
      </c>
      <c r="J4767">
        <v>43</v>
      </c>
      <c r="K4767">
        <v>0</v>
      </c>
      <c r="L4767">
        <v>21.5</v>
      </c>
      <c r="M4767">
        <v>42.6</v>
      </c>
      <c r="N4767" t="s">
        <v>57</v>
      </c>
      <c r="O4767" t="s">
        <v>47</v>
      </c>
      <c r="P4767" t="s">
        <v>58</v>
      </c>
      <c r="R4767">
        <f>SUMIF(A4767:A9766,"C04766",I4767:I9766)</f>
        <v>10864.79</v>
      </c>
      <c r="S4767" s="1">
        <v>9900.59</v>
      </c>
      <c r="T4767">
        <f t="shared" si="538"/>
        <v>252.669534883721</v>
      </c>
      <c r="U4767">
        <f t="shared" si="536"/>
        <v>1831.8</v>
      </c>
      <c r="V4767">
        <f t="shared" si="539"/>
        <v>152.65</v>
      </c>
      <c r="W4767">
        <f t="shared" si="541"/>
        <v>4289.58333333333</v>
      </c>
      <c r="X4767">
        <f t="shared" si="537"/>
        <v>0.341494588009746</v>
      </c>
      <c r="AH4767" t="str">
        <f t="shared" si="542"/>
        <v>3rd Quality</v>
      </c>
      <c r="AJ4767">
        <f>((T4767-X4767)*2)/21.5</f>
        <v>23.4723758414615</v>
      </c>
      <c r="AK4767">
        <f t="shared" si="540"/>
        <v>172825.961860465</v>
      </c>
    </row>
    <row r="4768" spans="1:37">
      <c r="A4768" t="s">
        <v>4834</v>
      </c>
      <c r="B4768">
        <v>43</v>
      </c>
      <c r="C4768" t="s">
        <v>50</v>
      </c>
      <c r="D4768" t="s">
        <v>51</v>
      </c>
      <c r="E4768">
        <v>563</v>
      </c>
      <c r="F4768">
        <v>52</v>
      </c>
      <c r="G4768">
        <v>1</v>
      </c>
      <c r="H4768">
        <v>8496.16</v>
      </c>
      <c r="I4768">
        <v>8335.92</v>
      </c>
      <c r="J4768">
        <v>15</v>
      </c>
      <c r="K4768">
        <v>0</v>
      </c>
      <c r="L4768">
        <v>9.4</v>
      </c>
      <c r="M4768">
        <v>44</v>
      </c>
      <c r="N4768" t="s">
        <v>81</v>
      </c>
      <c r="O4768" t="s">
        <v>47</v>
      </c>
      <c r="P4768" t="s">
        <v>66</v>
      </c>
      <c r="R4768">
        <f>SUMIF(A4768:A9767,"C04767",I4768:I9767)</f>
        <v>8335.92</v>
      </c>
      <c r="S4768" s="1">
        <v>55924.44</v>
      </c>
      <c r="T4768">
        <f t="shared" si="538"/>
        <v>555.728</v>
      </c>
      <c r="U4768">
        <f t="shared" si="536"/>
        <v>660</v>
      </c>
      <c r="V4768">
        <f t="shared" si="539"/>
        <v>55</v>
      </c>
      <c r="W4768">
        <f t="shared" si="541"/>
        <v>5611.02666666667</v>
      </c>
      <c r="X4768">
        <f t="shared" si="537"/>
        <v>0.0662652304099735</v>
      </c>
      <c r="AH4768" t="str">
        <f t="shared" si="542"/>
        <v>3rd Quality</v>
      </c>
      <c r="AJ4768">
        <f>((T4768-X4768)*2)/9.4</f>
        <v>118.225901014806</v>
      </c>
      <c r="AK4768">
        <f t="shared" si="540"/>
        <v>312874.864</v>
      </c>
    </row>
    <row r="4769" spans="1:37">
      <c r="A4769" t="s">
        <v>4835</v>
      </c>
      <c r="B4769">
        <v>25</v>
      </c>
      <c r="C4769" t="s">
        <v>44</v>
      </c>
      <c r="D4769" t="s">
        <v>51</v>
      </c>
      <c r="E4769">
        <v>464</v>
      </c>
      <c r="F4769">
        <v>62</v>
      </c>
      <c r="G4769">
        <v>1</v>
      </c>
      <c r="H4769">
        <v>5851.5</v>
      </c>
      <c r="I4769">
        <v>5155.5</v>
      </c>
      <c r="J4769">
        <v>8</v>
      </c>
      <c r="K4769">
        <v>0</v>
      </c>
      <c r="L4769">
        <v>1.7</v>
      </c>
      <c r="M4769">
        <v>40</v>
      </c>
      <c r="N4769" t="s">
        <v>63</v>
      </c>
      <c r="O4769" t="s">
        <v>47</v>
      </c>
      <c r="P4769" t="s">
        <v>48</v>
      </c>
      <c r="R4769">
        <f>SUMIF(A4769:A9768,"C04768",I4769:I9768)</f>
        <v>5155.5</v>
      </c>
      <c r="S4769" s="1">
        <v>8559.23</v>
      </c>
      <c r="T4769">
        <f t="shared" si="538"/>
        <v>644.4375</v>
      </c>
      <c r="U4769">
        <f t="shared" si="536"/>
        <v>320</v>
      </c>
      <c r="V4769">
        <f t="shared" si="539"/>
        <v>26.6666666666667</v>
      </c>
      <c r="W4769">
        <f t="shared" si="541"/>
        <v>3669.33333333333</v>
      </c>
      <c r="X4769">
        <f t="shared" si="537"/>
        <v>0.0792959070323849</v>
      </c>
      <c r="AH4769" t="str">
        <f t="shared" si="542"/>
        <v>3rd Quality</v>
      </c>
      <c r="AJ4769">
        <f>((T4769-X4769)*2)/1.7</f>
        <v>758.068475403491</v>
      </c>
      <c r="AK4769">
        <f t="shared" si="540"/>
        <v>299019</v>
      </c>
    </row>
    <row r="4770" spans="1:37">
      <c r="A4770" t="s">
        <v>4836</v>
      </c>
      <c r="B4770">
        <v>30</v>
      </c>
      <c r="C4770" t="s">
        <v>44</v>
      </c>
      <c r="D4770" t="s">
        <v>45</v>
      </c>
      <c r="E4770">
        <v>387</v>
      </c>
      <c r="F4770">
        <v>24</v>
      </c>
      <c r="G4770">
        <v>17</v>
      </c>
      <c r="H4770">
        <v>4393.42</v>
      </c>
      <c r="I4770">
        <v>82274.88</v>
      </c>
      <c r="J4770">
        <v>92</v>
      </c>
      <c r="K4770">
        <v>2</v>
      </c>
      <c r="L4770">
        <v>9.3</v>
      </c>
      <c r="M4770">
        <v>34.2</v>
      </c>
      <c r="N4770" t="s">
        <v>57</v>
      </c>
      <c r="O4770" t="s">
        <v>47</v>
      </c>
      <c r="P4770" t="s">
        <v>68</v>
      </c>
      <c r="R4770">
        <f>SUMIF(A4770:A9769,"C04769",I4770:I9769)</f>
        <v>82274.88</v>
      </c>
      <c r="S4770" s="1">
        <v>119459.81</v>
      </c>
      <c r="T4770">
        <f t="shared" si="538"/>
        <v>894.292173913043</v>
      </c>
      <c r="U4770">
        <f t="shared" ref="U4770:U4833" si="543">J4770*M4770</f>
        <v>3146.4</v>
      </c>
      <c r="V4770">
        <f>U4770*2</f>
        <v>6292.8</v>
      </c>
      <c r="W4770">
        <f t="shared" si="541"/>
        <v>28889.7666666667</v>
      </c>
      <c r="X4770">
        <f t="shared" si="537"/>
        <v>0.0880862744740999</v>
      </c>
      <c r="AH4770" t="str">
        <f t="shared" si="542"/>
        <v>3rd Quality</v>
      </c>
      <c r="AJ4770">
        <f>((T4770-X4770)*2)/9.3</f>
        <v>192.301954330875</v>
      </c>
      <c r="AK4770">
        <f t="shared" si="540"/>
        <v>346091.071304348</v>
      </c>
    </row>
    <row r="4771" spans="1:37">
      <c r="A4771" t="s">
        <v>4837</v>
      </c>
      <c r="B4771">
        <v>18</v>
      </c>
      <c r="C4771" t="s">
        <v>50</v>
      </c>
      <c r="D4771" t="s">
        <v>60</v>
      </c>
      <c r="E4771">
        <v>903</v>
      </c>
      <c r="F4771">
        <v>136</v>
      </c>
      <c r="G4771">
        <v>4</v>
      </c>
      <c r="H4771">
        <v>2421.19</v>
      </c>
      <c r="I4771">
        <v>9900.59</v>
      </c>
      <c r="J4771">
        <v>36</v>
      </c>
      <c r="K4771">
        <v>0</v>
      </c>
      <c r="L4771">
        <v>36.4</v>
      </c>
      <c r="M4771">
        <v>21.5</v>
      </c>
      <c r="N4771" t="s">
        <v>52</v>
      </c>
      <c r="O4771" t="s">
        <v>47</v>
      </c>
      <c r="P4771" t="s">
        <v>58</v>
      </c>
      <c r="R4771">
        <f>SUMIF(A4771:A9770,"C04770",I4771:I9770)</f>
        <v>9900.59</v>
      </c>
      <c r="S4771" s="1">
        <v>8113.74</v>
      </c>
      <c r="T4771">
        <f t="shared" si="538"/>
        <v>275.016388888889</v>
      </c>
      <c r="U4771">
        <f t="shared" si="543"/>
        <v>774</v>
      </c>
      <c r="V4771">
        <f t="shared" si="539"/>
        <v>64.5</v>
      </c>
      <c r="W4771">
        <f t="shared" si="541"/>
        <v>4107.59333333333</v>
      </c>
      <c r="X4771">
        <f t="shared" si="537"/>
        <v>0.372957099608044</v>
      </c>
      <c r="AH4771" t="str">
        <f t="shared" si="542"/>
        <v>3rd Quality</v>
      </c>
      <c r="AJ4771">
        <f>((T4771-X4771)*2)/36.4</f>
        <v>15.0902984499605</v>
      </c>
      <c r="AK4771">
        <f t="shared" si="540"/>
        <v>248339.799166667</v>
      </c>
    </row>
    <row r="4772" spans="1:37">
      <c r="A4772" t="s">
        <v>4838</v>
      </c>
      <c r="B4772">
        <v>27</v>
      </c>
      <c r="C4772" t="s">
        <v>50</v>
      </c>
      <c r="D4772" t="s">
        <v>51</v>
      </c>
      <c r="E4772">
        <v>751</v>
      </c>
      <c r="F4772">
        <v>34</v>
      </c>
      <c r="G4772">
        <v>7</v>
      </c>
      <c r="H4772">
        <v>8686.16</v>
      </c>
      <c r="I4772">
        <v>55924.44</v>
      </c>
      <c r="J4772">
        <v>61</v>
      </c>
      <c r="K4772">
        <v>1</v>
      </c>
      <c r="L4772">
        <v>6.9</v>
      </c>
      <c r="M4772">
        <v>6.2</v>
      </c>
      <c r="N4772" t="s">
        <v>61</v>
      </c>
      <c r="O4772" t="s">
        <v>47</v>
      </c>
      <c r="P4772" t="s">
        <v>48</v>
      </c>
      <c r="R4772">
        <f>SUMIF(A4772:A9771,"C04771",I4772:I9771)</f>
        <v>55924.44</v>
      </c>
      <c r="S4772" s="1">
        <v>58466.88</v>
      </c>
      <c r="T4772">
        <f t="shared" si="538"/>
        <v>916.794098360656</v>
      </c>
      <c r="U4772">
        <f t="shared" si="543"/>
        <v>378.2</v>
      </c>
      <c r="V4772">
        <f>U4772*1</f>
        <v>378.2</v>
      </c>
      <c r="W4772">
        <f t="shared" si="541"/>
        <v>21537.2</v>
      </c>
      <c r="X4772">
        <f t="shared" si="537"/>
        <v>0.0864593790581799</v>
      </c>
      <c r="AH4772" t="str">
        <f t="shared" si="542"/>
        <v>2nd Quality</v>
      </c>
      <c r="AJ4772">
        <f>((T4772-X4772)*2)/6.9</f>
        <v>265.712359125101</v>
      </c>
      <c r="AK4772">
        <f t="shared" si="540"/>
        <v>688512.367868852</v>
      </c>
    </row>
    <row r="4773" spans="1:37">
      <c r="A4773" t="s">
        <v>4839</v>
      </c>
      <c r="B4773">
        <v>30</v>
      </c>
      <c r="C4773" t="s">
        <v>44</v>
      </c>
      <c r="D4773" t="s">
        <v>51</v>
      </c>
      <c r="E4773">
        <v>1014</v>
      </c>
      <c r="F4773">
        <v>17</v>
      </c>
      <c r="G4773">
        <v>11</v>
      </c>
      <c r="H4773">
        <v>854.71</v>
      </c>
      <c r="I4773">
        <v>8559.23</v>
      </c>
      <c r="J4773">
        <v>66</v>
      </c>
      <c r="K4773">
        <v>0</v>
      </c>
      <c r="L4773">
        <v>30.9</v>
      </c>
      <c r="M4773">
        <v>16.8</v>
      </c>
      <c r="N4773" t="s">
        <v>61</v>
      </c>
      <c r="O4773" t="s">
        <v>47</v>
      </c>
      <c r="P4773" t="s">
        <v>58</v>
      </c>
      <c r="R4773">
        <f>SUMIF(A4773:A9772,"C04772",I4773:I9772)</f>
        <v>8559.23</v>
      </c>
      <c r="S4773" s="1">
        <v>25163.75</v>
      </c>
      <c r="T4773">
        <f t="shared" si="538"/>
        <v>129.685303030303</v>
      </c>
      <c r="U4773">
        <f t="shared" si="543"/>
        <v>1108.8</v>
      </c>
      <c r="V4773">
        <f t="shared" si="539"/>
        <v>92.4</v>
      </c>
      <c r="W4773">
        <f t="shared" si="541"/>
        <v>3138.31333333333</v>
      </c>
      <c r="X4773">
        <f t="shared" si="537"/>
        <v>1.18636730586983</v>
      </c>
      <c r="AH4773" t="str">
        <f t="shared" si="542"/>
        <v>3rd Quality</v>
      </c>
      <c r="AJ4773">
        <f>((T4773-X4773)*2)/30.9</f>
        <v>8.31708321840991</v>
      </c>
      <c r="AK4773">
        <f t="shared" si="540"/>
        <v>131500.897272727</v>
      </c>
    </row>
    <row r="4774" spans="1:37">
      <c r="A4774" t="s">
        <v>4840</v>
      </c>
      <c r="B4774">
        <v>35</v>
      </c>
      <c r="C4774" t="s">
        <v>44</v>
      </c>
      <c r="D4774" t="s">
        <v>45</v>
      </c>
      <c r="E4774">
        <v>927</v>
      </c>
      <c r="F4774">
        <v>12</v>
      </c>
      <c r="G4774">
        <v>24</v>
      </c>
      <c r="H4774">
        <v>5129.43</v>
      </c>
      <c r="I4774">
        <v>119459.81</v>
      </c>
      <c r="J4774">
        <v>130</v>
      </c>
      <c r="K4774">
        <v>1</v>
      </c>
      <c r="L4774">
        <v>2.6</v>
      </c>
      <c r="M4774">
        <v>6</v>
      </c>
      <c r="N4774" t="s">
        <v>57</v>
      </c>
      <c r="O4774" t="s">
        <v>47</v>
      </c>
      <c r="P4774" t="s">
        <v>48</v>
      </c>
      <c r="R4774">
        <f>SUMIF(A4774:A9773,"C04773",I4774:I9773)</f>
        <v>119459.81</v>
      </c>
      <c r="S4774" s="1">
        <v>1508704</v>
      </c>
      <c r="T4774">
        <f t="shared" si="538"/>
        <v>918.921615384615</v>
      </c>
      <c r="U4774">
        <f t="shared" si="543"/>
        <v>780</v>
      </c>
      <c r="V4774">
        <f>U4774*1</f>
        <v>780</v>
      </c>
      <c r="W4774">
        <f t="shared" si="541"/>
        <v>41530.08</v>
      </c>
      <c r="X4774">
        <f t="shared" ref="X4774:X4837" si="544">E4774/H4774</f>
        <v>0.180721834589808</v>
      </c>
      <c r="AH4774" t="str">
        <f t="shared" si="542"/>
        <v>2nd Quality</v>
      </c>
      <c r="AJ4774">
        <f>((T4774-X4774)*2)/2.6</f>
        <v>706.72376426925</v>
      </c>
      <c r="AK4774">
        <f t="shared" si="540"/>
        <v>851840.337461538</v>
      </c>
    </row>
    <row r="4775" spans="1:37">
      <c r="A4775" t="s">
        <v>4841</v>
      </c>
      <c r="B4775">
        <v>54</v>
      </c>
      <c r="C4775" t="s">
        <v>50</v>
      </c>
      <c r="D4775" t="s">
        <v>51</v>
      </c>
      <c r="E4775">
        <v>1099</v>
      </c>
      <c r="F4775">
        <v>96</v>
      </c>
      <c r="G4775">
        <v>9</v>
      </c>
      <c r="H4775">
        <v>877.88</v>
      </c>
      <c r="I4775">
        <v>8113.74</v>
      </c>
      <c r="J4775">
        <v>77</v>
      </c>
      <c r="K4775">
        <v>0</v>
      </c>
      <c r="L4775">
        <v>24.4</v>
      </c>
      <c r="M4775">
        <v>60.7</v>
      </c>
      <c r="N4775" t="s">
        <v>81</v>
      </c>
      <c r="O4775" t="s">
        <v>75</v>
      </c>
      <c r="P4775" t="s">
        <v>68</v>
      </c>
      <c r="R4775">
        <f>SUMIF(A4775:A9774,"C04774",I4775:I9774)</f>
        <v>8113.74</v>
      </c>
      <c r="S4775" s="1">
        <v>48204.6</v>
      </c>
      <c r="T4775">
        <f t="shared" si="538"/>
        <v>105.373246753247</v>
      </c>
      <c r="U4775">
        <f t="shared" si="543"/>
        <v>4673.9</v>
      </c>
      <c r="V4775">
        <f t="shared" si="539"/>
        <v>389.491666666667</v>
      </c>
      <c r="W4775">
        <f t="shared" si="541"/>
        <v>2997.54</v>
      </c>
      <c r="X4775">
        <f t="shared" si="544"/>
        <v>1.25187952795371</v>
      </c>
      <c r="AH4775" t="str">
        <f t="shared" si="542"/>
        <v>3rd Quality</v>
      </c>
      <c r="AJ4775">
        <f>((T4775-X4775)*2)/24.4</f>
        <v>8.53453829715519</v>
      </c>
      <c r="AK4775">
        <f t="shared" si="540"/>
        <v>115805.198181818</v>
      </c>
    </row>
    <row r="4776" spans="1:37">
      <c r="A4776" t="s">
        <v>4842</v>
      </c>
      <c r="B4776">
        <v>18</v>
      </c>
      <c r="C4776" t="s">
        <v>44</v>
      </c>
      <c r="D4776" t="s">
        <v>45</v>
      </c>
      <c r="E4776">
        <v>581</v>
      </c>
      <c r="F4776">
        <v>1</v>
      </c>
      <c r="G4776">
        <v>19</v>
      </c>
      <c r="H4776">
        <v>2783.79</v>
      </c>
      <c r="I4776">
        <v>58466.88</v>
      </c>
      <c r="J4776">
        <v>100</v>
      </c>
      <c r="K4776">
        <v>1</v>
      </c>
      <c r="L4776">
        <v>13</v>
      </c>
      <c r="M4776">
        <v>56.1</v>
      </c>
      <c r="N4776" t="s">
        <v>61</v>
      </c>
      <c r="O4776" t="s">
        <v>75</v>
      </c>
      <c r="P4776" t="s">
        <v>66</v>
      </c>
      <c r="R4776">
        <f>SUMIF(A4776:A9775,"C04775",I4776:I9775)</f>
        <v>58466.88</v>
      </c>
      <c r="S4776" s="1">
        <v>12821.53</v>
      </c>
      <c r="T4776">
        <f t="shared" si="538"/>
        <v>584.6688</v>
      </c>
      <c r="U4776">
        <f t="shared" si="543"/>
        <v>5610</v>
      </c>
      <c r="V4776">
        <f>U4776*1</f>
        <v>5610</v>
      </c>
      <c r="W4776">
        <f t="shared" si="541"/>
        <v>20417.2233333333</v>
      </c>
      <c r="X4776">
        <f t="shared" si="544"/>
        <v>0.20870827181648</v>
      </c>
      <c r="AH4776" t="str">
        <f t="shared" si="542"/>
        <v>2nd Quality</v>
      </c>
      <c r="AJ4776">
        <f>((T4776-X4776)*2)/13</f>
        <v>89.9169371889513</v>
      </c>
      <c r="AK4776">
        <f t="shared" si="540"/>
        <v>339692.5728</v>
      </c>
    </row>
    <row r="4777" spans="1:37">
      <c r="A4777" t="s">
        <v>4843</v>
      </c>
      <c r="B4777">
        <v>40</v>
      </c>
      <c r="C4777" t="s">
        <v>50</v>
      </c>
      <c r="D4777" t="s">
        <v>60</v>
      </c>
      <c r="E4777">
        <v>549</v>
      </c>
      <c r="F4777">
        <v>22</v>
      </c>
      <c r="G4777">
        <v>24</v>
      </c>
      <c r="H4777">
        <v>1174.03</v>
      </c>
      <c r="I4777">
        <v>25163.75</v>
      </c>
      <c r="J4777">
        <v>198</v>
      </c>
      <c r="K4777">
        <v>1</v>
      </c>
      <c r="L4777">
        <v>11.2</v>
      </c>
      <c r="M4777">
        <v>29.2</v>
      </c>
      <c r="N4777" t="s">
        <v>52</v>
      </c>
      <c r="O4777" t="s">
        <v>47</v>
      </c>
      <c r="P4777" t="s">
        <v>66</v>
      </c>
      <c r="R4777">
        <f>SUMIF(A4777:A9776,"C04776",I4777:I9776)</f>
        <v>25163.75</v>
      </c>
      <c r="S4777" s="1">
        <v>28061.74</v>
      </c>
      <c r="T4777">
        <f t="shared" si="538"/>
        <v>127.089646464646</v>
      </c>
      <c r="U4777">
        <f t="shared" si="543"/>
        <v>5781.6</v>
      </c>
      <c r="V4777">
        <f>U4777*1</f>
        <v>5781.6</v>
      </c>
      <c r="W4777">
        <f t="shared" si="541"/>
        <v>8779.59333333333</v>
      </c>
      <c r="X4777">
        <f t="shared" si="544"/>
        <v>0.467620077851503</v>
      </c>
      <c r="AH4777" t="str">
        <f t="shared" si="542"/>
        <v>2nd Quality</v>
      </c>
      <c r="AJ4777">
        <f>((T4777-X4777)*2)/11.2</f>
        <v>22.611076140499</v>
      </c>
      <c r="AK4777">
        <f t="shared" si="540"/>
        <v>69772.2159090909</v>
      </c>
    </row>
    <row r="4778" spans="1:37">
      <c r="A4778" t="s">
        <v>4844</v>
      </c>
      <c r="B4778">
        <v>27</v>
      </c>
      <c r="C4778" t="s">
        <v>50</v>
      </c>
      <c r="D4778" t="s">
        <v>60</v>
      </c>
      <c r="E4778">
        <v>508</v>
      </c>
      <c r="F4778">
        <v>40</v>
      </c>
      <c r="G4778">
        <v>13</v>
      </c>
      <c r="H4778">
        <v>1203.05</v>
      </c>
      <c r="I4778">
        <v>1508704</v>
      </c>
      <c r="J4778">
        <v>98</v>
      </c>
      <c r="K4778">
        <v>2</v>
      </c>
      <c r="L4778">
        <v>20</v>
      </c>
      <c r="M4778">
        <v>20.7</v>
      </c>
      <c r="N4778" t="s">
        <v>57</v>
      </c>
      <c r="O4778" t="s">
        <v>53</v>
      </c>
      <c r="P4778" t="s">
        <v>68</v>
      </c>
      <c r="R4778">
        <f>SUMIF(A4778:A9777,"C04777",I4778:I9777)</f>
        <v>1508704</v>
      </c>
      <c r="S4778" s="1">
        <v>13334.74</v>
      </c>
      <c r="T4778">
        <f t="shared" si="538"/>
        <v>15394.9387755102</v>
      </c>
      <c r="U4778">
        <f t="shared" si="543"/>
        <v>2028.6</v>
      </c>
      <c r="V4778">
        <f>U4778*2</f>
        <v>4057.2</v>
      </c>
      <c r="W4778">
        <f t="shared" si="541"/>
        <v>503302.683333333</v>
      </c>
      <c r="X4778">
        <f t="shared" si="544"/>
        <v>0.422260088940609</v>
      </c>
      <c r="AH4778" t="str">
        <f t="shared" si="542"/>
        <v>2nd Quality</v>
      </c>
      <c r="AJ4778">
        <f>((T4778-X4778)*2)/20</f>
        <v>1539.45165154213</v>
      </c>
      <c r="AK4778">
        <f t="shared" si="540"/>
        <v>7820628.89795918</v>
      </c>
    </row>
    <row r="4779" spans="1:37">
      <c r="A4779" t="s">
        <v>4845</v>
      </c>
      <c r="B4779">
        <v>30</v>
      </c>
      <c r="C4779" t="s">
        <v>50</v>
      </c>
      <c r="D4779" t="s">
        <v>60</v>
      </c>
      <c r="E4779">
        <v>1140</v>
      </c>
      <c r="F4779">
        <v>19</v>
      </c>
      <c r="G4779">
        <v>26</v>
      </c>
      <c r="H4779">
        <v>1968.76</v>
      </c>
      <c r="I4779">
        <v>48204.6</v>
      </c>
      <c r="J4779">
        <v>136</v>
      </c>
      <c r="K4779">
        <v>4</v>
      </c>
      <c r="L4779">
        <v>0</v>
      </c>
      <c r="M4779">
        <v>9.8</v>
      </c>
      <c r="N4779" t="s">
        <v>63</v>
      </c>
      <c r="O4779" t="s">
        <v>47</v>
      </c>
      <c r="P4779" t="s">
        <v>68</v>
      </c>
      <c r="R4779">
        <f>SUMIF(A4779:A9778,"C04778",I4779:I9778)</f>
        <v>48204.6</v>
      </c>
      <c r="S4779" s="1">
        <v>1804.07</v>
      </c>
      <c r="T4779">
        <f t="shared" ref="T4779:T4842" si="545">I4779/J4779</f>
        <v>354.445588235294</v>
      </c>
      <c r="U4779">
        <f t="shared" si="543"/>
        <v>1332.8</v>
      </c>
      <c r="V4779">
        <f>U4779*4</f>
        <v>5331.2</v>
      </c>
      <c r="W4779">
        <f t="shared" si="541"/>
        <v>16724.7866666667</v>
      </c>
      <c r="X4779">
        <f t="shared" si="544"/>
        <v>0.579044677868303</v>
      </c>
      <c r="AH4779" t="str">
        <f t="shared" si="542"/>
        <v>1st Quality</v>
      </c>
      <c r="AJ4779">
        <f>((T4779-X4779)*2)</f>
        <v>707.733087114851</v>
      </c>
      <c r="AK4779">
        <f t="shared" si="540"/>
        <v>404067.970588235</v>
      </c>
    </row>
    <row r="4780" spans="1:37">
      <c r="A4780" t="s">
        <v>4846</v>
      </c>
      <c r="B4780">
        <v>24</v>
      </c>
      <c r="C4780" t="s">
        <v>50</v>
      </c>
      <c r="D4780" t="s">
        <v>60</v>
      </c>
      <c r="E4780">
        <v>1363</v>
      </c>
      <c r="F4780">
        <v>53</v>
      </c>
      <c r="G4780">
        <v>6</v>
      </c>
      <c r="H4780">
        <v>2178.12</v>
      </c>
      <c r="I4780">
        <v>12821.53</v>
      </c>
      <c r="J4780">
        <v>57</v>
      </c>
      <c r="K4780">
        <v>0</v>
      </c>
      <c r="L4780">
        <v>29.8</v>
      </c>
      <c r="M4780">
        <v>17</v>
      </c>
      <c r="N4780" t="s">
        <v>78</v>
      </c>
      <c r="O4780" t="s">
        <v>47</v>
      </c>
      <c r="P4780" t="s">
        <v>66</v>
      </c>
      <c r="R4780">
        <f>SUMIF(A4780:A9779,"C04779",I4780:I9779)</f>
        <v>12821.53</v>
      </c>
      <c r="S4780" s="1">
        <v>1678.73</v>
      </c>
      <c r="T4780">
        <f t="shared" si="545"/>
        <v>224.939122807018</v>
      </c>
      <c r="U4780">
        <f t="shared" si="543"/>
        <v>969</v>
      </c>
      <c r="V4780">
        <f t="shared" si="539"/>
        <v>80.75</v>
      </c>
      <c r="W4780">
        <f t="shared" si="541"/>
        <v>5000.21666666667</v>
      </c>
      <c r="X4780">
        <f t="shared" si="544"/>
        <v>0.625769011808349</v>
      </c>
      <c r="AH4780" t="str">
        <f t="shared" si="542"/>
        <v>3rd Quality</v>
      </c>
      <c r="AJ4780">
        <f>((T4780-X4780)*2)/29.8</f>
        <v>15.0545875030342</v>
      </c>
      <c r="AK4780">
        <f t="shared" si="540"/>
        <v>306592.024385965</v>
      </c>
    </row>
    <row r="4781" spans="1:37">
      <c r="A4781" t="s">
        <v>4847</v>
      </c>
      <c r="B4781">
        <v>26</v>
      </c>
      <c r="C4781" t="s">
        <v>44</v>
      </c>
      <c r="D4781" t="s">
        <v>60</v>
      </c>
      <c r="E4781">
        <v>765</v>
      </c>
      <c r="F4781">
        <v>30</v>
      </c>
      <c r="G4781">
        <v>4</v>
      </c>
      <c r="H4781">
        <v>6555.85</v>
      </c>
      <c r="I4781">
        <v>28061.74</v>
      </c>
      <c r="J4781">
        <v>24</v>
      </c>
      <c r="K4781">
        <v>1</v>
      </c>
      <c r="L4781">
        <v>0</v>
      </c>
      <c r="M4781">
        <v>13</v>
      </c>
      <c r="N4781" t="s">
        <v>81</v>
      </c>
      <c r="O4781" t="s">
        <v>47</v>
      </c>
      <c r="P4781" t="s">
        <v>58</v>
      </c>
      <c r="R4781">
        <f>SUMIF(A4781:A9780,"C04780",I4781:I9780)</f>
        <v>28061.74</v>
      </c>
      <c r="S4781" s="1">
        <v>73727.68</v>
      </c>
      <c r="T4781">
        <f t="shared" si="545"/>
        <v>1169.23916666667</v>
      </c>
      <c r="U4781">
        <f t="shared" si="543"/>
        <v>312</v>
      </c>
      <c r="V4781">
        <f>U4781*1</f>
        <v>312</v>
      </c>
      <c r="W4781">
        <f t="shared" si="541"/>
        <v>11539.53</v>
      </c>
      <c r="X4781">
        <f t="shared" si="544"/>
        <v>0.116689674107858</v>
      </c>
      <c r="AH4781" t="str">
        <f t="shared" si="542"/>
        <v>2nd Quality</v>
      </c>
      <c r="AJ4781">
        <f>((T4781-X4781)*2)</f>
        <v>2338.24495398512</v>
      </c>
      <c r="AK4781">
        <f t="shared" si="540"/>
        <v>894467.9625</v>
      </c>
    </row>
    <row r="4782" spans="1:37">
      <c r="A4782" t="s">
        <v>4848</v>
      </c>
      <c r="B4782">
        <v>18</v>
      </c>
      <c r="C4782" t="s">
        <v>50</v>
      </c>
      <c r="D4782" t="s">
        <v>60</v>
      </c>
      <c r="E4782">
        <v>527</v>
      </c>
      <c r="F4782">
        <v>40</v>
      </c>
      <c r="G4782">
        <v>8</v>
      </c>
      <c r="H4782">
        <v>1815.63</v>
      </c>
      <c r="I4782">
        <v>13334.74</v>
      </c>
      <c r="J4782">
        <v>37</v>
      </c>
      <c r="K4782">
        <v>1</v>
      </c>
      <c r="L4782">
        <v>12.6</v>
      </c>
      <c r="M4782">
        <v>27.5</v>
      </c>
      <c r="N4782" t="s">
        <v>63</v>
      </c>
      <c r="O4782" t="s">
        <v>53</v>
      </c>
      <c r="P4782" t="s">
        <v>54</v>
      </c>
      <c r="R4782">
        <f>SUMIF(A4782:A9781,"C04781",I4782:I9781)</f>
        <v>13334.74</v>
      </c>
      <c r="S4782" s="1">
        <v>1721.58</v>
      </c>
      <c r="T4782">
        <f t="shared" si="545"/>
        <v>360.398378378378</v>
      </c>
      <c r="U4782">
        <f t="shared" si="543"/>
        <v>1017.5</v>
      </c>
      <c r="V4782">
        <f>U4782*1</f>
        <v>1017.5</v>
      </c>
      <c r="W4782">
        <f t="shared" si="541"/>
        <v>5050.45666666667</v>
      </c>
      <c r="X4782">
        <f t="shared" si="544"/>
        <v>0.290257376227535</v>
      </c>
      <c r="AH4782" t="str">
        <f t="shared" si="542"/>
        <v>3rd Quality</v>
      </c>
      <c r="AJ4782">
        <f>((T4782-X4782)*2)/12.6</f>
        <v>57.1600192066906</v>
      </c>
      <c r="AK4782">
        <f t="shared" si="540"/>
        <v>189929.945405405</v>
      </c>
    </row>
    <row r="4783" spans="1:37">
      <c r="A4783" t="s">
        <v>4849</v>
      </c>
      <c r="B4783">
        <v>44</v>
      </c>
      <c r="C4783" t="s">
        <v>50</v>
      </c>
      <c r="D4783" t="s">
        <v>45</v>
      </c>
      <c r="E4783">
        <v>1399</v>
      </c>
      <c r="F4783">
        <v>330</v>
      </c>
      <c r="G4783">
        <v>1</v>
      </c>
      <c r="H4783">
        <v>1633.54</v>
      </c>
      <c r="I4783">
        <v>1804.07</v>
      </c>
      <c r="J4783">
        <v>13</v>
      </c>
      <c r="K4783">
        <v>0</v>
      </c>
      <c r="L4783">
        <v>21.1</v>
      </c>
      <c r="M4783">
        <v>40</v>
      </c>
      <c r="N4783" t="s">
        <v>46</v>
      </c>
      <c r="O4783" t="s">
        <v>47</v>
      </c>
      <c r="P4783" t="s">
        <v>66</v>
      </c>
      <c r="R4783">
        <f>SUMIF(A4783:A9782,"C04782",I4783:I9782)</f>
        <v>1804.07</v>
      </c>
      <c r="S4783" s="1">
        <v>1344.29</v>
      </c>
      <c r="T4783">
        <f t="shared" si="545"/>
        <v>138.774615384615</v>
      </c>
      <c r="U4783">
        <f t="shared" si="543"/>
        <v>520</v>
      </c>
      <c r="V4783">
        <f t="shared" si="539"/>
        <v>43.3333333333333</v>
      </c>
      <c r="W4783">
        <f t="shared" si="541"/>
        <v>1146.20333333333</v>
      </c>
      <c r="X4783">
        <f t="shared" si="544"/>
        <v>0.856422248613441</v>
      </c>
      <c r="AH4783" t="str">
        <f t="shared" si="542"/>
        <v>3rd Quality</v>
      </c>
      <c r="AJ4783">
        <f>((T4783-X4783)*2)/21.1</f>
        <v>13.0728145152608</v>
      </c>
      <c r="AK4783">
        <f t="shared" si="540"/>
        <v>194145.686923077</v>
      </c>
    </row>
    <row r="4784" spans="1:37">
      <c r="A4784" t="s">
        <v>4850</v>
      </c>
      <c r="B4784">
        <v>29</v>
      </c>
      <c r="C4784" t="s">
        <v>44</v>
      </c>
      <c r="D4784" t="s">
        <v>45</v>
      </c>
      <c r="E4784">
        <v>620</v>
      </c>
      <c r="F4784">
        <v>105</v>
      </c>
      <c r="G4784">
        <v>1</v>
      </c>
      <c r="H4784">
        <v>1782.95</v>
      </c>
      <c r="I4784">
        <v>1678.73</v>
      </c>
      <c r="J4784">
        <v>17</v>
      </c>
      <c r="K4784">
        <v>0</v>
      </c>
      <c r="L4784">
        <v>14.4</v>
      </c>
      <c r="M4784">
        <v>18</v>
      </c>
      <c r="N4784" t="s">
        <v>46</v>
      </c>
      <c r="O4784" t="s">
        <v>75</v>
      </c>
      <c r="P4784" t="s">
        <v>48</v>
      </c>
      <c r="R4784">
        <f>SUMIF(A4784:A9783,"C04783",I4784:I9783)</f>
        <v>1678.73</v>
      </c>
      <c r="S4784" s="1">
        <v>13954.28</v>
      </c>
      <c r="T4784">
        <f t="shared" si="545"/>
        <v>98.7488235294118</v>
      </c>
      <c r="U4784">
        <f t="shared" si="543"/>
        <v>306</v>
      </c>
      <c r="V4784">
        <f t="shared" si="539"/>
        <v>25.5</v>
      </c>
      <c r="W4784">
        <f t="shared" si="541"/>
        <v>1154.22666666667</v>
      </c>
      <c r="X4784">
        <f t="shared" si="544"/>
        <v>0.347738298886677</v>
      </c>
      <c r="AH4784" t="str">
        <f t="shared" si="542"/>
        <v>3rd Quality</v>
      </c>
      <c r="AJ4784">
        <f>((T4784-X4784)*2)/14.4</f>
        <v>13.6668173931285</v>
      </c>
      <c r="AK4784">
        <f t="shared" si="540"/>
        <v>61224.2705882353</v>
      </c>
    </row>
    <row r="4785" spans="1:37">
      <c r="A4785" t="s">
        <v>4851</v>
      </c>
      <c r="B4785">
        <v>53</v>
      </c>
      <c r="C4785" t="s">
        <v>44</v>
      </c>
      <c r="D4785" t="s">
        <v>60</v>
      </c>
      <c r="E4785">
        <v>1082</v>
      </c>
      <c r="F4785">
        <v>30</v>
      </c>
      <c r="G4785">
        <v>6</v>
      </c>
      <c r="H4785">
        <v>11585.29</v>
      </c>
      <c r="I4785">
        <v>73727.68</v>
      </c>
      <c r="J4785">
        <v>48</v>
      </c>
      <c r="K4785">
        <v>0</v>
      </c>
      <c r="L4785">
        <v>7</v>
      </c>
      <c r="M4785">
        <v>27.8</v>
      </c>
      <c r="N4785" t="s">
        <v>57</v>
      </c>
      <c r="O4785" t="s">
        <v>75</v>
      </c>
      <c r="P4785" t="s">
        <v>66</v>
      </c>
      <c r="R4785">
        <f>SUMIF(A4785:A9784,"C04784",I4785:I9784)</f>
        <v>73727.68</v>
      </c>
      <c r="S4785" s="1">
        <v>2115.81</v>
      </c>
      <c r="T4785">
        <f t="shared" si="545"/>
        <v>1535.99333333333</v>
      </c>
      <c r="U4785">
        <f t="shared" si="543"/>
        <v>1334.4</v>
      </c>
      <c r="V4785">
        <f t="shared" si="539"/>
        <v>111.2</v>
      </c>
      <c r="W4785">
        <f t="shared" si="541"/>
        <v>28437.99</v>
      </c>
      <c r="X4785">
        <f t="shared" si="544"/>
        <v>0.0933942956973887</v>
      </c>
      <c r="AH4785" t="str">
        <f t="shared" si="542"/>
        <v>3rd Quality</v>
      </c>
      <c r="AJ4785">
        <f>((T4785-X4785)*2)/7</f>
        <v>438.828554010752</v>
      </c>
      <c r="AK4785">
        <f t="shared" si="540"/>
        <v>1661944.78666667</v>
      </c>
    </row>
    <row r="4786" spans="1:37">
      <c r="A4786" t="s">
        <v>4852</v>
      </c>
      <c r="B4786">
        <v>44</v>
      </c>
      <c r="C4786" t="s">
        <v>50</v>
      </c>
      <c r="D4786" t="s">
        <v>45</v>
      </c>
      <c r="E4786">
        <v>1332</v>
      </c>
      <c r="F4786">
        <v>300</v>
      </c>
      <c r="G4786">
        <v>1</v>
      </c>
      <c r="H4786">
        <v>1665.82</v>
      </c>
      <c r="I4786">
        <v>1721.58</v>
      </c>
      <c r="J4786">
        <v>8</v>
      </c>
      <c r="K4786">
        <v>0</v>
      </c>
      <c r="L4786">
        <v>8</v>
      </c>
      <c r="M4786">
        <v>16.2</v>
      </c>
      <c r="N4786" t="s">
        <v>61</v>
      </c>
      <c r="O4786" t="s">
        <v>75</v>
      </c>
      <c r="P4786" t="s">
        <v>68</v>
      </c>
      <c r="R4786">
        <f>SUMIF(A4786:A9785,"C04785",I4786:I9785)</f>
        <v>1721.58</v>
      </c>
      <c r="S4786" s="1">
        <v>48104.69</v>
      </c>
      <c r="T4786">
        <f t="shared" si="545"/>
        <v>215.1975</v>
      </c>
      <c r="U4786">
        <f t="shared" si="543"/>
        <v>129.6</v>
      </c>
      <c r="V4786">
        <f t="shared" si="539"/>
        <v>10.8</v>
      </c>
      <c r="W4786">
        <f t="shared" si="541"/>
        <v>1129.46666666667</v>
      </c>
      <c r="X4786">
        <f t="shared" si="544"/>
        <v>0.799606199949574</v>
      </c>
      <c r="AH4786" t="str">
        <f t="shared" si="542"/>
        <v>3rd Quality</v>
      </c>
      <c r="AJ4786">
        <f>((T4786-X4786)*2)/8</f>
        <v>53.5994734500126</v>
      </c>
      <c r="AK4786">
        <f t="shared" si="540"/>
        <v>286643.07</v>
      </c>
    </row>
    <row r="4787" spans="1:37">
      <c r="A4787" t="s">
        <v>4853</v>
      </c>
      <c r="B4787">
        <v>42</v>
      </c>
      <c r="C4787" t="s">
        <v>50</v>
      </c>
      <c r="D4787" t="s">
        <v>45</v>
      </c>
      <c r="E4787">
        <v>1371</v>
      </c>
      <c r="F4787">
        <v>354</v>
      </c>
      <c r="G4787">
        <v>1</v>
      </c>
      <c r="H4787">
        <v>1329.05</v>
      </c>
      <c r="I4787">
        <v>1344.29</v>
      </c>
      <c r="J4787">
        <v>15</v>
      </c>
      <c r="K4787">
        <v>0</v>
      </c>
      <c r="L4787">
        <v>19</v>
      </c>
      <c r="M4787">
        <v>15.5</v>
      </c>
      <c r="N4787" t="s">
        <v>57</v>
      </c>
      <c r="O4787" t="s">
        <v>75</v>
      </c>
      <c r="P4787" t="s">
        <v>66</v>
      </c>
      <c r="R4787">
        <f>SUMIF(A4787:A9786,"C04786",I4787:I9786)</f>
        <v>1344.29</v>
      </c>
      <c r="S4787" s="1">
        <v>4928.17</v>
      </c>
      <c r="T4787">
        <f t="shared" si="545"/>
        <v>89.6193333333333</v>
      </c>
      <c r="U4787">
        <f t="shared" si="543"/>
        <v>232.5</v>
      </c>
      <c r="V4787">
        <f t="shared" si="539"/>
        <v>19.375</v>
      </c>
      <c r="W4787">
        <f t="shared" si="541"/>
        <v>891.446666666667</v>
      </c>
      <c r="X4787">
        <f t="shared" si="544"/>
        <v>1.03156389902562</v>
      </c>
      <c r="AH4787" t="str">
        <f t="shared" si="542"/>
        <v>3rd Quality</v>
      </c>
      <c r="AJ4787">
        <f>((T4787-X4787)*2)/19</f>
        <v>9.32502836150607</v>
      </c>
      <c r="AK4787">
        <f t="shared" si="540"/>
        <v>122868.106</v>
      </c>
    </row>
    <row r="4788" spans="1:37">
      <c r="A4788" t="s">
        <v>4854</v>
      </c>
      <c r="B4788">
        <v>60</v>
      </c>
      <c r="C4788" t="s">
        <v>44</v>
      </c>
      <c r="D4788" t="s">
        <v>60</v>
      </c>
      <c r="E4788">
        <v>614</v>
      </c>
      <c r="F4788">
        <v>56</v>
      </c>
      <c r="G4788">
        <v>13</v>
      </c>
      <c r="H4788">
        <v>991.57</v>
      </c>
      <c r="I4788">
        <v>13954.28</v>
      </c>
      <c r="J4788">
        <v>43</v>
      </c>
      <c r="K4788">
        <v>0</v>
      </c>
      <c r="L4788">
        <v>27.9</v>
      </c>
      <c r="M4788">
        <v>27.5</v>
      </c>
      <c r="N4788" t="s">
        <v>78</v>
      </c>
      <c r="O4788" t="s">
        <v>47</v>
      </c>
      <c r="P4788" t="s">
        <v>58</v>
      </c>
      <c r="R4788">
        <f>SUMIF(A4788:A9787,"C04787",I4788:I9787)</f>
        <v>13954.28</v>
      </c>
      <c r="S4788" s="1">
        <v>52582.41</v>
      </c>
      <c r="T4788">
        <f t="shared" si="545"/>
        <v>324.518139534884</v>
      </c>
      <c r="U4788">
        <f t="shared" si="543"/>
        <v>1182.5</v>
      </c>
      <c r="V4788">
        <f t="shared" si="539"/>
        <v>98.5416666666667</v>
      </c>
      <c r="W4788">
        <f t="shared" si="541"/>
        <v>4982.28333333333</v>
      </c>
      <c r="X4788">
        <f t="shared" si="544"/>
        <v>0.619220024809141</v>
      </c>
      <c r="AH4788" t="str">
        <f t="shared" si="542"/>
        <v>3rd Quality</v>
      </c>
      <c r="AJ4788">
        <f>((T4788-X4788)*2)/27.9</f>
        <v>23.2185605383566</v>
      </c>
      <c r="AK4788">
        <f t="shared" si="540"/>
        <v>199254.137674419</v>
      </c>
    </row>
    <row r="4789" spans="1:37">
      <c r="A4789" t="s">
        <v>4855</v>
      </c>
      <c r="B4789">
        <v>28</v>
      </c>
      <c r="C4789" t="s">
        <v>50</v>
      </c>
      <c r="D4789" t="s">
        <v>51</v>
      </c>
      <c r="E4789">
        <v>402</v>
      </c>
      <c r="F4789">
        <v>76</v>
      </c>
      <c r="G4789">
        <v>2</v>
      </c>
      <c r="H4789">
        <v>1031.38</v>
      </c>
      <c r="I4789">
        <v>2115.81</v>
      </c>
      <c r="J4789">
        <v>23</v>
      </c>
      <c r="K4789">
        <v>0</v>
      </c>
      <c r="L4789">
        <v>18.1</v>
      </c>
      <c r="M4789">
        <v>19.5</v>
      </c>
      <c r="N4789" t="s">
        <v>63</v>
      </c>
      <c r="O4789" t="s">
        <v>47</v>
      </c>
      <c r="P4789" t="s">
        <v>58</v>
      </c>
      <c r="R4789">
        <f>SUMIF(A4789:A9788,"C04788",I4789:I9788)</f>
        <v>2115.81</v>
      </c>
      <c r="S4789" s="1">
        <v>60221.52</v>
      </c>
      <c r="T4789">
        <f t="shared" si="545"/>
        <v>91.9917391304348</v>
      </c>
      <c r="U4789">
        <f t="shared" si="543"/>
        <v>448.5</v>
      </c>
      <c r="V4789">
        <f t="shared" si="539"/>
        <v>37.375</v>
      </c>
      <c r="W4789">
        <f t="shared" si="541"/>
        <v>1049.39666666667</v>
      </c>
      <c r="X4789">
        <f t="shared" si="544"/>
        <v>0.389769047295856</v>
      </c>
      <c r="AH4789" t="str">
        <f t="shared" si="542"/>
        <v>3rd Quality</v>
      </c>
      <c r="AJ4789">
        <f>((T4789-X4789)*2)/18.1</f>
        <v>10.1217646500706</v>
      </c>
      <c r="AK4789">
        <f t="shared" si="540"/>
        <v>36980.6791304348</v>
      </c>
    </row>
    <row r="4790" spans="1:37">
      <c r="A4790" t="s">
        <v>4856</v>
      </c>
      <c r="B4790">
        <v>42</v>
      </c>
      <c r="C4790" t="s">
        <v>50</v>
      </c>
      <c r="D4790" t="s">
        <v>51</v>
      </c>
      <c r="E4790">
        <v>829</v>
      </c>
      <c r="F4790">
        <v>11</v>
      </c>
      <c r="G4790">
        <v>29</v>
      </c>
      <c r="H4790">
        <v>1553.47</v>
      </c>
      <c r="I4790">
        <v>48104.69</v>
      </c>
      <c r="J4790">
        <v>211</v>
      </c>
      <c r="K4790">
        <v>1</v>
      </c>
      <c r="L4790">
        <v>10.8</v>
      </c>
      <c r="M4790">
        <v>44</v>
      </c>
      <c r="N4790" t="s">
        <v>61</v>
      </c>
      <c r="O4790" t="s">
        <v>75</v>
      </c>
      <c r="P4790" t="s">
        <v>58</v>
      </c>
      <c r="R4790">
        <f>SUMIF(A4790:A9789,"C04789",I4790:I9789)</f>
        <v>48104.69</v>
      </c>
      <c r="S4790" s="1">
        <v>10819.6</v>
      </c>
      <c r="T4790">
        <f t="shared" si="545"/>
        <v>227.984312796209</v>
      </c>
      <c r="U4790">
        <f t="shared" si="543"/>
        <v>9284</v>
      </c>
      <c r="V4790">
        <f>U4790*1</f>
        <v>9284</v>
      </c>
      <c r="W4790">
        <f t="shared" si="541"/>
        <v>16553.0533333333</v>
      </c>
      <c r="X4790">
        <f t="shared" si="544"/>
        <v>0.533644035610601</v>
      </c>
      <c r="AH4790" t="str">
        <f t="shared" si="542"/>
        <v>2nd Quality</v>
      </c>
      <c r="AJ4790">
        <f>((T4790-X4790)*2)/10.8</f>
        <v>42.1204942149256</v>
      </c>
      <c r="AK4790">
        <f t="shared" si="540"/>
        <v>188998.995308057</v>
      </c>
    </row>
    <row r="4791" spans="1:37">
      <c r="A4791" t="s">
        <v>4857</v>
      </c>
      <c r="B4791">
        <v>18</v>
      </c>
      <c r="C4791" t="s">
        <v>50</v>
      </c>
      <c r="D4791" t="s">
        <v>51</v>
      </c>
      <c r="E4791">
        <v>1355</v>
      </c>
      <c r="F4791">
        <v>35</v>
      </c>
      <c r="G4791">
        <v>3</v>
      </c>
      <c r="H4791">
        <v>1608.31</v>
      </c>
      <c r="I4791">
        <v>4928.17</v>
      </c>
      <c r="J4791">
        <v>18</v>
      </c>
      <c r="K4791">
        <v>0</v>
      </c>
      <c r="L4791">
        <v>35.3</v>
      </c>
      <c r="M4791">
        <v>12.4</v>
      </c>
      <c r="N4791" t="s">
        <v>46</v>
      </c>
      <c r="O4791" t="s">
        <v>47</v>
      </c>
      <c r="P4791" t="s">
        <v>58</v>
      </c>
      <c r="R4791">
        <f>SUMIF(A4791:A9790,"C04790",I4791:I9790)</f>
        <v>4928.17</v>
      </c>
      <c r="S4791" s="1">
        <v>1482.98</v>
      </c>
      <c r="T4791">
        <f t="shared" si="545"/>
        <v>273.787222222222</v>
      </c>
      <c r="U4791">
        <f t="shared" si="543"/>
        <v>223.2</v>
      </c>
      <c r="V4791">
        <f t="shared" ref="V4790:V4853" si="546">U4791/12</f>
        <v>18.6</v>
      </c>
      <c r="W4791">
        <f t="shared" si="541"/>
        <v>2179.16</v>
      </c>
      <c r="X4791">
        <f t="shared" si="544"/>
        <v>0.842499269419453</v>
      </c>
      <c r="AH4791" t="str">
        <f t="shared" si="542"/>
        <v>3rd Quality</v>
      </c>
      <c r="AJ4791">
        <f>((T4791-X4791)*2)/35.3</f>
        <v>15.4642902522834</v>
      </c>
      <c r="AK4791">
        <f t="shared" si="540"/>
        <v>370981.686111111</v>
      </c>
    </row>
    <row r="4792" spans="1:37">
      <c r="A4792" t="s">
        <v>4858</v>
      </c>
      <c r="B4792">
        <v>39</v>
      </c>
      <c r="C4792" t="s">
        <v>50</v>
      </c>
      <c r="D4792" t="s">
        <v>45</v>
      </c>
      <c r="E4792">
        <v>885</v>
      </c>
      <c r="F4792">
        <v>63</v>
      </c>
      <c r="G4792">
        <v>5</v>
      </c>
      <c r="H4792">
        <v>9988</v>
      </c>
      <c r="I4792">
        <v>52582.41</v>
      </c>
      <c r="J4792">
        <v>29</v>
      </c>
      <c r="K4792">
        <v>0</v>
      </c>
      <c r="L4792">
        <v>0</v>
      </c>
      <c r="M4792">
        <v>17.9</v>
      </c>
      <c r="N4792" t="s">
        <v>78</v>
      </c>
      <c r="O4792" t="s">
        <v>53</v>
      </c>
      <c r="P4792" t="s">
        <v>66</v>
      </c>
      <c r="R4792">
        <f>SUMIF(A4792:A9791,"C04791",I4792:I9791)</f>
        <v>52582.41</v>
      </c>
      <c r="S4792" s="1">
        <v>14379.23</v>
      </c>
      <c r="T4792">
        <f t="shared" si="545"/>
        <v>1813.18655172414</v>
      </c>
      <c r="U4792">
        <f t="shared" si="543"/>
        <v>519.1</v>
      </c>
      <c r="V4792">
        <f t="shared" si="546"/>
        <v>43.2583333333333</v>
      </c>
      <c r="W4792">
        <f t="shared" si="541"/>
        <v>20857.1366666667</v>
      </c>
      <c r="X4792">
        <f t="shared" si="544"/>
        <v>0.0886063275931117</v>
      </c>
      <c r="AH4792" t="str">
        <f t="shared" si="542"/>
        <v>2nd Quality</v>
      </c>
      <c r="AJ4792">
        <f>((T4792-X4792)*2)</f>
        <v>3626.19589079309</v>
      </c>
      <c r="AK4792">
        <f t="shared" si="540"/>
        <v>1604670.09827586</v>
      </c>
    </row>
    <row r="4793" spans="1:37">
      <c r="A4793" t="s">
        <v>4859</v>
      </c>
      <c r="B4793">
        <v>40</v>
      </c>
      <c r="C4793" t="s">
        <v>44</v>
      </c>
      <c r="D4793" t="s">
        <v>60</v>
      </c>
      <c r="E4793">
        <v>1327</v>
      </c>
      <c r="F4793">
        <v>12</v>
      </c>
      <c r="G4793">
        <v>24</v>
      </c>
      <c r="H4793">
        <v>2814.94</v>
      </c>
      <c r="I4793">
        <v>60221.52</v>
      </c>
      <c r="J4793">
        <v>53</v>
      </c>
      <c r="K4793">
        <v>0</v>
      </c>
      <c r="L4793">
        <v>10</v>
      </c>
      <c r="M4793">
        <v>25.6</v>
      </c>
      <c r="N4793" t="s">
        <v>57</v>
      </c>
      <c r="O4793" t="s">
        <v>47</v>
      </c>
      <c r="P4793" t="s">
        <v>58</v>
      </c>
      <c r="R4793">
        <f>SUMIF(A4793:A9792,"C04792",I4793:I9792)</f>
        <v>60221.52</v>
      </c>
      <c r="S4793" s="1">
        <v>64972.92</v>
      </c>
      <c r="T4793">
        <f t="shared" si="545"/>
        <v>1136.25509433962</v>
      </c>
      <c r="U4793">
        <f t="shared" si="543"/>
        <v>1356.8</v>
      </c>
      <c r="V4793">
        <f t="shared" si="546"/>
        <v>113.066666666667</v>
      </c>
      <c r="W4793">
        <f t="shared" si="541"/>
        <v>21012.4866666667</v>
      </c>
      <c r="X4793">
        <f t="shared" si="544"/>
        <v>0.471413245042523</v>
      </c>
      <c r="AH4793" t="str">
        <f t="shared" si="542"/>
        <v>2nd Quality</v>
      </c>
      <c r="AJ4793">
        <f>((T4793-X4793)*2)/10</f>
        <v>227.156736218916</v>
      </c>
      <c r="AK4793">
        <f t="shared" si="540"/>
        <v>1507810.51018868</v>
      </c>
    </row>
    <row r="4794" spans="1:37">
      <c r="A4794" t="s">
        <v>4860</v>
      </c>
      <c r="B4794">
        <v>43</v>
      </c>
      <c r="C4794" t="s">
        <v>44</v>
      </c>
      <c r="D4794" t="s">
        <v>60</v>
      </c>
      <c r="E4794">
        <v>1279</v>
      </c>
      <c r="F4794">
        <v>38</v>
      </c>
      <c r="G4794">
        <v>7</v>
      </c>
      <c r="H4794">
        <v>1493.64</v>
      </c>
      <c r="I4794">
        <v>10819.6</v>
      </c>
      <c r="J4794">
        <v>23</v>
      </c>
      <c r="K4794">
        <v>2</v>
      </c>
      <c r="L4794">
        <v>22.4</v>
      </c>
      <c r="M4794">
        <v>8</v>
      </c>
      <c r="N4794" t="s">
        <v>78</v>
      </c>
      <c r="O4794" t="s">
        <v>53</v>
      </c>
      <c r="P4794" t="s">
        <v>58</v>
      </c>
      <c r="R4794">
        <f>SUMIF(A4794:A9793,"C04793",I4794:I9793)</f>
        <v>10819.6</v>
      </c>
      <c r="S4794" s="1">
        <v>90750.86</v>
      </c>
      <c r="T4794">
        <f t="shared" si="545"/>
        <v>470.417391304348</v>
      </c>
      <c r="U4794">
        <f t="shared" si="543"/>
        <v>184</v>
      </c>
      <c r="V4794">
        <f>U4794*2</f>
        <v>368</v>
      </c>
      <c r="W4794">
        <f t="shared" si="541"/>
        <v>4104.74666666667</v>
      </c>
      <c r="X4794">
        <f t="shared" si="544"/>
        <v>0.856297367504887</v>
      </c>
      <c r="AH4794" t="str">
        <f t="shared" si="542"/>
        <v>3rd Quality</v>
      </c>
      <c r="AJ4794">
        <f>((T4794-X4794)*2)/22.4</f>
        <v>41.9250976729324</v>
      </c>
      <c r="AK4794">
        <f t="shared" si="540"/>
        <v>601663.843478261</v>
      </c>
    </row>
    <row r="4795" spans="1:37">
      <c r="A4795" t="s">
        <v>4861</v>
      </c>
      <c r="B4795">
        <v>25</v>
      </c>
      <c r="C4795" t="s">
        <v>50</v>
      </c>
      <c r="D4795" t="s">
        <v>51</v>
      </c>
      <c r="E4795">
        <v>927</v>
      </c>
      <c r="F4795">
        <v>224</v>
      </c>
      <c r="G4795">
        <v>1</v>
      </c>
      <c r="H4795">
        <v>1356.35</v>
      </c>
      <c r="I4795">
        <v>1482.98</v>
      </c>
      <c r="J4795">
        <v>14</v>
      </c>
      <c r="K4795">
        <v>0</v>
      </c>
      <c r="L4795">
        <v>19.5</v>
      </c>
      <c r="M4795">
        <v>67.4</v>
      </c>
      <c r="N4795" t="s">
        <v>57</v>
      </c>
      <c r="O4795" t="s">
        <v>75</v>
      </c>
      <c r="P4795" t="s">
        <v>58</v>
      </c>
      <c r="R4795">
        <f>SUMIF(A4795:A9794,"C04794",I4795:I9794)</f>
        <v>1482.98</v>
      </c>
      <c r="S4795" s="1">
        <v>12022.46</v>
      </c>
      <c r="T4795">
        <f t="shared" si="545"/>
        <v>105.927142857143</v>
      </c>
      <c r="U4795">
        <f t="shared" si="543"/>
        <v>943.6</v>
      </c>
      <c r="V4795">
        <f t="shared" si="546"/>
        <v>78.6333333333333</v>
      </c>
      <c r="W4795">
        <f t="shared" si="541"/>
        <v>946.776666666667</v>
      </c>
      <c r="X4795">
        <f t="shared" si="544"/>
        <v>0.683451911379806</v>
      </c>
      <c r="AH4795" t="str">
        <f t="shared" si="542"/>
        <v>3rd Quality</v>
      </c>
      <c r="AJ4795">
        <f>((T4795-X4795)*2)/19.5</f>
        <v>10.794224712386</v>
      </c>
      <c r="AK4795">
        <f t="shared" si="540"/>
        <v>98194.4614285714</v>
      </c>
    </row>
    <row r="4796" spans="1:37">
      <c r="A4796" t="s">
        <v>4862</v>
      </c>
      <c r="B4796">
        <v>37</v>
      </c>
      <c r="C4796" t="s">
        <v>44</v>
      </c>
      <c r="D4796" t="s">
        <v>60</v>
      </c>
      <c r="E4796">
        <v>1318</v>
      </c>
      <c r="F4796">
        <v>32</v>
      </c>
      <c r="G4796">
        <v>11</v>
      </c>
      <c r="H4796">
        <v>1261.68</v>
      </c>
      <c r="I4796">
        <v>14379.23</v>
      </c>
      <c r="J4796">
        <v>38</v>
      </c>
      <c r="K4796">
        <v>0</v>
      </c>
      <c r="L4796">
        <v>20.1</v>
      </c>
      <c r="M4796">
        <v>37.7</v>
      </c>
      <c r="N4796" t="s">
        <v>78</v>
      </c>
      <c r="O4796" t="s">
        <v>47</v>
      </c>
      <c r="P4796" t="s">
        <v>48</v>
      </c>
      <c r="R4796">
        <f>SUMIF(A4796:A9795,"C04795",I4796:I9795)</f>
        <v>14379.23</v>
      </c>
      <c r="S4796" s="1">
        <v>954.19</v>
      </c>
      <c r="T4796">
        <f t="shared" si="545"/>
        <v>378.400789473684</v>
      </c>
      <c r="U4796">
        <f t="shared" si="543"/>
        <v>1432.6</v>
      </c>
      <c r="V4796">
        <f t="shared" si="546"/>
        <v>119.383333333333</v>
      </c>
      <c r="W4796">
        <f t="shared" si="541"/>
        <v>5213.97</v>
      </c>
      <c r="X4796">
        <f t="shared" si="544"/>
        <v>1.04463889417285</v>
      </c>
      <c r="AH4796" t="str">
        <f t="shared" si="542"/>
        <v>3rd Quality</v>
      </c>
      <c r="AJ4796">
        <f>((T4796-X4796)*2)/20.1</f>
        <v>37.5478756795533</v>
      </c>
      <c r="AK4796">
        <f t="shared" si="540"/>
        <v>498732.240526316</v>
      </c>
    </row>
    <row r="4797" spans="1:37">
      <c r="A4797" t="s">
        <v>4863</v>
      </c>
      <c r="B4797">
        <v>28</v>
      </c>
      <c r="C4797" t="s">
        <v>44</v>
      </c>
      <c r="D4797" t="s">
        <v>60</v>
      </c>
      <c r="E4797">
        <v>1435</v>
      </c>
      <c r="F4797">
        <v>17</v>
      </c>
      <c r="G4797">
        <v>29</v>
      </c>
      <c r="H4797">
        <v>2081.52</v>
      </c>
      <c r="I4797">
        <v>64972.92</v>
      </c>
      <c r="J4797">
        <v>152</v>
      </c>
      <c r="K4797">
        <v>3</v>
      </c>
      <c r="L4797">
        <v>0</v>
      </c>
      <c r="M4797">
        <v>36.9</v>
      </c>
      <c r="N4797" t="s">
        <v>78</v>
      </c>
      <c r="O4797" t="s">
        <v>53</v>
      </c>
      <c r="P4797" t="s">
        <v>48</v>
      </c>
      <c r="R4797">
        <f>SUMIF(A4797:A9796,"C04796",I4797:I9796)</f>
        <v>64972.92</v>
      </c>
      <c r="S4797" s="1">
        <v>9814.87</v>
      </c>
      <c r="T4797">
        <f t="shared" si="545"/>
        <v>427.453421052632</v>
      </c>
      <c r="U4797">
        <f t="shared" si="543"/>
        <v>5608.8</v>
      </c>
      <c r="V4797">
        <f>U4797*3</f>
        <v>16826.4</v>
      </c>
      <c r="W4797">
        <f t="shared" si="541"/>
        <v>22351.8133333333</v>
      </c>
      <c r="X4797">
        <f t="shared" si="544"/>
        <v>0.689400053806833</v>
      </c>
      <c r="AH4797" t="str">
        <f t="shared" si="542"/>
        <v>1st Quality</v>
      </c>
      <c r="AJ4797">
        <f>((T4797-X4797)*2)</f>
        <v>853.52804199765</v>
      </c>
      <c r="AK4797">
        <f t="shared" si="540"/>
        <v>613395.659210526</v>
      </c>
    </row>
    <row r="4798" spans="1:37">
      <c r="A4798" t="s">
        <v>4864</v>
      </c>
      <c r="B4798">
        <v>28</v>
      </c>
      <c r="C4798" t="s">
        <v>50</v>
      </c>
      <c r="D4798" t="s">
        <v>45</v>
      </c>
      <c r="E4798">
        <v>1111</v>
      </c>
      <c r="F4798">
        <v>11</v>
      </c>
      <c r="G4798">
        <v>22</v>
      </c>
      <c r="H4798">
        <v>3690.21</v>
      </c>
      <c r="I4798">
        <v>90750.86</v>
      </c>
      <c r="J4798">
        <v>77</v>
      </c>
      <c r="K4798">
        <v>1</v>
      </c>
      <c r="L4798">
        <v>6.2</v>
      </c>
      <c r="M4798">
        <v>43.4</v>
      </c>
      <c r="N4798" t="s">
        <v>52</v>
      </c>
      <c r="O4798" t="s">
        <v>47</v>
      </c>
      <c r="P4798" t="s">
        <v>58</v>
      </c>
      <c r="R4798">
        <f>SUMIF(A4798:A9797,"C04797",I4798:I9797)</f>
        <v>90750.86</v>
      </c>
      <c r="S4798" s="1">
        <v>11466.51</v>
      </c>
      <c r="T4798">
        <f t="shared" si="545"/>
        <v>1178.5825974026</v>
      </c>
      <c r="U4798">
        <f t="shared" si="543"/>
        <v>3341.8</v>
      </c>
      <c r="V4798">
        <f>U4798*1</f>
        <v>3341.8</v>
      </c>
      <c r="W4798">
        <f t="shared" si="541"/>
        <v>31480.69</v>
      </c>
      <c r="X4798">
        <f t="shared" si="544"/>
        <v>0.301066876952802</v>
      </c>
      <c r="AH4798" t="str">
        <f t="shared" si="542"/>
        <v>1st Quality</v>
      </c>
      <c r="AJ4798">
        <f>((T4798-X4798)*2)/6.2</f>
        <v>380.090816298596</v>
      </c>
      <c r="AK4798">
        <f t="shared" si="540"/>
        <v>1309405.26571429</v>
      </c>
    </row>
    <row r="4799" spans="1:37">
      <c r="A4799" t="s">
        <v>4865</v>
      </c>
      <c r="B4799">
        <v>30</v>
      </c>
      <c r="C4799" t="s">
        <v>50</v>
      </c>
      <c r="D4799" t="s">
        <v>45</v>
      </c>
      <c r="E4799">
        <v>1187</v>
      </c>
      <c r="F4799">
        <v>16</v>
      </c>
      <c r="G4799">
        <v>10</v>
      </c>
      <c r="H4799">
        <v>1310.35</v>
      </c>
      <c r="I4799">
        <v>12022.46</v>
      </c>
      <c r="J4799">
        <v>33</v>
      </c>
      <c r="K4799">
        <v>0</v>
      </c>
      <c r="L4799">
        <v>18.1</v>
      </c>
      <c r="M4799">
        <v>25.7</v>
      </c>
      <c r="N4799" t="s">
        <v>57</v>
      </c>
      <c r="O4799" t="s">
        <v>53</v>
      </c>
      <c r="P4799" t="s">
        <v>58</v>
      </c>
      <c r="R4799">
        <f>SUMIF(A4799:A9798,"C04798",I4799:I9798)</f>
        <v>12022.46</v>
      </c>
      <c r="S4799" s="1">
        <v>56167.95</v>
      </c>
      <c r="T4799">
        <f t="shared" si="545"/>
        <v>364.31696969697</v>
      </c>
      <c r="U4799">
        <f t="shared" si="543"/>
        <v>848.1</v>
      </c>
      <c r="V4799">
        <f t="shared" si="546"/>
        <v>70.675</v>
      </c>
      <c r="W4799">
        <f t="shared" si="541"/>
        <v>4444.60333333333</v>
      </c>
      <c r="X4799">
        <f t="shared" si="544"/>
        <v>0.905864845270348</v>
      </c>
      <c r="AH4799" t="str">
        <f t="shared" si="542"/>
        <v>3rd Quality</v>
      </c>
      <c r="AJ4799">
        <f>((T4799-X4799)*2)/18.1</f>
        <v>40.1559231880331</v>
      </c>
      <c r="AK4799">
        <f t="shared" si="540"/>
        <v>432444.243030303</v>
      </c>
    </row>
    <row r="4800" spans="1:37">
      <c r="A4800" t="s">
        <v>4866</v>
      </c>
      <c r="B4800">
        <v>35</v>
      </c>
      <c r="C4800" t="s">
        <v>44</v>
      </c>
      <c r="D4800" t="s">
        <v>45</v>
      </c>
      <c r="E4800">
        <v>857</v>
      </c>
      <c r="F4800">
        <v>56</v>
      </c>
      <c r="G4800">
        <v>1</v>
      </c>
      <c r="H4800">
        <v>912.76</v>
      </c>
      <c r="I4800">
        <v>954.19</v>
      </c>
      <c r="J4800">
        <v>18</v>
      </c>
      <c r="K4800">
        <v>0</v>
      </c>
      <c r="L4800">
        <v>28.5</v>
      </c>
      <c r="M4800">
        <v>17</v>
      </c>
      <c r="N4800" t="s">
        <v>61</v>
      </c>
      <c r="O4800" t="s">
        <v>47</v>
      </c>
      <c r="P4800" t="s">
        <v>58</v>
      </c>
      <c r="R4800">
        <f>SUMIF(A4800:A9799,"C04799",I4800:I9799)</f>
        <v>954.19</v>
      </c>
      <c r="S4800" s="1">
        <v>35328.64</v>
      </c>
      <c r="T4800">
        <f t="shared" si="545"/>
        <v>53.0105555555556</v>
      </c>
      <c r="U4800">
        <f t="shared" si="543"/>
        <v>306</v>
      </c>
      <c r="V4800">
        <f t="shared" si="546"/>
        <v>25.5</v>
      </c>
      <c r="W4800">
        <f t="shared" si="541"/>
        <v>622.65</v>
      </c>
      <c r="X4800">
        <f t="shared" si="544"/>
        <v>0.93891055699198</v>
      </c>
      <c r="AH4800" t="str">
        <f t="shared" si="542"/>
        <v>3rd Quality</v>
      </c>
      <c r="AJ4800">
        <f>((T4800-X4800)*2)/28.5</f>
        <v>3.65415052621499</v>
      </c>
      <c r="AK4800">
        <f t="shared" si="540"/>
        <v>45430.0461111111</v>
      </c>
    </row>
    <row r="4801" spans="1:37">
      <c r="A4801" t="s">
        <v>4867</v>
      </c>
      <c r="B4801">
        <v>36</v>
      </c>
      <c r="C4801" t="s">
        <v>44</v>
      </c>
      <c r="D4801" t="s">
        <v>60</v>
      </c>
      <c r="E4801">
        <v>1455</v>
      </c>
      <c r="F4801">
        <v>30</v>
      </c>
      <c r="G4801">
        <v>6</v>
      </c>
      <c r="H4801">
        <v>1493.43</v>
      </c>
      <c r="I4801">
        <v>9814.87</v>
      </c>
      <c r="J4801">
        <v>26</v>
      </c>
      <c r="K4801">
        <v>0</v>
      </c>
      <c r="L4801">
        <v>37.4</v>
      </c>
      <c r="M4801">
        <v>17.2</v>
      </c>
      <c r="N4801" t="s">
        <v>57</v>
      </c>
      <c r="O4801" t="s">
        <v>47</v>
      </c>
      <c r="P4801" t="s">
        <v>68</v>
      </c>
      <c r="R4801">
        <f>SUMIF(A4801:A9800,"C04800",I4801:I9800)</f>
        <v>9814.87</v>
      </c>
      <c r="S4801" s="1">
        <v>25419.42</v>
      </c>
      <c r="T4801">
        <f t="shared" si="545"/>
        <v>377.495</v>
      </c>
      <c r="U4801">
        <f t="shared" si="543"/>
        <v>447.2</v>
      </c>
      <c r="V4801">
        <f t="shared" si="546"/>
        <v>37.2666666666667</v>
      </c>
      <c r="W4801">
        <f t="shared" si="541"/>
        <v>3769.76666666667</v>
      </c>
      <c r="X4801">
        <f t="shared" si="544"/>
        <v>0.974267290733412</v>
      </c>
      <c r="AH4801" t="str">
        <f t="shared" si="542"/>
        <v>3rd Quality</v>
      </c>
      <c r="AJ4801">
        <f>((T4801-X4801)*2)/37.4</f>
        <v>20.1347985406025</v>
      </c>
      <c r="AK4801">
        <f t="shared" si="540"/>
        <v>549255.225</v>
      </c>
    </row>
    <row r="4802" spans="1:37">
      <c r="A4802" t="s">
        <v>4868</v>
      </c>
      <c r="B4802">
        <v>47</v>
      </c>
      <c r="C4802" t="s">
        <v>44</v>
      </c>
      <c r="D4802" t="s">
        <v>60</v>
      </c>
      <c r="E4802">
        <v>756</v>
      </c>
      <c r="F4802">
        <v>93</v>
      </c>
      <c r="G4802">
        <v>13</v>
      </c>
      <c r="H4802">
        <v>994.52</v>
      </c>
      <c r="I4802">
        <v>11466.51</v>
      </c>
      <c r="J4802">
        <v>84</v>
      </c>
      <c r="K4802">
        <v>0</v>
      </c>
      <c r="L4802">
        <v>11.6</v>
      </c>
      <c r="M4802">
        <v>30.6</v>
      </c>
      <c r="N4802" t="s">
        <v>46</v>
      </c>
      <c r="O4802" t="s">
        <v>47</v>
      </c>
      <c r="P4802" t="s">
        <v>58</v>
      </c>
      <c r="R4802">
        <f>SUMIF(A4802:A9801,"C04801",I4802:I9801)</f>
        <v>11466.51</v>
      </c>
      <c r="S4802" s="1">
        <v>1882.16</v>
      </c>
      <c r="T4802">
        <f t="shared" si="545"/>
        <v>136.506071428571</v>
      </c>
      <c r="U4802">
        <f t="shared" si="543"/>
        <v>2570.4</v>
      </c>
      <c r="V4802">
        <f t="shared" si="546"/>
        <v>214.2</v>
      </c>
      <c r="W4802">
        <f t="shared" si="541"/>
        <v>4154.01</v>
      </c>
      <c r="X4802">
        <f t="shared" si="544"/>
        <v>0.76016570808028</v>
      </c>
      <c r="AH4802" t="str">
        <f t="shared" si="542"/>
        <v>3rd Quality</v>
      </c>
      <c r="AJ4802">
        <f>((T4802-X4802)*2)/11.6</f>
        <v>23.4044665035329</v>
      </c>
      <c r="AK4802">
        <f t="shared" si="540"/>
        <v>103198.59</v>
      </c>
    </row>
    <row r="4803" spans="1:37">
      <c r="A4803" t="s">
        <v>4869</v>
      </c>
      <c r="B4803">
        <v>45</v>
      </c>
      <c r="C4803" t="s">
        <v>44</v>
      </c>
      <c r="D4803" t="s">
        <v>60</v>
      </c>
      <c r="E4803">
        <v>1195</v>
      </c>
      <c r="F4803">
        <v>9</v>
      </c>
      <c r="G4803">
        <v>20</v>
      </c>
      <c r="H4803">
        <v>3047.05</v>
      </c>
      <c r="I4803">
        <v>56167.95</v>
      </c>
      <c r="J4803">
        <v>165</v>
      </c>
      <c r="K4803">
        <v>0</v>
      </c>
      <c r="L4803">
        <v>15.7</v>
      </c>
      <c r="M4803">
        <v>42.1</v>
      </c>
      <c r="N4803" t="s">
        <v>81</v>
      </c>
      <c r="O4803" t="s">
        <v>47</v>
      </c>
      <c r="P4803" t="s">
        <v>68</v>
      </c>
      <c r="R4803">
        <f>SUMIF(A4803:A9802,"C04802",I4803:I9802)</f>
        <v>56167.95</v>
      </c>
      <c r="S4803" s="1">
        <v>940.53</v>
      </c>
      <c r="T4803">
        <f t="shared" si="545"/>
        <v>340.411818181818</v>
      </c>
      <c r="U4803">
        <f t="shared" si="543"/>
        <v>6946.5</v>
      </c>
      <c r="V4803">
        <f t="shared" si="546"/>
        <v>578.875</v>
      </c>
      <c r="W4803">
        <f t="shared" si="541"/>
        <v>19738.6666666667</v>
      </c>
      <c r="X4803">
        <f t="shared" si="544"/>
        <v>0.392182602845375</v>
      </c>
      <c r="AH4803" t="str">
        <f t="shared" si="542"/>
        <v>3rd Quality</v>
      </c>
      <c r="AJ4803">
        <f>((T4803-X4803)*2)/15.7</f>
        <v>43.3146032584678</v>
      </c>
      <c r="AK4803">
        <f t="shared" ref="AK4803:AK4866" si="547">I4803/J4803*E4803</f>
        <v>406792.122727273</v>
      </c>
    </row>
    <row r="4804" spans="1:37">
      <c r="A4804" t="s">
        <v>4870</v>
      </c>
      <c r="B4804">
        <v>32</v>
      </c>
      <c r="C4804" t="s">
        <v>44</v>
      </c>
      <c r="D4804" t="s">
        <v>45</v>
      </c>
      <c r="E4804">
        <v>1397</v>
      </c>
      <c r="F4804">
        <v>28</v>
      </c>
      <c r="G4804">
        <v>22</v>
      </c>
      <c r="H4804">
        <v>1708.5</v>
      </c>
      <c r="I4804">
        <v>35328.64</v>
      </c>
      <c r="J4804">
        <v>191</v>
      </c>
      <c r="K4804">
        <v>2</v>
      </c>
      <c r="L4804">
        <v>21.4</v>
      </c>
      <c r="M4804">
        <v>39.6</v>
      </c>
      <c r="N4804" t="s">
        <v>63</v>
      </c>
      <c r="O4804" t="s">
        <v>53</v>
      </c>
      <c r="P4804" t="s">
        <v>68</v>
      </c>
      <c r="R4804">
        <f>SUMIF(A4804:A9803,"C04803",I4804:I9803)</f>
        <v>35328.64</v>
      </c>
      <c r="S4804" s="1">
        <v>8845.94</v>
      </c>
      <c r="T4804">
        <f t="shared" si="545"/>
        <v>184.966701570681</v>
      </c>
      <c r="U4804">
        <f t="shared" si="543"/>
        <v>7563.6</v>
      </c>
      <c r="V4804">
        <f>U4804*2</f>
        <v>15127.2</v>
      </c>
      <c r="W4804">
        <f t="shared" si="541"/>
        <v>12346.0466666667</v>
      </c>
      <c r="X4804">
        <f t="shared" si="544"/>
        <v>0.817676324261048</v>
      </c>
      <c r="AH4804" t="str">
        <f t="shared" si="542"/>
        <v>2nd Quality</v>
      </c>
      <c r="AJ4804">
        <f>((T4804-X4804)*2)/21.4</f>
        <v>17.2101892753664</v>
      </c>
      <c r="AK4804">
        <f t="shared" si="547"/>
        <v>258398.482094241</v>
      </c>
    </row>
    <row r="4805" spans="1:37">
      <c r="A4805" t="s">
        <v>4871</v>
      </c>
      <c r="B4805">
        <v>41</v>
      </c>
      <c r="C4805" t="s">
        <v>50</v>
      </c>
      <c r="D4805" t="s">
        <v>51</v>
      </c>
      <c r="E4805">
        <v>1368</v>
      </c>
      <c r="F4805">
        <v>42</v>
      </c>
      <c r="G4805">
        <v>14</v>
      </c>
      <c r="H4805">
        <v>1663.82</v>
      </c>
      <c r="I4805">
        <v>25419.42</v>
      </c>
      <c r="J4805">
        <v>108</v>
      </c>
      <c r="K4805">
        <v>0</v>
      </c>
      <c r="L4805">
        <v>33.9</v>
      </c>
      <c r="M4805">
        <v>32.9</v>
      </c>
      <c r="N4805" t="s">
        <v>78</v>
      </c>
      <c r="O4805" t="s">
        <v>75</v>
      </c>
      <c r="P4805" t="s">
        <v>66</v>
      </c>
      <c r="R4805">
        <f>SUMIF(A4805:A9804,"C04804",I4805:I9804)</f>
        <v>25419.42</v>
      </c>
      <c r="S4805" s="1">
        <v>39664.88</v>
      </c>
      <c r="T4805">
        <f t="shared" si="545"/>
        <v>235.365</v>
      </c>
      <c r="U4805">
        <f t="shared" si="543"/>
        <v>3553.2</v>
      </c>
      <c r="V4805">
        <f t="shared" si="546"/>
        <v>296.1</v>
      </c>
      <c r="W4805">
        <f t="shared" si="541"/>
        <v>9028.08</v>
      </c>
      <c r="X4805">
        <f t="shared" si="544"/>
        <v>0.822204324987078</v>
      </c>
      <c r="AH4805" t="str">
        <f t="shared" si="542"/>
        <v>2nd Quality</v>
      </c>
      <c r="AJ4805">
        <f>((T4805-X4805)*2)/33.9</f>
        <v>13.8373330781719</v>
      </c>
      <c r="AK4805">
        <f t="shared" si="547"/>
        <v>321979.32</v>
      </c>
    </row>
    <row r="4806" spans="1:37">
      <c r="A4806" t="s">
        <v>4872</v>
      </c>
      <c r="B4806">
        <v>35</v>
      </c>
      <c r="C4806" t="s">
        <v>44</v>
      </c>
      <c r="D4806" t="s">
        <v>60</v>
      </c>
      <c r="E4806">
        <v>1332</v>
      </c>
      <c r="F4806">
        <v>73</v>
      </c>
      <c r="G4806">
        <v>2</v>
      </c>
      <c r="H4806">
        <v>844.37</v>
      </c>
      <c r="I4806">
        <v>1882.16</v>
      </c>
      <c r="J4806">
        <v>25</v>
      </c>
      <c r="K4806">
        <v>0</v>
      </c>
      <c r="L4806">
        <v>41.5</v>
      </c>
      <c r="M4806">
        <v>17.7</v>
      </c>
      <c r="N4806" t="s">
        <v>78</v>
      </c>
      <c r="O4806" t="s">
        <v>47</v>
      </c>
      <c r="P4806" t="s">
        <v>68</v>
      </c>
      <c r="R4806">
        <f>SUMIF(A4806:A9805,"C04805",I4806:I9805)</f>
        <v>1882.16</v>
      </c>
      <c r="S4806" s="1">
        <v>31541.47</v>
      </c>
      <c r="T4806">
        <f t="shared" si="545"/>
        <v>75.2864</v>
      </c>
      <c r="U4806">
        <f t="shared" si="543"/>
        <v>442.5</v>
      </c>
      <c r="V4806">
        <f t="shared" si="546"/>
        <v>36.875</v>
      </c>
      <c r="W4806">
        <f t="shared" si="541"/>
        <v>909.176666666667</v>
      </c>
      <c r="X4806">
        <f t="shared" si="544"/>
        <v>1.57750749079195</v>
      </c>
      <c r="AH4806" t="str">
        <f t="shared" si="542"/>
        <v>3rd Quality</v>
      </c>
      <c r="AJ4806">
        <f>((T4806-X4806)*2)/41.5</f>
        <v>3.55223578357629</v>
      </c>
      <c r="AK4806">
        <f t="shared" si="547"/>
        <v>100281.4848</v>
      </c>
    </row>
    <row r="4807" spans="1:37">
      <c r="A4807" t="s">
        <v>4873</v>
      </c>
      <c r="B4807">
        <v>26</v>
      </c>
      <c r="C4807" t="s">
        <v>44</v>
      </c>
      <c r="D4807" t="s">
        <v>45</v>
      </c>
      <c r="E4807">
        <v>585</v>
      </c>
      <c r="F4807">
        <v>85</v>
      </c>
      <c r="G4807">
        <v>1</v>
      </c>
      <c r="H4807">
        <v>855.62</v>
      </c>
      <c r="I4807">
        <v>940.53</v>
      </c>
      <c r="J4807">
        <v>15</v>
      </c>
      <c r="K4807">
        <v>0</v>
      </c>
      <c r="L4807">
        <v>30.3</v>
      </c>
      <c r="M4807">
        <v>66.4</v>
      </c>
      <c r="N4807" t="s">
        <v>52</v>
      </c>
      <c r="O4807" t="s">
        <v>47</v>
      </c>
      <c r="P4807" t="s">
        <v>58</v>
      </c>
      <c r="R4807">
        <f>SUMIF(A4807:A9806,"C04806",I4807:I9806)</f>
        <v>940.53</v>
      </c>
      <c r="S4807" s="1">
        <v>10747.25</v>
      </c>
      <c r="T4807">
        <f t="shared" si="545"/>
        <v>62.702</v>
      </c>
      <c r="U4807">
        <f t="shared" si="543"/>
        <v>996</v>
      </c>
      <c r="V4807">
        <f t="shared" si="546"/>
        <v>83</v>
      </c>
      <c r="W4807">
        <f t="shared" si="541"/>
        <v>599.05</v>
      </c>
      <c r="X4807">
        <f t="shared" si="544"/>
        <v>0.683714733175943</v>
      </c>
      <c r="AH4807" t="str">
        <f t="shared" si="542"/>
        <v>3rd Quality</v>
      </c>
      <c r="AJ4807">
        <f>((T4807-X4807)*2)/30.3</f>
        <v>4.09361618922931</v>
      </c>
      <c r="AK4807">
        <f t="shared" si="547"/>
        <v>36680.67</v>
      </c>
    </row>
    <row r="4808" spans="1:37">
      <c r="A4808" t="s">
        <v>4874</v>
      </c>
      <c r="B4808">
        <v>32</v>
      </c>
      <c r="C4808" t="s">
        <v>44</v>
      </c>
      <c r="D4808" t="s">
        <v>45</v>
      </c>
      <c r="E4808">
        <v>1439</v>
      </c>
      <c r="F4808">
        <v>41</v>
      </c>
      <c r="G4808">
        <v>7</v>
      </c>
      <c r="H4808">
        <v>1271.64</v>
      </c>
      <c r="I4808">
        <v>8845.94</v>
      </c>
      <c r="J4808">
        <v>64</v>
      </c>
      <c r="K4808">
        <v>1</v>
      </c>
      <c r="L4808">
        <v>22.5</v>
      </c>
      <c r="M4808">
        <v>59.4</v>
      </c>
      <c r="N4808" t="s">
        <v>81</v>
      </c>
      <c r="O4808" t="s">
        <v>47</v>
      </c>
      <c r="P4808" t="s">
        <v>48</v>
      </c>
      <c r="R4808">
        <f>SUMIF(A4808:A9807,"C04807",I4808:I9807)</f>
        <v>8845.94</v>
      </c>
      <c r="S4808" s="1">
        <v>58831.16</v>
      </c>
      <c r="T4808">
        <f t="shared" si="545"/>
        <v>138.2178125</v>
      </c>
      <c r="U4808">
        <f t="shared" si="543"/>
        <v>3801.6</v>
      </c>
      <c r="V4808">
        <f>U4808*1</f>
        <v>3801.6</v>
      </c>
      <c r="W4808">
        <f t="shared" si="541"/>
        <v>3372.86</v>
      </c>
      <c r="X4808">
        <f t="shared" si="544"/>
        <v>1.13160957503696</v>
      </c>
      <c r="AH4808" t="str">
        <f t="shared" si="542"/>
        <v>3rd Quality</v>
      </c>
      <c r="AJ4808">
        <f>((T4808-X4808)*2)/22.5</f>
        <v>12.1854402599967</v>
      </c>
      <c r="AK4808">
        <f t="shared" si="547"/>
        <v>198895.4321875</v>
      </c>
    </row>
    <row r="4809" spans="1:37">
      <c r="A4809" t="s">
        <v>4875</v>
      </c>
      <c r="B4809">
        <v>39</v>
      </c>
      <c r="C4809" t="s">
        <v>50</v>
      </c>
      <c r="D4809" t="s">
        <v>60</v>
      </c>
      <c r="E4809">
        <v>584</v>
      </c>
      <c r="F4809">
        <v>14</v>
      </c>
      <c r="G4809">
        <v>5</v>
      </c>
      <c r="H4809">
        <v>7626.12</v>
      </c>
      <c r="I4809">
        <v>39664.88</v>
      </c>
      <c r="J4809">
        <v>18</v>
      </c>
      <c r="K4809">
        <v>1</v>
      </c>
      <c r="L4809">
        <v>0</v>
      </c>
      <c r="M4809">
        <v>15.1</v>
      </c>
      <c r="N4809" t="s">
        <v>52</v>
      </c>
      <c r="O4809" t="s">
        <v>47</v>
      </c>
      <c r="P4809" t="s">
        <v>58</v>
      </c>
      <c r="R4809">
        <f>SUMIF(A4809:A9808,"C04808",I4809:I9808)</f>
        <v>39664.88</v>
      </c>
      <c r="S4809" s="1">
        <v>1128.07</v>
      </c>
      <c r="T4809">
        <f t="shared" si="545"/>
        <v>2203.60444444444</v>
      </c>
      <c r="U4809">
        <f t="shared" si="543"/>
        <v>271.8</v>
      </c>
      <c r="V4809">
        <f>U4809*1</f>
        <v>271.8</v>
      </c>
      <c r="W4809">
        <f t="shared" ref="W4809:W4872" si="548">(H4809+I4809+1)/3</f>
        <v>15764</v>
      </c>
      <c r="X4809">
        <f t="shared" si="544"/>
        <v>0.0765789156215743</v>
      </c>
      <c r="AH4809" t="str">
        <f t="shared" si="542"/>
        <v>2nd Quality</v>
      </c>
      <c r="AJ4809">
        <f>((T4809-X4809)*2)</f>
        <v>4407.05573105764</v>
      </c>
      <c r="AK4809">
        <f t="shared" si="547"/>
        <v>1286904.99555556</v>
      </c>
    </row>
    <row r="4810" spans="1:37">
      <c r="A4810" t="s">
        <v>4876</v>
      </c>
      <c r="B4810">
        <v>45</v>
      </c>
      <c r="C4810" t="s">
        <v>44</v>
      </c>
      <c r="D4810" t="s">
        <v>60</v>
      </c>
      <c r="E4810">
        <v>627</v>
      </c>
      <c r="F4810">
        <v>13</v>
      </c>
      <c r="G4810">
        <v>10</v>
      </c>
      <c r="H4810">
        <v>3485.44</v>
      </c>
      <c r="I4810">
        <v>31541.47</v>
      </c>
      <c r="J4810">
        <v>46</v>
      </c>
      <c r="K4810">
        <v>2</v>
      </c>
      <c r="L4810">
        <v>20.5</v>
      </c>
      <c r="M4810">
        <v>44.1</v>
      </c>
      <c r="N4810" t="s">
        <v>61</v>
      </c>
      <c r="O4810" t="s">
        <v>47</v>
      </c>
      <c r="P4810" t="s">
        <v>66</v>
      </c>
      <c r="R4810">
        <f>SUMIF(A4810:A9809,"C04809",I4810:I9809)</f>
        <v>31541.47</v>
      </c>
      <c r="S4810" s="1">
        <v>60796.32</v>
      </c>
      <c r="T4810">
        <f t="shared" si="545"/>
        <v>685.684130434783</v>
      </c>
      <c r="U4810">
        <f t="shared" si="543"/>
        <v>2028.6</v>
      </c>
      <c r="V4810">
        <f>U4810*2</f>
        <v>4057.2</v>
      </c>
      <c r="W4810">
        <f t="shared" si="548"/>
        <v>11675.97</v>
      </c>
      <c r="X4810">
        <f t="shared" si="544"/>
        <v>0.179891204553801</v>
      </c>
      <c r="AH4810" t="str">
        <f t="shared" si="542"/>
        <v>3rd Quality</v>
      </c>
      <c r="AJ4810">
        <f>((T4810-X4810)*2)/20.5</f>
        <v>66.8784623639248</v>
      </c>
      <c r="AK4810">
        <f t="shared" si="547"/>
        <v>429923.949782609</v>
      </c>
    </row>
    <row r="4811" spans="1:37">
      <c r="A4811" t="s">
        <v>4877</v>
      </c>
      <c r="B4811">
        <v>37</v>
      </c>
      <c r="C4811" t="s">
        <v>44</v>
      </c>
      <c r="D4811" t="s">
        <v>45</v>
      </c>
      <c r="E4811">
        <v>923</v>
      </c>
      <c r="F4811">
        <v>59</v>
      </c>
      <c r="G4811">
        <v>1</v>
      </c>
      <c r="H4811">
        <v>9638.97</v>
      </c>
      <c r="I4811">
        <v>10747.25</v>
      </c>
      <c r="J4811">
        <v>13</v>
      </c>
      <c r="K4811">
        <v>0</v>
      </c>
      <c r="L4811">
        <v>13.9</v>
      </c>
      <c r="M4811">
        <v>38.8</v>
      </c>
      <c r="N4811" t="s">
        <v>81</v>
      </c>
      <c r="O4811" t="s">
        <v>75</v>
      </c>
      <c r="P4811" t="s">
        <v>58</v>
      </c>
      <c r="R4811">
        <f>SUMIF(A4811:A9810,"C04810",I4811:I9810)</f>
        <v>10747.25</v>
      </c>
      <c r="S4811" s="1">
        <v>1796.27</v>
      </c>
      <c r="T4811">
        <f t="shared" si="545"/>
        <v>826.711538461538</v>
      </c>
      <c r="U4811">
        <f t="shared" si="543"/>
        <v>504.4</v>
      </c>
      <c r="V4811">
        <f t="shared" si="546"/>
        <v>42.0333333333333</v>
      </c>
      <c r="W4811">
        <f t="shared" si="548"/>
        <v>6795.74</v>
      </c>
      <c r="X4811">
        <f t="shared" si="544"/>
        <v>0.0957571192772672</v>
      </c>
      <c r="AH4811" t="str">
        <f t="shared" si="542"/>
        <v>2nd Quality</v>
      </c>
      <c r="AJ4811">
        <f>((T4811-X4811)*2)/13.9</f>
        <v>118.937522495289</v>
      </c>
      <c r="AK4811">
        <f t="shared" si="547"/>
        <v>763054.75</v>
      </c>
    </row>
    <row r="4812" spans="1:37">
      <c r="A4812" t="s">
        <v>4878</v>
      </c>
      <c r="B4812">
        <v>43</v>
      </c>
      <c r="C4812" t="s">
        <v>50</v>
      </c>
      <c r="D4812" t="s">
        <v>60</v>
      </c>
      <c r="E4812">
        <v>527</v>
      </c>
      <c r="F4812">
        <v>22</v>
      </c>
      <c r="G4812">
        <v>5</v>
      </c>
      <c r="H4812">
        <v>10633.06</v>
      </c>
      <c r="I4812">
        <v>58831.16</v>
      </c>
      <c r="J4812">
        <v>40</v>
      </c>
      <c r="K4812">
        <v>0</v>
      </c>
      <c r="L4812">
        <v>0</v>
      </c>
      <c r="M4812">
        <v>30.4</v>
      </c>
      <c r="N4812" t="s">
        <v>81</v>
      </c>
      <c r="O4812" t="s">
        <v>53</v>
      </c>
      <c r="P4812" t="s">
        <v>58</v>
      </c>
      <c r="R4812">
        <f>SUMIF(A4812:A9811,"C04811",I4812:I9811)</f>
        <v>58831.16</v>
      </c>
      <c r="S4812" s="1">
        <v>7004.52</v>
      </c>
      <c r="T4812">
        <f t="shared" si="545"/>
        <v>1470.779</v>
      </c>
      <c r="U4812">
        <f t="shared" si="543"/>
        <v>1216</v>
      </c>
      <c r="V4812">
        <f t="shared" si="546"/>
        <v>101.333333333333</v>
      </c>
      <c r="W4812">
        <f t="shared" si="548"/>
        <v>23155.0733333333</v>
      </c>
      <c r="X4812">
        <f t="shared" si="544"/>
        <v>0.0495624025445168</v>
      </c>
      <c r="AH4812" t="str">
        <f t="shared" si="542"/>
        <v>2nd Quality</v>
      </c>
      <c r="AJ4812">
        <f>((T4812-X4812)*2)</f>
        <v>2941.45887519491</v>
      </c>
      <c r="AK4812">
        <f t="shared" si="547"/>
        <v>775100.533</v>
      </c>
    </row>
    <row r="4813" spans="1:37">
      <c r="A4813" t="s">
        <v>4879</v>
      </c>
      <c r="B4813">
        <v>45</v>
      </c>
      <c r="C4813" t="s">
        <v>44</v>
      </c>
      <c r="D4813" t="s">
        <v>60</v>
      </c>
      <c r="E4813">
        <v>1165</v>
      </c>
      <c r="F4813">
        <v>266</v>
      </c>
      <c r="G4813">
        <v>2</v>
      </c>
      <c r="H4813">
        <v>551.29</v>
      </c>
      <c r="I4813">
        <v>1128.07</v>
      </c>
      <c r="J4813">
        <v>12</v>
      </c>
      <c r="K4813">
        <v>0</v>
      </c>
      <c r="L4813">
        <v>23</v>
      </c>
      <c r="M4813">
        <v>19.3</v>
      </c>
      <c r="N4813" t="s">
        <v>52</v>
      </c>
      <c r="O4813" t="s">
        <v>47</v>
      </c>
      <c r="P4813" t="s">
        <v>58</v>
      </c>
      <c r="R4813">
        <f>SUMIF(A4813:A9812,"C04812",I4813:I9812)</f>
        <v>1128.07</v>
      </c>
      <c r="S4813" s="1">
        <v>125995.14</v>
      </c>
      <c r="T4813">
        <f t="shared" si="545"/>
        <v>94.0058333333333</v>
      </c>
      <c r="U4813">
        <f t="shared" si="543"/>
        <v>231.6</v>
      </c>
      <c r="V4813">
        <f t="shared" si="546"/>
        <v>19.3</v>
      </c>
      <c r="W4813">
        <f t="shared" si="548"/>
        <v>560.12</v>
      </c>
      <c r="X4813">
        <f t="shared" si="544"/>
        <v>2.11322534419271</v>
      </c>
      <c r="AH4813" t="str">
        <f t="shared" si="542"/>
        <v>3rd Quality</v>
      </c>
      <c r="AJ4813">
        <f>((T4813-X4813)*2)/23</f>
        <v>7.99066156427309</v>
      </c>
      <c r="AK4813">
        <f t="shared" si="547"/>
        <v>109516.795833333</v>
      </c>
    </row>
    <row r="4814" spans="1:37">
      <c r="A4814" t="s">
        <v>4880</v>
      </c>
      <c r="B4814">
        <v>41</v>
      </c>
      <c r="C4814" t="s">
        <v>44</v>
      </c>
      <c r="D4814" t="s">
        <v>60</v>
      </c>
      <c r="E4814">
        <v>1382</v>
      </c>
      <c r="F4814">
        <v>43</v>
      </c>
      <c r="G4814">
        <v>5</v>
      </c>
      <c r="H4814">
        <v>13298.25</v>
      </c>
      <c r="I4814">
        <v>60796.32</v>
      </c>
      <c r="J4814">
        <v>42</v>
      </c>
      <c r="K4814">
        <v>1</v>
      </c>
      <c r="L4814">
        <v>6.8</v>
      </c>
      <c r="M4814">
        <v>56.9</v>
      </c>
      <c r="N4814" t="s">
        <v>57</v>
      </c>
      <c r="O4814" t="s">
        <v>47</v>
      </c>
      <c r="P4814" t="s">
        <v>66</v>
      </c>
      <c r="R4814">
        <f>SUMIF(A4814:A9813,"C04813",I4814:I9813)</f>
        <v>60796.32</v>
      </c>
      <c r="S4814" s="1">
        <v>7801.06</v>
      </c>
      <c r="T4814">
        <f t="shared" si="545"/>
        <v>1447.53142857143</v>
      </c>
      <c r="U4814">
        <f t="shared" si="543"/>
        <v>2389.8</v>
      </c>
      <c r="V4814">
        <f>U4814*1</f>
        <v>2389.8</v>
      </c>
      <c r="W4814">
        <f t="shared" si="548"/>
        <v>24698.5233333333</v>
      </c>
      <c r="X4814">
        <f t="shared" si="544"/>
        <v>0.10392344857406</v>
      </c>
      <c r="AH4814" t="str">
        <f t="shared" ref="AH4814:AH4877" si="549">IF(AND(W4814&gt;=12550,B4814&lt;=33,E4814&gt;=915),"1st Quality",IF(AND(W4814&gt;=6275,B4814&lt;=43,E4814&gt;=457),"2nd Quality","3rd Quality"))</f>
        <v>2nd Quality</v>
      </c>
      <c r="AJ4814">
        <f>((T4814-X4814)*2)/6.8</f>
        <v>425.713972094958</v>
      </c>
      <c r="AK4814">
        <f t="shared" si="547"/>
        <v>2000488.43428571</v>
      </c>
    </row>
    <row r="4815" spans="1:37">
      <c r="A4815" t="s">
        <v>4881</v>
      </c>
      <c r="B4815">
        <v>32</v>
      </c>
      <c r="C4815" t="s">
        <v>44</v>
      </c>
      <c r="D4815" t="s">
        <v>45</v>
      </c>
      <c r="E4815">
        <v>659</v>
      </c>
      <c r="F4815">
        <v>148</v>
      </c>
      <c r="G4815">
        <v>1</v>
      </c>
      <c r="H4815">
        <v>1622.08</v>
      </c>
      <c r="I4815">
        <v>1796.27</v>
      </c>
      <c r="J4815">
        <v>12</v>
      </c>
      <c r="K4815">
        <v>0</v>
      </c>
      <c r="L4815">
        <v>5.4</v>
      </c>
      <c r="M4815">
        <v>22.1</v>
      </c>
      <c r="N4815" t="s">
        <v>61</v>
      </c>
      <c r="O4815" t="s">
        <v>47</v>
      </c>
      <c r="P4815" t="s">
        <v>66</v>
      </c>
      <c r="R4815">
        <f>SUMIF(A4815:A9814,"C04814",I4815:I9814)</f>
        <v>1796.27</v>
      </c>
      <c r="S4815" s="1">
        <v>35387.29</v>
      </c>
      <c r="T4815">
        <f t="shared" si="545"/>
        <v>149.689166666667</v>
      </c>
      <c r="U4815">
        <f t="shared" si="543"/>
        <v>265.2</v>
      </c>
      <c r="V4815">
        <f t="shared" si="546"/>
        <v>22.1</v>
      </c>
      <c r="W4815">
        <f t="shared" si="548"/>
        <v>1139.78333333333</v>
      </c>
      <c r="X4815">
        <f t="shared" si="544"/>
        <v>0.406268494772144</v>
      </c>
      <c r="AH4815" t="str">
        <f t="shared" si="549"/>
        <v>3rd Quality</v>
      </c>
      <c r="AJ4815">
        <f>((T4815-X4815)*2)/5.4</f>
        <v>55.289962285887</v>
      </c>
      <c r="AK4815">
        <f t="shared" si="547"/>
        <v>98645.1608333333</v>
      </c>
    </row>
    <row r="4816" spans="1:37">
      <c r="A4816" t="s">
        <v>4882</v>
      </c>
      <c r="B4816">
        <v>32</v>
      </c>
      <c r="C4816" t="s">
        <v>50</v>
      </c>
      <c r="D4816" t="s">
        <v>60</v>
      </c>
      <c r="E4816">
        <v>727</v>
      </c>
      <c r="F4816">
        <v>126</v>
      </c>
      <c r="G4816">
        <v>4</v>
      </c>
      <c r="H4816">
        <v>1599.22</v>
      </c>
      <c r="I4816">
        <v>7004.52</v>
      </c>
      <c r="J4816">
        <v>24</v>
      </c>
      <c r="K4816">
        <v>1</v>
      </c>
      <c r="L4816">
        <v>34.8</v>
      </c>
      <c r="M4816">
        <v>73.5</v>
      </c>
      <c r="N4816" t="s">
        <v>78</v>
      </c>
      <c r="O4816" t="s">
        <v>47</v>
      </c>
      <c r="P4816" t="s">
        <v>48</v>
      </c>
      <c r="R4816">
        <f>SUMIF(A4816:A9815,"C04815",I4816:I9815)</f>
        <v>7004.52</v>
      </c>
      <c r="S4816" s="1">
        <v>15227.77</v>
      </c>
      <c r="T4816">
        <f t="shared" si="545"/>
        <v>291.855</v>
      </c>
      <c r="U4816">
        <f t="shared" si="543"/>
        <v>1764</v>
      </c>
      <c r="V4816">
        <f>U4816*1</f>
        <v>1764</v>
      </c>
      <c r="W4816">
        <f t="shared" si="548"/>
        <v>2868.24666666667</v>
      </c>
      <c r="X4816">
        <f t="shared" si="544"/>
        <v>0.454596615850227</v>
      </c>
      <c r="AH4816" t="str">
        <f t="shared" si="549"/>
        <v>3rd Quality</v>
      </c>
      <c r="AJ4816">
        <f>((T4816-X4816)*2)/34.8</f>
        <v>16.7471496197787</v>
      </c>
      <c r="AK4816">
        <f t="shared" si="547"/>
        <v>212178.585</v>
      </c>
    </row>
    <row r="4817" spans="1:37">
      <c r="A4817" t="s">
        <v>4883</v>
      </c>
      <c r="B4817">
        <v>26</v>
      </c>
      <c r="C4817" t="s">
        <v>44</v>
      </c>
      <c r="D4817" t="s">
        <v>51</v>
      </c>
      <c r="E4817">
        <v>824</v>
      </c>
      <c r="F4817">
        <v>21</v>
      </c>
      <c r="G4817">
        <v>25</v>
      </c>
      <c r="H4817">
        <v>4508.83</v>
      </c>
      <c r="I4817">
        <v>125995.14</v>
      </c>
      <c r="J4817">
        <v>59</v>
      </c>
      <c r="K4817">
        <v>3</v>
      </c>
      <c r="L4817">
        <v>13.1</v>
      </c>
      <c r="M4817">
        <v>47.1</v>
      </c>
      <c r="N4817" t="s">
        <v>81</v>
      </c>
      <c r="O4817" t="s">
        <v>47</v>
      </c>
      <c r="P4817" t="s">
        <v>58</v>
      </c>
      <c r="R4817">
        <f>SUMIF(A4817:A9816,"C04816",I4817:I9816)</f>
        <v>125995.14</v>
      </c>
      <c r="S4817" s="1">
        <v>16389.09</v>
      </c>
      <c r="T4817">
        <f t="shared" si="545"/>
        <v>2135.51084745763</v>
      </c>
      <c r="U4817">
        <f t="shared" si="543"/>
        <v>2778.9</v>
      </c>
      <c r="V4817">
        <f>U4817*3</f>
        <v>8336.7</v>
      </c>
      <c r="W4817">
        <f t="shared" si="548"/>
        <v>43501.6566666667</v>
      </c>
      <c r="X4817">
        <f t="shared" si="544"/>
        <v>0.182752510074676</v>
      </c>
      <c r="AH4817" t="str">
        <f t="shared" si="549"/>
        <v>2nd Quality</v>
      </c>
      <c r="AJ4817">
        <f>((T4817-X4817)*2)/13.1</f>
        <v>326.00428930497</v>
      </c>
      <c r="AK4817">
        <f t="shared" si="547"/>
        <v>1759660.93830508</v>
      </c>
    </row>
    <row r="4818" spans="1:37">
      <c r="A4818" t="s">
        <v>4884</v>
      </c>
      <c r="B4818">
        <v>39</v>
      </c>
      <c r="C4818" t="s">
        <v>50</v>
      </c>
      <c r="D4818" t="s">
        <v>51</v>
      </c>
      <c r="E4818">
        <v>464</v>
      </c>
      <c r="F4818">
        <v>10</v>
      </c>
      <c r="G4818">
        <v>6</v>
      </c>
      <c r="H4818">
        <v>1297.73</v>
      </c>
      <c r="I4818">
        <v>7801.06</v>
      </c>
      <c r="J4818">
        <v>24</v>
      </c>
      <c r="K4818">
        <v>0</v>
      </c>
      <c r="L4818">
        <v>24.4</v>
      </c>
      <c r="M4818">
        <v>11.4</v>
      </c>
      <c r="N4818" t="s">
        <v>81</v>
      </c>
      <c r="O4818" t="s">
        <v>47</v>
      </c>
      <c r="P4818" t="s">
        <v>54</v>
      </c>
      <c r="R4818">
        <f>SUMIF(A4818:A9817,"C04817",I4818:I9817)</f>
        <v>7801.06</v>
      </c>
      <c r="S4818" s="1">
        <v>720.73</v>
      </c>
      <c r="T4818">
        <f t="shared" si="545"/>
        <v>325.044166666667</v>
      </c>
      <c r="U4818">
        <f t="shared" si="543"/>
        <v>273.6</v>
      </c>
      <c r="V4818">
        <f t="shared" si="546"/>
        <v>22.8</v>
      </c>
      <c r="W4818">
        <f t="shared" si="548"/>
        <v>3033.26333333333</v>
      </c>
      <c r="X4818">
        <f t="shared" si="544"/>
        <v>0.35754740970772</v>
      </c>
      <c r="AH4818" t="str">
        <f t="shared" si="549"/>
        <v>3rd Quality</v>
      </c>
      <c r="AJ4818">
        <f>((T4818-X4818)*2)/24.4</f>
        <v>26.6136573161442</v>
      </c>
      <c r="AK4818">
        <f t="shared" si="547"/>
        <v>150820.493333333</v>
      </c>
    </row>
    <row r="4819" spans="1:37">
      <c r="A4819" t="s">
        <v>4885</v>
      </c>
      <c r="B4819">
        <v>18</v>
      </c>
      <c r="C4819" t="s">
        <v>50</v>
      </c>
      <c r="D4819" t="s">
        <v>51</v>
      </c>
      <c r="E4819">
        <v>558</v>
      </c>
      <c r="F4819">
        <v>16</v>
      </c>
      <c r="G4819">
        <v>5</v>
      </c>
      <c r="H4819">
        <v>7345.1</v>
      </c>
      <c r="I4819">
        <v>35387.29</v>
      </c>
      <c r="J4819">
        <v>42</v>
      </c>
      <c r="K4819">
        <v>0</v>
      </c>
      <c r="L4819">
        <v>11.7</v>
      </c>
      <c r="M4819">
        <v>58.1</v>
      </c>
      <c r="N4819" t="s">
        <v>52</v>
      </c>
      <c r="O4819" t="s">
        <v>47</v>
      </c>
      <c r="P4819" t="s">
        <v>58</v>
      </c>
      <c r="R4819">
        <f>SUMIF(A4819:A9818,"C04818",I4819:I9818)</f>
        <v>35387.29</v>
      </c>
      <c r="S4819" s="1">
        <v>5575.16</v>
      </c>
      <c r="T4819">
        <f t="shared" si="545"/>
        <v>842.554523809524</v>
      </c>
      <c r="U4819">
        <f t="shared" si="543"/>
        <v>2440.2</v>
      </c>
      <c r="V4819">
        <f t="shared" si="546"/>
        <v>203.35</v>
      </c>
      <c r="W4819">
        <f t="shared" si="548"/>
        <v>14244.4633333333</v>
      </c>
      <c r="X4819">
        <f t="shared" si="544"/>
        <v>0.0759690133558427</v>
      </c>
      <c r="AH4819" t="str">
        <f t="shared" si="549"/>
        <v>2nd Quality</v>
      </c>
      <c r="AJ4819">
        <f>((T4819-X4819)*2)/11.7</f>
        <v>144.013428170285</v>
      </c>
      <c r="AK4819">
        <f t="shared" si="547"/>
        <v>470145.424285714</v>
      </c>
    </row>
    <row r="4820" spans="1:37">
      <c r="A4820" t="s">
        <v>4886</v>
      </c>
      <c r="B4820">
        <v>52</v>
      </c>
      <c r="C4820" t="s">
        <v>50</v>
      </c>
      <c r="D4820" t="s">
        <v>51</v>
      </c>
      <c r="E4820">
        <v>1405</v>
      </c>
      <c r="F4820">
        <v>25</v>
      </c>
      <c r="G4820">
        <v>4</v>
      </c>
      <c r="H4820">
        <v>3922.59</v>
      </c>
      <c r="I4820">
        <v>15227.77</v>
      </c>
      <c r="J4820">
        <v>21</v>
      </c>
      <c r="K4820">
        <v>0</v>
      </c>
      <c r="L4820">
        <v>3.6</v>
      </c>
      <c r="M4820">
        <v>56</v>
      </c>
      <c r="N4820" t="s">
        <v>52</v>
      </c>
      <c r="O4820" t="s">
        <v>47</v>
      </c>
      <c r="P4820" t="s">
        <v>58</v>
      </c>
      <c r="R4820">
        <f>SUMIF(A4820:A9819,"C04819",I4820:I9819)</f>
        <v>15227.77</v>
      </c>
      <c r="S4820" s="1">
        <v>7645.5</v>
      </c>
      <c r="T4820">
        <f t="shared" si="545"/>
        <v>725.131904761905</v>
      </c>
      <c r="U4820">
        <f t="shared" si="543"/>
        <v>1176</v>
      </c>
      <c r="V4820">
        <f t="shared" si="546"/>
        <v>98</v>
      </c>
      <c r="W4820">
        <f t="shared" si="548"/>
        <v>6383.78666666667</v>
      </c>
      <c r="X4820">
        <f t="shared" si="544"/>
        <v>0.358181711573221</v>
      </c>
      <c r="AH4820" t="str">
        <f t="shared" si="549"/>
        <v>3rd Quality</v>
      </c>
      <c r="AJ4820">
        <f>((T4820-X4820)*2)/3.6</f>
        <v>402.652068361295</v>
      </c>
      <c r="AK4820">
        <f t="shared" si="547"/>
        <v>1018810.32619048</v>
      </c>
    </row>
    <row r="4821" spans="1:37">
      <c r="A4821" t="s">
        <v>4887</v>
      </c>
      <c r="B4821">
        <v>32</v>
      </c>
      <c r="C4821" t="s">
        <v>44</v>
      </c>
      <c r="D4821" t="s">
        <v>60</v>
      </c>
      <c r="E4821">
        <v>1379</v>
      </c>
      <c r="F4821">
        <v>96</v>
      </c>
      <c r="G4821">
        <v>2</v>
      </c>
      <c r="H4821">
        <v>8200.24</v>
      </c>
      <c r="I4821">
        <v>16389.09</v>
      </c>
      <c r="J4821">
        <v>16</v>
      </c>
      <c r="K4821">
        <v>0</v>
      </c>
      <c r="L4821">
        <v>8</v>
      </c>
      <c r="M4821">
        <v>11.5</v>
      </c>
      <c r="N4821" t="s">
        <v>78</v>
      </c>
      <c r="O4821" t="s">
        <v>53</v>
      </c>
      <c r="P4821" t="s">
        <v>48</v>
      </c>
      <c r="R4821">
        <f>SUMIF(A4821:A9820,"C04820",I4821:I9820)</f>
        <v>16389.09</v>
      </c>
      <c r="S4821" s="1">
        <v>6789.36</v>
      </c>
      <c r="T4821">
        <f t="shared" si="545"/>
        <v>1024.318125</v>
      </c>
      <c r="U4821">
        <f t="shared" si="543"/>
        <v>184</v>
      </c>
      <c r="V4821">
        <f t="shared" si="546"/>
        <v>15.3333333333333</v>
      </c>
      <c r="W4821">
        <f t="shared" si="548"/>
        <v>8196.77666666667</v>
      </c>
      <c r="X4821">
        <f t="shared" si="544"/>
        <v>0.168165809781177</v>
      </c>
      <c r="AH4821" t="str">
        <f t="shared" si="549"/>
        <v>2nd Quality</v>
      </c>
      <c r="AJ4821">
        <f>((T4821-X4821)*2)/8</f>
        <v>256.037489797555</v>
      </c>
      <c r="AK4821">
        <f t="shared" si="547"/>
        <v>1412534.694375</v>
      </c>
    </row>
    <row r="4822" spans="1:37">
      <c r="A4822" t="s">
        <v>4888</v>
      </c>
      <c r="B4822">
        <v>20</v>
      </c>
      <c r="C4822" t="s">
        <v>44</v>
      </c>
      <c r="D4822" t="s">
        <v>60</v>
      </c>
      <c r="E4822">
        <v>918</v>
      </c>
      <c r="F4822">
        <v>18</v>
      </c>
      <c r="G4822">
        <v>1</v>
      </c>
      <c r="H4822">
        <v>655.84</v>
      </c>
      <c r="I4822">
        <v>720.73</v>
      </c>
      <c r="J4822">
        <v>5</v>
      </c>
      <c r="K4822">
        <v>0</v>
      </c>
      <c r="L4822">
        <v>22.2</v>
      </c>
      <c r="M4822">
        <v>17.8</v>
      </c>
      <c r="N4822" t="s">
        <v>57</v>
      </c>
      <c r="O4822" t="s">
        <v>47</v>
      </c>
      <c r="P4822" t="s">
        <v>58</v>
      </c>
      <c r="R4822">
        <f>SUMIF(A4822:A9821,"C04821",I4822:I9821)</f>
        <v>720.73</v>
      </c>
      <c r="S4822" s="1">
        <v>3821.71</v>
      </c>
      <c r="T4822">
        <f t="shared" si="545"/>
        <v>144.146</v>
      </c>
      <c r="U4822">
        <f t="shared" si="543"/>
        <v>89</v>
      </c>
      <c r="V4822">
        <f t="shared" si="546"/>
        <v>7.41666666666667</v>
      </c>
      <c r="W4822">
        <f t="shared" si="548"/>
        <v>459.19</v>
      </c>
      <c r="X4822">
        <f t="shared" si="544"/>
        <v>1.39973164186387</v>
      </c>
      <c r="AH4822" t="str">
        <f t="shared" si="549"/>
        <v>3rd Quality</v>
      </c>
      <c r="AJ4822">
        <f>((T4822-X4822)*2)/22.2</f>
        <v>12.8600241764087</v>
      </c>
      <c r="AK4822">
        <f t="shared" si="547"/>
        <v>132326.028</v>
      </c>
    </row>
    <row r="4823" spans="1:37">
      <c r="A4823" t="s">
        <v>4889</v>
      </c>
      <c r="B4823">
        <v>44</v>
      </c>
      <c r="C4823" t="s">
        <v>44</v>
      </c>
      <c r="D4823" t="s">
        <v>60</v>
      </c>
      <c r="E4823">
        <v>1182</v>
      </c>
      <c r="F4823">
        <v>46</v>
      </c>
      <c r="G4823">
        <v>7</v>
      </c>
      <c r="H4823">
        <v>874.37</v>
      </c>
      <c r="I4823">
        <v>5575.16</v>
      </c>
      <c r="J4823">
        <v>63</v>
      </c>
      <c r="K4823">
        <v>0</v>
      </c>
      <c r="L4823">
        <v>5.8</v>
      </c>
      <c r="M4823">
        <v>47.1</v>
      </c>
      <c r="N4823" t="s">
        <v>46</v>
      </c>
      <c r="O4823" t="s">
        <v>53</v>
      </c>
      <c r="P4823" t="s">
        <v>66</v>
      </c>
      <c r="R4823">
        <f>SUMIF(A4823:A9822,"C04822",I4823:I9822)</f>
        <v>5575.16</v>
      </c>
      <c r="S4823" s="1">
        <v>14398.62</v>
      </c>
      <c r="T4823">
        <f t="shared" si="545"/>
        <v>88.4946031746032</v>
      </c>
      <c r="U4823">
        <f t="shared" si="543"/>
        <v>2967.3</v>
      </c>
      <c r="V4823">
        <f t="shared" si="546"/>
        <v>247.275</v>
      </c>
      <c r="W4823">
        <f t="shared" si="548"/>
        <v>2150.17666666667</v>
      </c>
      <c r="X4823">
        <f t="shared" si="544"/>
        <v>1.35183046078891</v>
      </c>
      <c r="AH4823" t="str">
        <f t="shared" si="549"/>
        <v>3rd Quality</v>
      </c>
      <c r="AJ4823">
        <f>((T4823-X4823)*2)/5.8</f>
        <v>30.0492319702808</v>
      </c>
      <c r="AK4823">
        <f t="shared" si="547"/>
        <v>104600.620952381</v>
      </c>
    </row>
    <row r="4824" spans="1:37">
      <c r="A4824" t="s">
        <v>4890</v>
      </c>
      <c r="B4824">
        <v>26</v>
      </c>
      <c r="C4824" t="s">
        <v>44</v>
      </c>
      <c r="D4824" t="s">
        <v>45</v>
      </c>
      <c r="E4824">
        <v>423</v>
      </c>
      <c r="F4824">
        <v>365</v>
      </c>
      <c r="G4824">
        <v>5</v>
      </c>
      <c r="H4824">
        <v>1476.47</v>
      </c>
      <c r="I4824">
        <v>7645.5</v>
      </c>
      <c r="J4824">
        <v>33</v>
      </c>
      <c r="K4824">
        <v>0</v>
      </c>
      <c r="L4824">
        <v>28.8</v>
      </c>
      <c r="M4824">
        <v>8.5</v>
      </c>
      <c r="N4824" t="s">
        <v>63</v>
      </c>
      <c r="O4824" t="s">
        <v>47</v>
      </c>
      <c r="P4824" t="s">
        <v>58</v>
      </c>
      <c r="R4824">
        <f>SUMIF(A4824:A9823,"C04823",I4824:I9823)</f>
        <v>7645.5</v>
      </c>
      <c r="S4824" s="1">
        <v>62787.62</v>
      </c>
      <c r="T4824">
        <f t="shared" si="545"/>
        <v>231.681818181818</v>
      </c>
      <c r="U4824">
        <f t="shared" si="543"/>
        <v>280.5</v>
      </c>
      <c r="V4824">
        <f t="shared" si="546"/>
        <v>23.375</v>
      </c>
      <c r="W4824">
        <f t="shared" si="548"/>
        <v>3040.99</v>
      </c>
      <c r="X4824">
        <f t="shared" si="544"/>
        <v>0.286494138045473</v>
      </c>
      <c r="AH4824" t="str">
        <f t="shared" si="549"/>
        <v>3rd Quality</v>
      </c>
      <c r="AJ4824">
        <f>((T4824-X4824)*2)/28.8</f>
        <v>16.069119725262</v>
      </c>
      <c r="AK4824">
        <f t="shared" si="547"/>
        <v>98001.4090909091</v>
      </c>
    </row>
    <row r="4825" spans="1:37">
      <c r="A4825" t="s">
        <v>4891</v>
      </c>
      <c r="B4825">
        <v>36</v>
      </c>
      <c r="C4825" t="s">
        <v>44</v>
      </c>
      <c r="D4825" t="s">
        <v>45</v>
      </c>
      <c r="E4825">
        <v>411</v>
      </c>
      <c r="F4825">
        <v>83</v>
      </c>
      <c r="G4825">
        <v>5</v>
      </c>
      <c r="H4825">
        <v>1234.83</v>
      </c>
      <c r="I4825">
        <v>6789.36</v>
      </c>
      <c r="J4825">
        <v>48</v>
      </c>
      <c r="K4825">
        <v>0</v>
      </c>
      <c r="L4825">
        <v>40.1</v>
      </c>
      <c r="M4825">
        <v>22.1</v>
      </c>
      <c r="N4825" t="s">
        <v>61</v>
      </c>
      <c r="O4825" t="s">
        <v>47</v>
      </c>
      <c r="P4825" t="s">
        <v>58</v>
      </c>
      <c r="R4825">
        <f>SUMIF(A4825:A9824,"C04824",I4825:I9824)</f>
        <v>6789.36</v>
      </c>
      <c r="S4825" s="1">
        <v>20246.25</v>
      </c>
      <c r="T4825">
        <f t="shared" si="545"/>
        <v>141.445</v>
      </c>
      <c r="U4825">
        <f t="shared" si="543"/>
        <v>1060.8</v>
      </c>
      <c r="V4825">
        <f t="shared" si="546"/>
        <v>88.4</v>
      </c>
      <c r="W4825">
        <f t="shared" si="548"/>
        <v>2675.06333333333</v>
      </c>
      <c r="X4825">
        <f t="shared" si="544"/>
        <v>0.332839338208498</v>
      </c>
      <c r="AH4825" t="str">
        <f t="shared" si="549"/>
        <v>3rd Quality</v>
      </c>
      <c r="AJ4825">
        <f>((T4825-X4825)*2)/40.1</f>
        <v>7.0380130005881</v>
      </c>
      <c r="AK4825">
        <f t="shared" si="547"/>
        <v>58133.895</v>
      </c>
    </row>
    <row r="4826" spans="1:37">
      <c r="A4826" t="s">
        <v>4892</v>
      </c>
      <c r="B4826">
        <v>23</v>
      </c>
      <c r="C4826" t="s">
        <v>50</v>
      </c>
      <c r="D4826" t="s">
        <v>60</v>
      </c>
      <c r="E4826">
        <v>1335</v>
      </c>
      <c r="F4826">
        <v>44</v>
      </c>
      <c r="G4826">
        <v>6</v>
      </c>
      <c r="H4826">
        <v>673.52</v>
      </c>
      <c r="I4826">
        <v>3821.71</v>
      </c>
      <c r="J4826">
        <v>32</v>
      </c>
      <c r="K4826">
        <v>2</v>
      </c>
      <c r="L4826">
        <v>33.7</v>
      </c>
      <c r="M4826">
        <v>29.6</v>
      </c>
      <c r="N4826" t="s">
        <v>46</v>
      </c>
      <c r="O4826" t="s">
        <v>75</v>
      </c>
      <c r="P4826" t="s">
        <v>58</v>
      </c>
      <c r="R4826">
        <f>SUMIF(A4826:A9825,"C04825",I4826:I9825)</f>
        <v>3821.71</v>
      </c>
      <c r="S4826" s="1">
        <v>1262.81</v>
      </c>
      <c r="T4826">
        <f t="shared" si="545"/>
        <v>119.4284375</v>
      </c>
      <c r="U4826">
        <f t="shared" si="543"/>
        <v>947.2</v>
      </c>
      <c r="V4826">
        <f>U4826*2</f>
        <v>1894.4</v>
      </c>
      <c r="W4826">
        <f t="shared" si="548"/>
        <v>1498.74333333333</v>
      </c>
      <c r="X4826">
        <f t="shared" si="544"/>
        <v>1.98212376766837</v>
      </c>
      <c r="AH4826" t="str">
        <f t="shared" si="549"/>
        <v>3rd Quality</v>
      </c>
      <c r="AJ4826">
        <f>((T4826-X4826)*2)/33.7</f>
        <v>6.97010763990099</v>
      </c>
      <c r="AK4826">
        <f t="shared" si="547"/>
        <v>159436.9640625</v>
      </c>
    </row>
    <row r="4827" spans="1:37">
      <c r="A4827" t="s">
        <v>4893</v>
      </c>
      <c r="B4827">
        <v>26</v>
      </c>
      <c r="C4827" t="s">
        <v>50</v>
      </c>
      <c r="D4827" t="s">
        <v>45</v>
      </c>
      <c r="E4827">
        <v>394</v>
      </c>
      <c r="F4827">
        <v>26</v>
      </c>
      <c r="G4827">
        <v>10</v>
      </c>
      <c r="H4827">
        <v>1431.2</v>
      </c>
      <c r="I4827">
        <v>14398.62</v>
      </c>
      <c r="J4827">
        <v>54</v>
      </c>
      <c r="K4827">
        <v>0</v>
      </c>
      <c r="L4827">
        <v>20.7</v>
      </c>
      <c r="M4827">
        <v>47.4</v>
      </c>
      <c r="N4827" t="s">
        <v>63</v>
      </c>
      <c r="O4827" t="s">
        <v>53</v>
      </c>
      <c r="P4827" t="s">
        <v>66</v>
      </c>
      <c r="R4827">
        <f>SUMIF(A4827:A9826,"C04826",I4827:I9826)</f>
        <v>14398.62</v>
      </c>
      <c r="S4827" s="1">
        <v>1473.78</v>
      </c>
      <c r="T4827">
        <f t="shared" si="545"/>
        <v>266.641111111111</v>
      </c>
      <c r="U4827">
        <f t="shared" si="543"/>
        <v>2559.6</v>
      </c>
      <c r="V4827">
        <f t="shared" si="546"/>
        <v>213.3</v>
      </c>
      <c r="W4827">
        <f t="shared" si="548"/>
        <v>5276.94</v>
      </c>
      <c r="X4827">
        <f t="shared" si="544"/>
        <v>0.275293460033538</v>
      </c>
      <c r="AH4827" t="str">
        <f t="shared" si="549"/>
        <v>3rd Quality</v>
      </c>
      <c r="AJ4827">
        <f>((T4827-X4827)*2)/20.7</f>
        <v>25.7358277923746</v>
      </c>
      <c r="AK4827">
        <f t="shared" si="547"/>
        <v>105056.597777778</v>
      </c>
    </row>
    <row r="4828" spans="1:37">
      <c r="A4828" t="s">
        <v>4894</v>
      </c>
      <c r="B4828">
        <v>48</v>
      </c>
      <c r="C4828" t="s">
        <v>44</v>
      </c>
      <c r="D4828" t="s">
        <v>45</v>
      </c>
      <c r="E4828">
        <v>1141</v>
      </c>
      <c r="F4828">
        <v>5</v>
      </c>
      <c r="G4828">
        <v>25</v>
      </c>
      <c r="H4828">
        <v>2345.73</v>
      </c>
      <c r="I4828">
        <v>62787.62</v>
      </c>
      <c r="J4828">
        <v>159</v>
      </c>
      <c r="K4828">
        <v>1</v>
      </c>
      <c r="L4828">
        <v>7.1</v>
      </c>
      <c r="M4828">
        <v>46.7</v>
      </c>
      <c r="N4828" t="s">
        <v>61</v>
      </c>
      <c r="O4828" t="s">
        <v>75</v>
      </c>
      <c r="P4828" t="s">
        <v>68</v>
      </c>
      <c r="R4828">
        <f>SUMIF(A4828:A9827,"C04827",I4828:I9827)</f>
        <v>62787.62</v>
      </c>
      <c r="S4828" s="1">
        <v>50382.7</v>
      </c>
      <c r="T4828">
        <f t="shared" si="545"/>
        <v>394.890691823899</v>
      </c>
      <c r="U4828">
        <f t="shared" si="543"/>
        <v>7425.3</v>
      </c>
      <c r="V4828">
        <f>U4828*1</f>
        <v>7425.3</v>
      </c>
      <c r="W4828">
        <f t="shared" si="548"/>
        <v>21711.45</v>
      </c>
      <c r="X4828">
        <f t="shared" si="544"/>
        <v>0.486415742647278</v>
      </c>
      <c r="AH4828" t="str">
        <f t="shared" si="549"/>
        <v>3rd Quality</v>
      </c>
      <c r="AJ4828">
        <f>((T4828-X4828)*2)/7.1</f>
        <v>111.099796079226</v>
      </c>
      <c r="AK4828">
        <f t="shared" si="547"/>
        <v>450570.279371069</v>
      </c>
    </row>
    <row r="4829" spans="1:37">
      <c r="A4829" t="s">
        <v>4895</v>
      </c>
      <c r="B4829">
        <v>31</v>
      </c>
      <c r="C4829" t="s">
        <v>44</v>
      </c>
      <c r="D4829" t="s">
        <v>45</v>
      </c>
      <c r="E4829">
        <v>1454</v>
      </c>
      <c r="F4829">
        <v>60</v>
      </c>
      <c r="G4829">
        <v>13</v>
      </c>
      <c r="H4829">
        <v>1551.91</v>
      </c>
      <c r="I4829">
        <v>20246.25</v>
      </c>
      <c r="J4829">
        <v>54</v>
      </c>
      <c r="K4829">
        <v>0</v>
      </c>
      <c r="L4829">
        <v>11.1</v>
      </c>
      <c r="M4829">
        <v>32.5</v>
      </c>
      <c r="N4829" t="s">
        <v>78</v>
      </c>
      <c r="O4829" t="s">
        <v>47</v>
      </c>
      <c r="P4829" t="s">
        <v>58</v>
      </c>
      <c r="R4829">
        <f>SUMIF(A4829:A9828,"C04828",I4829:I9828)</f>
        <v>20246.25</v>
      </c>
      <c r="S4829" s="1">
        <v>21319.95</v>
      </c>
      <c r="T4829">
        <f t="shared" si="545"/>
        <v>374.930555555556</v>
      </c>
      <c r="U4829">
        <f t="shared" si="543"/>
        <v>1755</v>
      </c>
      <c r="V4829">
        <f t="shared" si="546"/>
        <v>146.25</v>
      </c>
      <c r="W4829">
        <f t="shared" si="548"/>
        <v>7266.38666666667</v>
      </c>
      <c r="X4829">
        <f t="shared" si="544"/>
        <v>0.936910001224298</v>
      </c>
      <c r="AH4829" t="str">
        <f t="shared" si="549"/>
        <v>2nd Quality</v>
      </c>
      <c r="AJ4829">
        <f>((T4829-X4829)*2)/11.1</f>
        <v>67.3862424422219</v>
      </c>
      <c r="AK4829">
        <f t="shared" si="547"/>
        <v>545149.027777778</v>
      </c>
    </row>
    <row r="4830" spans="1:37">
      <c r="A4830" t="s">
        <v>4896</v>
      </c>
      <c r="B4830">
        <v>39</v>
      </c>
      <c r="C4830" t="s">
        <v>44</v>
      </c>
      <c r="D4830" t="s">
        <v>60</v>
      </c>
      <c r="E4830">
        <v>1235</v>
      </c>
      <c r="F4830">
        <v>160</v>
      </c>
      <c r="G4830">
        <v>2</v>
      </c>
      <c r="H4830">
        <v>627.27</v>
      </c>
      <c r="I4830">
        <v>1262.81</v>
      </c>
      <c r="J4830">
        <v>26</v>
      </c>
      <c r="K4830">
        <v>0</v>
      </c>
      <c r="L4830">
        <v>36.4</v>
      </c>
      <c r="M4830">
        <v>27.5</v>
      </c>
      <c r="N4830" t="s">
        <v>61</v>
      </c>
      <c r="O4830" t="s">
        <v>47</v>
      </c>
      <c r="P4830" t="s">
        <v>66</v>
      </c>
      <c r="R4830">
        <f>SUMIF(A4830:A9829,"C04829",I4830:I9829)</f>
        <v>1262.81</v>
      </c>
      <c r="S4830" s="1">
        <v>4974.83</v>
      </c>
      <c r="T4830">
        <f t="shared" si="545"/>
        <v>48.5696153846154</v>
      </c>
      <c r="U4830">
        <f t="shared" si="543"/>
        <v>715</v>
      </c>
      <c r="V4830">
        <f t="shared" si="546"/>
        <v>59.5833333333333</v>
      </c>
      <c r="W4830">
        <f t="shared" si="548"/>
        <v>630.36</v>
      </c>
      <c r="X4830">
        <f t="shared" si="544"/>
        <v>1.9688491399238</v>
      </c>
      <c r="AH4830" t="str">
        <f t="shared" si="549"/>
        <v>3rd Quality</v>
      </c>
      <c r="AJ4830">
        <f>((T4830-X4830)*2)/36.4</f>
        <v>2.56048166179624</v>
      </c>
      <c r="AK4830">
        <f t="shared" si="547"/>
        <v>59983.475</v>
      </c>
    </row>
    <row r="4831" spans="1:37">
      <c r="A4831" t="s">
        <v>4897</v>
      </c>
      <c r="B4831">
        <v>34</v>
      </c>
      <c r="C4831" t="s">
        <v>44</v>
      </c>
      <c r="D4831" t="s">
        <v>60</v>
      </c>
      <c r="E4831">
        <v>802</v>
      </c>
      <c r="F4831">
        <v>289</v>
      </c>
      <c r="G4831">
        <v>1</v>
      </c>
      <c r="H4831">
        <v>1385.15</v>
      </c>
      <c r="I4831">
        <v>1473.78</v>
      </c>
      <c r="J4831">
        <v>14</v>
      </c>
      <c r="K4831">
        <v>0</v>
      </c>
      <c r="L4831">
        <v>20</v>
      </c>
      <c r="M4831">
        <v>44.8</v>
      </c>
      <c r="N4831" t="s">
        <v>57</v>
      </c>
      <c r="O4831" t="s">
        <v>53</v>
      </c>
      <c r="P4831" t="s">
        <v>58</v>
      </c>
      <c r="R4831">
        <f>SUMIF(A4831:A9830,"C04830",I4831:I9830)</f>
        <v>1473.78</v>
      </c>
      <c r="S4831" s="1">
        <v>3539.63</v>
      </c>
      <c r="T4831">
        <f t="shared" si="545"/>
        <v>105.27</v>
      </c>
      <c r="U4831">
        <f t="shared" si="543"/>
        <v>627.2</v>
      </c>
      <c r="V4831">
        <f t="shared" si="546"/>
        <v>52.2666666666667</v>
      </c>
      <c r="W4831">
        <f t="shared" si="548"/>
        <v>953.31</v>
      </c>
      <c r="X4831">
        <f t="shared" si="544"/>
        <v>0.578998664404577</v>
      </c>
      <c r="AH4831" t="str">
        <f t="shared" si="549"/>
        <v>3rd Quality</v>
      </c>
      <c r="AJ4831">
        <f>((T4831-X4831)*2)/20</f>
        <v>10.4691001335595</v>
      </c>
      <c r="AK4831">
        <f t="shared" si="547"/>
        <v>84426.54</v>
      </c>
    </row>
    <row r="4832" spans="1:37">
      <c r="A4832" t="s">
        <v>4898</v>
      </c>
      <c r="B4832">
        <v>32</v>
      </c>
      <c r="C4832" t="s">
        <v>50</v>
      </c>
      <c r="D4832" t="s">
        <v>45</v>
      </c>
      <c r="E4832">
        <v>955</v>
      </c>
      <c r="F4832">
        <v>19</v>
      </c>
      <c r="G4832">
        <v>4</v>
      </c>
      <c r="H4832">
        <v>13697.96</v>
      </c>
      <c r="I4832">
        <v>50382.7</v>
      </c>
      <c r="J4832">
        <v>36</v>
      </c>
      <c r="K4832">
        <v>1</v>
      </c>
      <c r="L4832">
        <v>4.7</v>
      </c>
      <c r="M4832">
        <v>25.4</v>
      </c>
      <c r="N4832" t="s">
        <v>57</v>
      </c>
      <c r="O4832" t="s">
        <v>47</v>
      </c>
      <c r="P4832" t="s">
        <v>68</v>
      </c>
      <c r="R4832">
        <f>SUMIF(A4832:A9831,"C04831",I4832:I9831)</f>
        <v>50382.7</v>
      </c>
      <c r="S4832" s="1">
        <v>2777.9</v>
      </c>
      <c r="T4832">
        <f t="shared" si="545"/>
        <v>1399.51944444444</v>
      </c>
      <c r="U4832">
        <f t="shared" si="543"/>
        <v>914.4</v>
      </c>
      <c r="V4832">
        <f>U4832*1</f>
        <v>914.4</v>
      </c>
      <c r="W4832">
        <f t="shared" si="548"/>
        <v>21360.5533333333</v>
      </c>
      <c r="X4832">
        <f t="shared" si="544"/>
        <v>0.0697184106246478</v>
      </c>
      <c r="AH4832" t="str">
        <f t="shared" si="549"/>
        <v>1st Quality</v>
      </c>
      <c r="AJ4832">
        <f>((T4832-X4832)*2)/4.7</f>
        <v>595.510521716517</v>
      </c>
      <c r="AK4832">
        <f t="shared" si="547"/>
        <v>1336541.06944444</v>
      </c>
    </row>
    <row r="4833" spans="1:37">
      <c r="A4833" t="s">
        <v>4899</v>
      </c>
      <c r="B4833">
        <v>27</v>
      </c>
      <c r="C4833" t="s">
        <v>44</v>
      </c>
      <c r="D4833" t="s">
        <v>60</v>
      </c>
      <c r="E4833">
        <v>1027</v>
      </c>
      <c r="F4833">
        <v>50</v>
      </c>
      <c r="G4833">
        <v>11</v>
      </c>
      <c r="H4833">
        <v>1843.11</v>
      </c>
      <c r="I4833">
        <v>21319.95</v>
      </c>
      <c r="J4833">
        <v>94</v>
      </c>
      <c r="K4833">
        <v>2</v>
      </c>
      <c r="L4833">
        <v>8.2</v>
      </c>
      <c r="M4833">
        <v>20.8</v>
      </c>
      <c r="N4833" t="s">
        <v>78</v>
      </c>
      <c r="O4833" t="s">
        <v>75</v>
      </c>
      <c r="P4833" t="s">
        <v>58</v>
      </c>
      <c r="R4833">
        <f>SUMIF(A4833:A9832,"C04832",I4833:I9832)</f>
        <v>21319.95</v>
      </c>
      <c r="S4833" s="1">
        <v>1086.89</v>
      </c>
      <c r="T4833">
        <f t="shared" si="545"/>
        <v>226.807978723404</v>
      </c>
      <c r="U4833">
        <f t="shared" si="543"/>
        <v>1955.2</v>
      </c>
      <c r="V4833">
        <f>U4833*2</f>
        <v>3910.4</v>
      </c>
      <c r="W4833">
        <f t="shared" si="548"/>
        <v>7721.35333333333</v>
      </c>
      <c r="X4833">
        <f t="shared" si="544"/>
        <v>0.557210367259686</v>
      </c>
      <c r="AH4833" t="str">
        <f t="shared" si="549"/>
        <v>2nd Quality</v>
      </c>
      <c r="AJ4833">
        <f>((T4833-X4833)*2)/8.2</f>
        <v>55.1831142332059</v>
      </c>
      <c r="AK4833">
        <f t="shared" si="547"/>
        <v>232931.794148936</v>
      </c>
    </row>
    <row r="4834" spans="1:37">
      <c r="A4834" t="s">
        <v>4900</v>
      </c>
      <c r="B4834">
        <v>20</v>
      </c>
      <c r="C4834" t="s">
        <v>50</v>
      </c>
      <c r="D4834" t="s">
        <v>60</v>
      </c>
      <c r="E4834">
        <v>854</v>
      </c>
      <c r="F4834">
        <v>24</v>
      </c>
      <c r="G4834">
        <v>3</v>
      </c>
      <c r="H4834">
        <v>1508.45</v>
      </c>
      <c r="I4834">
        <v>4974.83</v>
      </c>
      <c r="J4834">
        <v>30</v>
      </c>
      <c r="K4834">
        <v>0</v>
      </c>
      <c r="L4834">
        <v>16.4</v>
      </c>
      <c r="M4834">
        <v>22.6</v>
      </c>
      <c r="N4834" t="s">
        <v>57</v>
      </c>
      <c r="O4834" t="s">
        <v>47</v>
      </c>
      <c r="P4834" t="s">
        <v>58</v>
      </c>
      <c r="R4834">
        <f>SUMIF(A4834:A9833,"C04833",I4834:I9833)</f>
        <v>4974.83</v>
      </c>
      <c r="S4834" s="1">
        <v>91362.99</v>
      </c>
      <c r="T4834">
        <f t="shared" si="545"/>
        <v>165.827666666667</v>
      </c>
      <c r="U4834">
        <f t="shared" ref="U4834:U4897" si="550">J4834*M4834</f>
        <v>678</v>
      </c>
      <c r="V4834">
        <f t="shared" si="546"/>
        <v>56.5</v>
      </c>
      <c r="W4834">
        <f t="shared" si="548"/>
        <v>2161.42666666667</v>
      </c>
      <c r="X4834">
        <f t="shared" si="544"/>
        <v>0.566144055155955</v>
      </c>
      <c r="AH4834" t="str">
        <f t="shared" si="549"/>
        <v>3rd Quality</v>
      </c>
      <c r="AJ4834">
        <f>((T4834-X4834)*2)/16.4</f>
        <v>20.153844220916</v>
      </c>
      <c r="AK4834">
        <f t="shared" si="547"/>
        <v>141616.827333333</v>
      </c>
    </row>
    <row r="4835" spans="1:37">
      <c r="A4835" t="s">
        <v>4901</v>
      </c>
      <c r="B4835">
        <v>38</v>
      </c>
      <c r="C4835" t="s">
        <v>50</v>
      </c>
      <c r="D4835" t="s">
        <v>45</v>
      </c>
      <c r="E4835">
        <v>1404</v>
      </c>
      <c r="F4835">
        <v>141</v>
      </c>
      <c r="G4835">
        <v>5</v>
      </c>
      <c r="H4835">
        <v>782.71</v>
      </c>
      <c r="I4835">
        <v>3539.63</v>
      </c>
      <c r="J4835">
        <v>43</v>
      </c>
      <c r="K4835">
        <v>0</v>
      </c>
      <c r="L4835">
        <v>29.9</v>
      </c>
      <c r="M4835">
        <v>39.6</v>
      </c>
      <c r="N4835" t="s">
        <v>57</v>
      </c>
      <c r="O4835" t="s">
        <v>53</v>
      </c>
      <c r="P4835" t="s">
        <v>58</v>
      </c>
      <c r="R4835">
        <f>SUMIF(A4835:A9834,"C04834",I4835:I9834)</f>
        <v>3539.63</v>
      </c>
      <c r="S4835" s="1">
        <v>98920.41</v>
      </c>
      <c r="T4835">
        <f t="shared" si="545"/>
        <v>82.316976744186</v>
      </c>
      <c r="U4835">
        <f t="shared" si="550"/>
        <v>1702.8</v>
      </c>
      <c r="V4835">
        <f t="shared" si="546"/>
        <v>141.9</v>
      </c>
      <c r="W4835">
        <f t="shared" si="548"/>
        <v>1441.11333333333</v>
      </c>
      <c r="X4835">
        <f t="shared" si="544"/>
        <v>1.7937678067228</v>
      </c>
      <c r="AH4835" t="str">
        <f t="shared" si="549"/>
        <v>3rd Quality</v>
      </c>
      <c r="AJ4835">
        <f>((T4835-X4835)*2)/29.9</f>
        <v>5.38616782190389</v>
      </c>
      <c r="AK4835">
        <f t="shared" si="547"/>
        <v>115573.035348837</v>
      </c>
    </row>
    <row r="4836" spans="1:37">
      <c r="A4836" t="s">
        <v>4902</v>
      </c>
      <c r="B4836">
        <v>34</v>
      </c>
      <c r="C4836" t="s">
        <v>50</v>
      </c>
      <c r="D4836" t="s">
        <v>45</v>
      </c>
      <c r="E4836">
        <v>418</v>
      </c>
      <c r="F4836">
        <v>18</v>
      </c>
      <c r="G4836">
        <v>4</v>
      </c>
      <c r="H4836">
        <v>776.43</v>
      </c>
      <c r="I4836">
        <v>2777.9</v>
      </c>
      <c r="J4836">
        <v>26</v>
      </c>
      <c r="K4836">
        <v>0</v>
      </c>
      <c r="L4836">
        <v>11.2</v>
      </c>
      <c r="M4836">
        <v>21.7</v>
      </c>
      <c r="N4836" t="s">
        <v>78</v>
      </c>
      <c r="O4836" t="s">
        <v>47</v>
      </c>
      <c r="P4836" t="s">
        <v>58</v>
      </c>
      <c r="R4836">
        <f>SUMIF(A4836:A9835,"C04835",I4836:I9835)</f>
        <v>2777.9</v>
      </c>
      <c r="S4836" s="1">
        <v>40657.41</v>
      </c>
      <c r="T4836">
        <f t="shared" si="545"/>
        <v>106.842307692308</v>
      </c>
      <c r="U4836">
        <f t="shared" si="550"/>
        <v>564.2</v>
      </c>
      <c r="V4836">
        <f t="shared" si="546"/>
        <v>47.0166666666667</v>
      </c>
      <c r="W4836">
        <f t="shared" si="548"/>
        <v>1185.11</v>
      </c>
      <c r="X4836">
        <f t="shared" si="544"/>
        <v>0.538361474955888</v>
      </c>
      <c r="AH4836" t="str">
        <f t="shared" si="549"/>
        <v>3rd Quality</v>
      </c>
      <c r="AJ4836">
        <f>((T4836-X4836)*2)/11.2</f>
        <v>18.9828475388129</v>
      </c>
      <c r="AK4836">
        <f t="shared" si="547"/>
        <v>44660.0846153846</v>
      </c>
    </row>
    <row r="4837" spans="1:37">
      <c r="A4837" t="s">
        <v>4903</v>
      </c>
      <c r="B4837">
        <v>28</v>
      </c>
      <c r="C4837" t="s">
        <v>44</v>
      </c>
      <c r="D4837" t="s">
        <v>45</v>
      </c>
      <c r="E4837">
        <v>1412</v>
      </c>
      <c r="F4837">
        <v>45</v>
      </c>
      <c r="G4837">
        <v>1</v>
      </c>
      <c r="H4837">
        <v>1206.32</v>
      </c>
      <c r="I4837">
        <v>1086.89</v>
      </c>
      <c r="J4837">
        <v>10</v>
      </c>
      <c r="K4837">
        <v>0</v>
      </c>
      <c r="L4837">
        <v>32.8</v>
      </c>
      <c r="M4837">
        <v>19.7</v>
      </c>
      <c r="N4837" t="s">
        <v>63</v>
      </c>
      <c r="O4837" t="s">
        <v>53</v>
      </c>
      <c r="P4837" t="s">
        <v>58</v>
      </c>
      <c r="R4837">
        <f>SUMIF(A4837:A9836,"C04836",I4837:I9836)</f>
        <v>1086.89</v>
      </c>
      <c r="S4837" s="1">
        <v>606693</v>
      </c>
      <c r="T4837">
        <f t="shared" si="545"/>
        <v>108.689</v>
      </c>
      <c r="U4837">
        <f t="shared" si="550"/>
        <v>197</v>
      </c>
      <c r="V4837">
        <f t="shared" si="546"/>
        <v>16.4166666666667</v>
      </c>
      <c r="W4837">
        <f t="shared" si="548"/>
        <v>764.736666666667</v>
      </c>
      <c r="X4837">
        <f t="shared" si="544"/>
        <v>1.17050202268055</v>
      </c>
      <c r="AH4837" t="str">
        <f t="shared" si="549"/>
        <v>3rd Quality</v>
      </c>
      <c r="AJ4837">
        <f>((T4837-X4837)*2)/32.8</f>
        <v>6.5560059742268</v>
      </c>
      <c r="AK4837">
        <f t="shared" si="547"/>
        <v>153468.868</v>
      </c>
    </row>
    <row r="4838" spans="1:37">
      <c r="A4838" t="s">
        <v>4904</v>
      </c>
      <c r="B4838">
        <v>30</v>
      </c>
      <c r="C4838" t="s">
        <v>50</v>
      </c>
      <c r="D4838" t="s">
        <v>45</v>
      </c>
      <c r="E4838">
        <v>1307</v>
      </c>
      <c r="F4838">
        <v>27</v>
      </c>
      <c r="G4838">
        <v>19</v>
      </c>
      <c r="H4838">
        <v>4551.44</v>
      </c>
      <c r="I4838">
        <v>91362.99</v>
      </c>
      <c r="J4838">
        <v>62</v>
      </c>
      <c r="K4838">
        <v>2</v>
      </c>
      <c r="L4838">
        <v>13.1</v>
      </c>
      <c r="M4838">
        <v>23.2</v>
      </c>
      <c r="N4838" t="s">
        <v>63</v>
      </c>
      <c r="O4838" t="s">
        <v>47</v>
      </c>
      <c r="P4838" t="s">
        <v>66</v>
      </c>
      <c r="R4838">
        <f>SUMIF(A4838:A9837,"C04837",I4838:I9837)</f>
        <v>91362.99</v>
      </c>
      <c r="S4838" s="1">
        <v>2095.56</v>
      </c>
      <c r="T4838">
        <f t="shared" si="545"/>
        <v>1473.59661290323</v>
      </c>
      <c r="U4838">
        <f t="shared" si="550"/>
        <v>1438.4</v>
      </c>
      <c r="V4838">
        <f>U4838*2</f>
        <v>2876.8</v>
      </c>
      <c r="W4838">
        <f t="shared" si="548"/>
        <v>31971.81</v>
      </c>
      <c r="X4838">
        <f t="shared" ref="X4838:X4901" si="551">E4838/H4838</f>
        <v>0.287161865255831</v>
      </c>
      <c r="AH4838" t="str">
        <f t="shared" si="549"/>
        <v>1st Quality</v>
      </c>
      <c r="AJ4838">
        <f>((T4838-X4838)*2)/13.1</f>
        <v>224.932740616485</v>
      </c>
      <c r="AK4838">
        <f t="shared" si="547"/>
        <v>1925990.77306452</v>
      </c>
    </row>
    <row r="4839" spans="1:37">
      <c r="A4839" t="s">
        <v>4905</v>
      </c>
      <c r="B4839">
        <v>47</v>
      </c>
      <c r="C4839" t="s">
        <v>50</v>
      </c>
      <c r="D4839" t="s">
        <v>51</v>
      </c>
      <c r="E4839">
        <v>474</v>
      </c>
      <c r="F4839">
        <v>1</v>
      </c>
      <c r="G4839">
        <v>25</v>
      </c>
      <c r="H4839">
        <v>4062.89</v>
      </c>
      <c r="I4839">
        <v>98920.41</v>
      </c>
      <c r="J4839">
        <v>183</v>
      </c>
      <c r="K4839">
        <v>0</v>
      </c>
      <c r="L4839">
        <v>0</v>
      </c>
      <c r="M4839">
        <v>27.7</v>
      </c>
      <c r="N4839" t="s">
        <v>52</v>
      </c>
      <c r="O4839" t="s">
        <v>53</v>
      </c>
      <c r="P4839" t="s">
        <v>58</v>
      </c>
      <c r="R4839">
        <f>SUMIF(A4839:A9838,"C04838",I4839:I9838)</f>
        <v>98920.41</v>
      </c>
      <c r="S4839" s="1">
        <v>6910.37</v>
      </c>
      <c r="T4839">
        <f t="shared" si="545"/>
        <v>540.54868852459</v>
      </c>
      <c r="U4839">
        <f t="shared" si="550"/>
        <v>5069.1</v>
      </c>
      <c r="V4839">
        <f t="shared" si="546"/>
        <v>422.425</v>
      </c>
      <c r="W4839">
        <f t="shared" si="548"/>
        <v>34328.1</v>
      </c>
      <c r="X4839">
        <f t="shared" si="551"/>
        <v>0.116665723167499</v>
      </c>
      <c r="AH4839" t="str">
        <f t="shared" si="549"/>
        <v>3rd Quality</v>
      </c>
      <c r="AJ4839">
        <f>((T4839-X4839)*2)</f>
        <v>1080.86404560285</v>
      </c>
      <c r="AK4839">
        <f t="shared" si="547"/>
        <v>256220.078360656</v>
      </c>
    </row>
    <row r="4840" spans="1:37">
      <c r="A4840" t="s">
        <v>4906</v>
      </c>
      <c r="B4840">
        <v>42</v>
      </c>
      <c r="C4840" t="s">
        <v>101</v>
      </c>
      <c r="D4840" t="s">
        <v>45</v>
      </c>
      <c r="E4840">
        <v>988</v>
      </c>
      <c r="F4840">
        <v>8</v>
      </c>
      <c r="G4840">
        <v>17</v>
      </c>
      <c r="H4840">
        <v>2412.17</v>
      </c>
      <c r="I4840">
        <v>40657.41</v>
      </c>
      <c r="J4840">
        <v>41</v>
      </c>
      <c r="K4840">
        <v>0</v>
      </c>
      <c r="L4840">
        <v>9.3</v>
      </c>
      <c r="M4840">
        <v>65.8</v>
      </c>
      <c r="N4840" t="s">
        <v>78</v>
      </c>
      <c r="O4840" t="s">
        <v>53</v>
      </c>
      <c r="P4840" t="s">
        <v>48</v>
      </c>
      <c r="R4840">
        <f>SUMIF(A4840:A9839,"C04839",I4840:I9839)</f>
        <v>40657.41</v>
      </c>
      <c r="S4840" s="1">
        <v>11717.64</v>
      </c>
      <c r="T4840">
        <f t="shared" si="545"/>
        <v>991.644146341464</v>
      </c>
      <c r="U4840">
        <f t="shared" si="550"/>
        <v>2697.8</v>
      </c>
      <c r="V4840">
        <f t="shared" si="546"/>
        <v>224.816666666667</v>
      </c>
      <c r="W4840">
        <f t="shared" si="548"/>
        <v>14356.86</v>
      </c>
      <c r="X4840">
        <f t="shared" si="551"/>
        <v>0.40958970553485</v>
      </c>
      <c r="AH4840" t="str">
        <f t="shared" si="549"/>
        <v>2nd Quality</v>
      </c>
      <c r="AJ4840">
        <f>((T4840-X4840)*2)/9.3</f>
        <v>213.168721857189</v>
      </c>
      <c r="AK4840">
        <f t="shared" si="547"/>
        <v>979744.416585366</v>
      </c>
    </row>
    <row r="4841" spans="1:37">
      <c r="A4841" t="s">
        <v>4907</v>
      </c>
      <c r="B4841">
        <v>36</v>
      </c>
      <c r="C4841" t="s">
        <v>44</v>
      </c>
      <c r="D4841" t="s">
        <v>60</v>
      </c>
      <c r="E4841">
        <v>1063</v>
      </c>
      <c r="F4841">
        <v>2</v>
      </c>
      <c r="G4841">
        <v>27</v>
      </c>
      <c r="H4841">
        <v>2130.26</v>
      </c>
      <c r="I4841">
        <v>606693</v>
      </c>
      <c r="J4841">
        <v>142</v>
      </c>
      <c r="K4841">
        <v>4</v>
      </c>
      <c r="L4841">
        <v>2.4</v>
      </c>
      <c r="M4841">
        <v>38.5</v>
      </c>
      <c r="N4841" t="s">
        <v>63</v>
      </c>
      <c r="O4841" t="s">
        <v>47</v>
      </c>
      <c r="P4841" t="s">
        <v>48</v>
      </c>
      <c r="R4841">
        <f>SUMIF(A4841:A9840,"C04840",I4841:I9840)</f>
        <v>606693</v>
      </c>
      <c r="S4841" s="1">
        <v>60392.34</v>
      </c>
      <c r="T4841">
        <f t="shared" si="545"/>
        <v>4272.48591549296</v>
      </c>
      <c r="U4841">
        <f t="shared" si="550"/>
        <v>5467</v>
      </c>
      <c r="V4841">
        <f>U4841*4</f>
        <v>21868</v>
      </c>
      <c r="W4841">
        <f t="shared" si="548"/>
        <v>202941.42</v>
      </c>
      <c r="X4841">
        <f t="shared" si="551"/>
        <v>0.499000122050829</v>
      </c>
      <c r="AH4841" t="str">
        <f t="shared" si="549"/>
        <v>2nd Quality</v>
      </c>
      <c r="AJ4841">
        <f>((T4841-X4841)*2)/2.4</f>
        <v>3559.98909614242</v>
      </c>
      <c r="AK4841">
        <f t="shared" si="547"/>
        <v>4541652.52816901</v>
      </c>
    </row>
    <row r="4842" spans="1:37">
      <c r="A4842" t="s">
        <v>4908</v>
      </c>
      <c r="B4842">
        <v>25</v>
      </c>
      <c r="C4842" t="s">
        <v>50</v>
      </c>
      <c r="D4842" t="s">
        <v>45</v>
      </c>
      <c r="E4842">
        <v>1444</v>
      </c>
      <c r="F4842">
        <v>234</v>
      </c>
      <c r="G4842">
        <v>1</v>
      </c>
      <c r="H4842">
        <v>2084.01</v>
      </c>
      <c r="I4842">
        <v>2095.56</v>
      </c>
      <c r="J4842">
        <v>12</v>
      </c>
      <c r="K4842">
        <v>0</v>
      </c>
      <c r="L4842">
        <v>23.6</v>
      </c>
      <c r="M4842">
        <v>2.6</v>
      </c>
      <c r="N4842" t="s">
        <v>52</v>
      </c>
      <c r="O4842" t="s">
        <v>47</v>
      </c>
      <c r="P4842" t="s">
        <v>68</v>
      </c>
      <c r="R4842">
        <f>SUMIF(A4842:A9841,"C04841",I4842:I9841)</f>
        <v>2095.56</v>
      </c>
      <c r="S4842" s="1">
        <v>6608.72</v>
      </c>
      <c r="T4842">
        <f t="shared" si="545"/>
        <v>174.63</v>
      </c>
      <c r="U4842">
        <f t="shared" si="550"/>
        <v>31.2</v>
      </c>
      <c r="V4842">
        <f t="shared" si="546"/>
        <v>2.6</v>
      </c>
      <c r="W4842">
        <f t="shared" si="548"/>
        <v>1393.52333333333</v>
      </c>
      <c r="X4842">
        <f t="shared" si="551"/>
        <v>0.69289494772098</v>
      </c>
      <c r="AH4842" t="str">
        <f t="shared" si="549"/>
        <v>3rd Quality</v>
      </c>
      <c r="AJ4842">
        <f>((T4842-X4842)*2)/23.6</f>
        <v>14.7404326315491</v>
      </c>
      <c r="AK4842">
        <f t="shared" si="547"/>
        <v>252165.72</v>
      </c>
    </row>
    <row r="4843" spans="1:37">
      <c r="A4843" t="s">
        <v>4909</v>
      </c>
      <c r="B4843">
        <v>38</v>
      </c>
      <c r="C4843" t="s">
        <v>50</v>
      </c>
      <c r="D4843" t="s">
        <v>45</v>
      </c>
      <c r="E4843">
        <v>1453</v>
      </c>
      <c r="F4843">
        <v>20</v>
      </c>
      <c r="G4843">
        <v>7</v>
      </c>
      <c r="H4843">
        <v>964.03</v>
      </c>
      <c r="I4843">
        <v>6910.37</v>
      </c>
      <c r="J4843">
        <v>45</v>
      </c>
      <c r="K4843">
        <v>0</v>
      </c>
      <c r="L4843">
        <v>45</v>
      </c>
      <c r="M4843">
        <v>3.1</v>
      </c>
      <c r="N4843" t="s">
        <v>52</v>
      </c>
      <c r="O4843" t="s">
        <v>47</v>
      </c>
      <c r="P4843" t="s">
        <v>58</v>
      </c>
      <c r="R4843">
        <f>SUMIF(A4843:A9842,"C04842",I4843:I9842)</f>
        <v>6910.37</v>
      </c>
      <c r="S4843" s="1">
        <v>23851.07</v>
      </c>
      <c r="T4843">
        <f t="shared" ref="T4843:T4906" si="552">I4843/J4843</f>
        <v>153.563777777778</v>
      </c>
      <c r="U4843">
        <f t="shared" si="550"/>
        <v>139.5</v>
      </c>
      <c r="V4843">
        <f t="shared" si="546"/>
        <v>11.625</v>
      </c>
      <c r="W4843">
        <f t="shared" si="548"/>
        <v>2625.13333333333</v>
      </c>
      <c r="X4843">
        <f t="shared" si="551"/>
        <v>1.50721450577264</v>
      </c>
      <c r="AH4843" t="str">
        <f t="shared" si="549"/>
        <v>3rd Quality</v>
      </c>
      <c r="AJ4843">
        <f>((T4843-X4843)*2)/45</f>
        <v>6.75806947875579</v>
      </c>
      <c r="AK4843">
        <f t="shared" si="547"/>
        <v>223128.169111111</v>
      </c>
    </row>
    <row r="4844" spans="1:37">
      <c r="A4844" t="s">
        <v>4910</v>
      </c>
      <c r="B4844">
        <v>26</v>
      </c>
      <c r="C4844" t="s">
        <v>44</v>
      </c>
      <c r="D4844" t="s">
        <v>45</v>
      </c>
      <c r="E4844">
        <v>883</v>
      </c>
      <c r="F4844">
        <v>11</v>
      </c>
      <c r="G4844">
        <v>9</v>
      </c>
      <c r="H4844">
        <v>1200.9</v>
      </c>
      <c r="I4844">
        <v>11717.64</v>
      </c>
      <c r="J4844">
        <v>59</v>
      </c>
      <c r="K4844">
        <v>1</v>
      </c>
      <c r="L4844">
        <v>21.2</v>
      </c>
      <c r="M4844">
        <v>21.1</v>
      </c>
      <c r="N4844" t="s">
        <v>46</v>
      </c>
      <c r="O4844" t="s">
        <v>47</v>
      </c>
      <c r="P4844" t="s">
        <v>58</v>
      </c>
      <c r="R4844">
        <f>SUMIF(A4844:A9843,"C04843",I4844:I9843)</f>
        <v>11717.64</v>
      </c>
      <c r="S4844" s="1">
        <v>53447.44</v>
      </c>
      <c r="T4844">
        <f t="shared" si="552"/>
        <v>198.60406779661</v>
      </c>
      <c r="U4844">
        <f t="shared" si="550"/>
        <v>1244.9</v>
      </c>
      <c r="V4844">
        <f>U4844*1</f>
        <v>1244.9</v>
      </c>
      <c r="W4844">
        <f t="shared" si="548"/>
        <v>4306.51333333333</v>
      </c>
      <c r="X4844">
        <f t="shared" si="551"/>
        <v>0.735281871929386</v>
      </c>
      <c r="AH4844" t="str">
        <f t="shared" si="549"/>
        <v>3rd Quality</v>
      </c>
      <c r="AJ4844">
        <f>((T4844-X4844)*2)/21.2</f>
        <v>18.666866596668</v>
      </c>
      <c r="AK4844">
        <f t="shared" si="547"/>
        <v>175367.391864407</v>
      </c>
    </row>
    <row r="4845" spans="1:37">
      <c r="A4845" t="s">
        <v>4911</v>
      </c>
      <c r="B4845">
        <v>29</v>
      </c>
      <c r="C4845" t="s">
        <v>44</v>
      </c>
      <c r="D4845" t="s">
        <v>51</v>
      </c>
      <c r="E4845">
        <v>566</v>
      </c>
      <c r="F4845">
        <v>27</v>
      </c>
      <c r="G4845">
        <v>15</v>
      </c>
      <c r="H4845">
        <v>4073.81</v>
      </c>
      <c r="I4845">
        <v>60392.34</v>
      </c>
      <c r="J4845">
        <v>55</v>
      </c>
      <c r="K4845">
        <v>3</v>
      </c>
      <c r="L4845">
        <v>32.3</v>
      </c>
      <c r="M4845">
        <v>10.1</v>
      </c>
      <c r="N4845" t="s">
        <v>81</v>
      </c>
      <c r="O4845" t="s">
        <v>47</v>
      </c>
      <c r="P4845" t="s">
        <v>68</v>
      </c>
      <c r="R4845">
        <f>SUMIF(A4845:A9844,"C04844",I4845:I9844)</f>
        <v>60392.34</v>
      </c>
      <c r="S4845" s="1">
        <v>34028.17</v>
      </c>
      <c r="T4845">
        <f t="shared" si="552"/>
        <v>1098.04254545455</v>
      </c>
      <c r="U4845">
        <f t="shared" si="550"/>
        <v>555.5</v>
      </c>
      <c r="V4845">
        <f>U4845*3</f>
        <v>1666.5</v>
      </c>
      <c r="W4845">
        <f t="shared" si="548"/>
        <v>21489.05</v>
      </c>
      <c r="X4845">
        <f t="shared" si="551"/>
        <v>0.138936278324222</v>
      </c>
      <c r="AH4845" t="str">
        <f t="shared" si="549"/>
        <v>2nd Quality</v>
      </c>
      <c r="AJ4845">
        <f>((T4845-X4845)*2)/32.3</f>
        <v>67.9816476270109</v>
      </c>
      <c r="AK4845">
        <f t="shared" si="547"/>
        <v>621492.080727273</v>
      </c>
    </row>
    <row r="4846" spans="1:37">
      <c r="A4846" t="s">
        <v>4912</v>
      </c>
      <c r="B4846">
        <v>48</v>
      </c>
      <c r="C4846" t="s">
        <v>50</v>
      </c>
      <c r="D4846" t="s">
        <v>51</v>
      </c>
      <c r="E4846">
        <v>1248</v>
      </c>
      <c r="F4846">
        <v>16</v>
      </c>
      <c r="G4846">
        <v>2</v>
      </c>
      <c r="H4846">
        <v>3031.64</v>
      </c>
      <c r="I4846">
        <v>6608.72</v>
      </c>
      <c r="J4846">
        <v>26</v>
      </c>
      <c r="K4846">
        <v>1</v>
      </c>
      <c r="L4846">
        <v>29.2</v>
      </c>
      <c r="M4846">
        <v>44.6</v>
      </c>
      <c r="N4846" t="s">
        <v>78</v>
      </c>
      <c r="O4846" t="s">
        <v>75</v>
      </c>
      <c r="P4846" t="s">
        <v>58</v>
      </c>
      <c r="R4846">
        <f>SUMIF(A4846:A9845,"C04845",I4846:I9845)</f>
        <v>6608.72</v>
      </c>
      <c r="S4846" s="1">
        <v>106378.77</v>
      </c>
      <c r="T4846">
        <f t="shared" si="552"/>
        <v>254.181538461538</v>
      </c>
      <c r="U4846">
        <f t="shared" si="550"/>
        <v>1159.6</v>
      </c>
      <c r="V4846">
        <f>U4846*1</f>
        <v>1159.6</v>
      </c>
      <c r="W4846">
        <f t="shared" si="548"/>
        <v>3213.78666666667</v>
      </c>
      <c r="X4846">
        <f t="shared" si="551"/>
        <v>0.411658376324366</v>
      </c>
      <c r="AH4846" t="str">
        <f t="shared" si="549"/>
        <v>3rd Quality</v>
      </c>
      <c r="AJ4846">
        <f>((T4846-X4846)*2)/29.2</f>
        <v>17.3814986359735</v>
      </c>
      <c r="AK4846">
        <f t="shared" si="547"/>
        <v>317218.56</v>
      </c>
    </row>
    <row r="4847" spans="1:37">
      <c r="A4847" t="s">
        <v>4913</v>
      </c>
      <c r="B4847">
        <v>22</v>
      </c>
      <c r="C4847" t="s">
        <v>44</v>
      </c>
      <c r="D4847" t="s">
        <v>45</v>
      </c>
      <c r="E4847">
        <v>1093</v>
      </c>
      <c r="F4847">
        <v>16</v>
      </c>
      <c r="G4847">
        <v>13</v>
      </c>
      <c r="H4847">
        <v>1824.54</v>
      </c>
      <c r="I4847">
        <v>23851.07</v>
      </c>
      <c r="J4847">
        <v>75</v>
      </c>
      <c r="K4847">
        <v>1</v>
      </c>
      <c r="L4847">
        <v>21.5</v>
      </c>
      <c r="M4847">
        <v>12.2</v>
      </c>
      <c r="N4847" t="s">
        <v>52</v>
      </c>
      <c r="O4847" t="s">
        <v>47</v>
      </c>
      <c r="P4847" t="s">
        <v>68</v>
      </c>
      <c r="R4847">
        <f>SUMIF(A4847:A9846,"C04846",I4847:I9846)</f>
        <v>23851.07</v>
      </c>
      <c r="S4847" s="1">
        <v>10816.73</v>
      </c>
      <c r="T4847">
        <f t="shared" si="552"/>
        <v>318.014266666667</v>
      </c>
      <c r="U4847">
        <f t="shared" si="550"/>
        <v>915</v>
      </c>
      <c r="V4847">
        <f>U4847*1</f>
        <v>915</v>
      </c>
      <c r="W4847">
        <f t="shared" si="548"/>
        <v>8558.87</v>
      </c>
      <c r="X4847">
        <f t="shared" si="551"/>
        <v>0.599055104300262</v>
      </c>
      <c r="AH4847" t="str">
        <f t="shared" si="549"/>
        <v>2nd Quality</v>
      </c>
      <c r="AJ4847">
        <f>((T4847-X4847)*2)/21.5</f>
        <v>29.5269964244062</v>
      </c>
      <c r="AK4847">
        <f t="shared" si="547"/>
        <v>347589.593466667</v>
      </c>
    </row>
    <row r="4848" spans="1:37">
      <c r="A4848" t="s">
        <v>4914</v>
      </c>
      <c r="B4848">
        <v>27</v>
      </c>
      <c r="C4848" t="s">
        <v>50</v>
      </c>
      <c r="D4848" t="s">
        <v>45</v>
      </c>
      <c r="E4848">
        <v>930</v>
      </c>
      <c r="F4848">
        <v>15</v>
      </c>
      <c r="G4848">
        <v>22</v>
      </c>
      <c r="H4848">
        <v>2488.03</v>
      </c>
      <c r="I4848">
        <v>53447.44</v>
      </c>
      <c r="J4848">
        <v>69</v>
      </c>
      <c r="K4848">
        <v>0</v>
      </c>
      <c r="L4848">
        <v>12.7</v>
      </c>
      <c r="M4848">
        <v>29.1</v>
      </c>
      <c r="N4848" t="s">
        <v>46</v>
      </c>
      <c r="O4848" t="s">
        <v>75</v>
      </c>
      <c r="P4848" t="s">
        <v>66</v>
      </c>
      <c r="R4848">
        <f>SUMIF(A4848:A9847,"C04847",I4848:I9847)</f>
        <v>53447.44</v>
      </c>
      <c r="S4848" s="1">
        <v>56589.14</v>
      </c>
      <c r="T4848">
        <f t="shared" si="552"/>
        <v>774.600579710145</v>
      </c>
      <c r="U4848">
        <f t="shared" si="550"/>
        <v>2007.9</v>
      </c>
      <c r="V4848">
        <f t="shared" si="546"/>
        <v>167.325</v>
      </c>
      <c r="W4848">
        <f t="shared" si="548"/>
        <v>18645.49</v>
      </c>
      <c r="X4848">
        <f t="shared" si="551"/>
        <v>0.373789705108057</v>
      </c>
      <c r="AH4848" t="str">
        <f t="shared" si="549"/>
        <v>1st Quality</v>
      </c>
      <c r="AJ4848">
        <f>((T4848-X4848)*2)/12.7</f>
        <v>121.925478740951</v>
      </c>
      <c r="AK4848">
        <f t="shared" si="547"/>
        <v>720378.539130435</v>
      </c>
    </row>
    <row r="4849" spans="1:37">
      <c r="A4849" t="s">
        <v>4915</v>
      </c>
      <c r="B4849">
        <v>41</v>
      </c>
      <c r="C4849" t="s">
        <v>50</v>
      </c>
      <c r="D4849" t="s">
        <v>60</v>
      </c>
      <c r="E4849">
        <v>1214</v>
      </c>
      <c r="F4849">
        <v>7</v>
      </c>
      <c r="G4849">
        <v>5</v>
      </c>
      <c r="H4849">
        <v>7219.66</v>
      </c>
      <c r="I4849">
        <v>34028.17</v>
      </c>
      <c r="J4849">
        <v>44</v>
      </c>
      <c r="K4849">
        <v>0</v>
      </c>
      <c r="L4849">
        <v>0</v>
      </c>
      <c r="M4849">
        <v>31.4</v>
      </c>
      <c r="N4849" t="s">
        <v>57</v>
      </c>
      <c r="O4849" t="s">
        <v>53</v>
      </c>
      <c r="P4849" t="s">
        <v>58</v>
      </c>
      <c r="R4849">
        <f>SUMIF(A4849:A9848,"C04848",I4849:I9848)</f>
        <v>34028.17</v>
      </c>
      <c r="S4849" s="1">
        <v>722.56</v>
      </c>
      <c r="T4849">
        <f t="shared" si="552"/>
        <v>773.3675</v>
      </c>
      <c r="U4849">
        <f t="shared" si="550"/>
        <v>1381.6</v>
      </c>
      <c r="V4849">
        <f t="shared" si="546"/>
        <v>115.133333333333</v>
      </c>
      <c r="W4849">
        <f t="shared" si="548"/>
        <v>13749.61</v>
      </c>
      <c r="X4849">
        <f t="shared" si="551"/>
        <v>0.168151962834815</v>
      </c>
      <c r="AH4849" t="str">
        <f t="shared" si="549"/>
        <v>2nd Quality</v>
      </c>
      <c r="AJ4849">
        <f>((T4849-X4849)*2)</f>
        <v>1546.39869607433</v>
      </c>
      <c r="AK4849">
        <f t="shared" si="547"/>
        <v>938868.145</v>
      </c>
    </row>
    <row r="4850" spans="1:37">
      <c r="A4850" t="s">
        <v>4916</v>
      </c>
      <c r="B4850">
        <v>46</v>
      </c>
      <c r="C4850" t="s">
        <v>44</v>
      </c>
      <c r="D4850" t="s">
        <v>45</v>
      </c>
      <c r="E4850">
        <v>460</v>
      </c>
      <c r="F4850">
        <v>12</v>
      </c>
      <c r="G4850">
        <v>24</v>
      </c>
      <c r="H4850">
        <v>4200.28</v>
      </c>
      <c r="I4850">
        <v>106378.77</v>
      </c>
      <c r="J4850">
        <v>182</v>
      </c>
      <c r="K4850">
        <v>3</v>
      </c>
      <c r="L4850">
        <v>10</v>
      </c>
      <c r="M4850">
        <v>68.5</v>
      </c>
      <c r="N4850" t="s">
        <v>61</v>
      </c>
      <c r="O4850" t="s">
        <v>47</v>
      </c>
      <c r="P4850" t="s">
        <v>58</v>
      </c>
      <c r="R4850">
        <f>SUMIF(A4850:A9849,"C04849",I4850:I9849)</f>
        <v>106378.77</v>
      </c>
      <c r="S4850" s="1">
        <v>2868.55</v>
      </c>
      <c r="T4850">
        <f t="shared" si="552"/>
        <v>584.498736263736</v>
      </c>
      <c r="U4850">
        <f t="shared" si="550"/>
        <v>12467</v>
      </c>
      <c r="V4850">
        <f>U4850*3</f>
        <v>37401</v>
      </c>
      <c r="W4850">
        <f t="shared" si="548"/>
        <v>36860.0166666667</v>
      </c>
      <c r="X4850">
        <f t="shared" si="551"/>
        <v>0.109516508423248</v>
      </c>
      <c r="AH4850" t="str">
        <f t="shared" si="549"/>
        <v>3rd Quality</v>
      </c>
      <c r="AJ4850">
        <f>((T4850-X4850)*2)/10</f>
        <v>116.877843951063</v>
      </c>
      <c r="AK4850">
        <f t="shared" si="547"/>
        <v>268869.418681319</v>
      </c>
    </row>
    <row r="4851" spans="1:37">
      <c r="A4851" t="s">
        <v>4917</v>
      </c>
      <c r="B4851">
        <v>24</v>
      </c>
      <c r="C4851" t="s">
        <v>50</v>
      </c>
      <c r="D4851" t="s">
        <v>60</v>
      </c>
      <c r="E4851">
        <v>452</v>
      </c>
      <c r="F4851">
        <v>81</v>
      </c>
      <c r="G4851">
        <v>7</v>
      </c>
      <c r="H4851">
        <v>1501.31</v>
      </c>
      <c r="I4851">
        <v>10816.73</v>
      </c>
      <c r="J4851">
        <v>35</v>
      </c>
      <c r="K4851">
        <v>0</v>
      </c>
      <c r="L4851">
        <v>26.9</v>
      </c>
      <c r="M4851">
        <v>8.8</v>
      </c>
      <c r="N4851" t="s">
        <v>57</v>
      </c>
      <c r="O4851" t="s">
        <v>47</v>
      </c>
      <c r="P4851" t="s">
        <v>68</v>
      </c>
      <c r="R4851">
        <f>SUMIF(A4851:A9850,"C04850",I4851:I9850)</f>
        <v>10816.73</v>
      </c>
      <c r="S4851" s="1">
        <v>26870.61</v>
      </c>
      <c r="T4851">
        <f t="shared" si="552"/>
        <v>309.049428571429</v>
      </c>
      <c r="U4851">
        <f t="shared" si="550"/>
        <v>308</v>
      </c>
      <c r="V4851">
        <f t="shared" si="546"/>
        <v>25.6666666666667</v>
      </c>
      <c r="W4851">
        <f t="shared" si="548"/>
        <v>4106.34666666667</v>
      </c>
      <c r="X4851">
        <f t="shared" si="551"/>
        <v>0.301070398518627</v>
      </c>
      <c r="AH4851" t="str">
        <f t="shared" si="549"/>
        <v>3rd Quality</v>
      </c>
      <c r="AJ4851">
        <f>((T4851-X4851)*2)/26.9</f>
        <v>22.9552682656439</v>
      </c>
      <c r="AK4851">
        <f t="shared" si="547"/>
        <v>139690.341714286</v>
      </c>
    </row>
    <row r="4852" spans="1:37">
      <c r="A4852" t="s">
        <v>4918</v>
      </c>
      <c r="B4852">
        <v>30</v>
      </c>
      <c r="C4852" t="s">
        <v>56</v>
      </c>
      <c r="D4852" t="s">
        <v>45</v>
      </c>
      <c r="E4852">
        <v>894</v>
      </c>
      <c r="F4852">
        <v>5</v>
      </c>
      <c r="G4852">
        <v>20</v>
      </c>
      <c r="H4852">
        <v>2634.59</v>
      </c>
      <c r="I4852">
        <v>56589.14</v>
      </c>
      <c r="J4852">
        <v>149</v>
      </c>
      <c r="K4852">
        <v>2</v>
      </c>
      <c r="L4852">
        <v>18.5</v>
      </c>
      <c r="M4852">
        <v>32.9</v>
      </c>
      <c r="N4852" t="s">
        <v>57</v>
      </c>
      <c r="O4852" t="s">
        <v>53</v>
      </c>
      <c r="P4852" t="s">
        <v>58</v>
      </c>
      <c r="R4852">
        <f>SUMIF(A4852:A9851,"C04851",I4852:I9851)</f>
        <v>56589.14</v>
      </c>
      <c r="S4852" s="1">
        <v>64492.11</v>
      </c>
      <c r="T4852">
        <f t="shared" si="552"/>
        <v>379.79288590604</v>
      </c>
      <c r="U4852">
        <f t="shared" si="550"/>
        <v>4902.1</v>
      </c>
      <c r="V4852">
        <f>U4852*2</f>
        <v>9804.2</v>
      </c>
      <c r="W4852">
        <f t="shared" si="548"/>
        <v>19741.5766666667</v>
      </c>
      <c r="X4852">
        <f t="shared" si="551"/>
        <v>0.339331736626951</v>
      </c>
      <c r="AH4852" t="str">
        <f t="shared" si="549"/>
        <v>2nd Quality</v>
      </c>
      <c r="AJ4852">
        <f>((T4852-X4852)*2)/18.5</f>
        <v>41.0220058561528</v>
      </c>
      <c r="AK4852">
        <f t="shared" si="547"/>
        <v>339534.84</v>
      </c>
    </row>
    <row r="4853" spans="1:37">
      <c r="A4853" t="s">
        <v>4919</v>
      </c>
      <c r="B4853">
        <v>50</v>
      </c>
      <c r="C4853" t="s">
        <v>44</v>
      </c>
      <c r="D4853" t="s">
        <v>60</v>
      </c>
      <c r="E4853">
        <v>792</v>
      </c>
      <c r="F4853">
        <v>143</v>
      </c>
      <c r="G4853">
        <v>1</v>
      </c>
      <c r="H4853">
        <v>714.55</v>
      </c>
      <c r="I4853">
        <v>722.56</v>
      </c>
      <c r="J4853">
        <v>18</v>
      </c>
      <c r="K4853">
        <v>0</v>
      </c>
      <c r="L4853">
        <v>24.6</v>
      </c>
      <c r="M4853">
        <v>9.4</v>
      </c>
      <c r="N4853" t="s">
        <v>63</v>
      </c>
      <c r="O4853" t="s">
        <v>47</v>
      </c>
      <c r="P4853" t="s">
        <v>48</v>
      </c>
      <c r="R4853">
        <f>SUMIF(A4853:A9852,"C04852",I4853:I9852)</f>
        <v>722.56</v>
      </c>
      <c r="S4853" s="1">
        <v>1059.51</v>
      </c>
      <c r="T4853">
        <f t="shared" si="552"/>
        <v>40.1422222222222</v>
      </c>
      <c r="U4853">
        <f t="shared" si="550"/>
        <v>169.2</v>
      </c>
      <c r="V4853">
        <f t="shared" si="546"/>
        <v>14.1</v>
      </c>
      <c r="W4853">
        <f t="shared" si="548"/>
        <v>479.37</v>
      </c>
      <c r="X4853">
        <f t="shared" si="551"/>
        <v>1.10838989573858</v>
      </c>
      <c r="AH4853" t="str">
        <f t="shared" si="549"/>
        <v>3rd Quality</v>
      </c>
      <c r="AJ4853">
        <f>((T4853-X4853)*2)/24.6</f>
        <v>3.17348230296615</v>
      </c>
      <c r="AK4853">
        <f t="shared" si="547"/>
        <v>31792.64</v>
      </c>
    </row>
    <row r="4854" spans="1:37">
      <c r="A4854" t="s">
        <v>4920</v>
      </c>
      <c r="B4854">
        <v>50</v>
      </c>
      <c r="C4854" t="s">
        <v>50</v>
      </c>
      <c r="D4854" t="s">
        <v>45</v>
      </c>
      <c r="E4854">
        <v>541</v>
      </c>
      <c r="F4854">
        <v>268</v>
      </c>
      <c r="G4854">
        <v>3</v>
      </c>
      <c r="H4854">
        <v>878.81</v>
      </c>
      <c r="I4854">
        <v>2868.55</v>
      </c>
      <c r="J4854">
        <v>25</v>
      </c>
      <c r="K4854">
        <v>1</v>
      </c>
      <c r="L4854">
        <v>21.6</v>
      </c>
      <c r="M4854">
        <v>20.4</v>
      </c>
      <c r="N4854" t="s">
        <v>81</v>
      </c>
      <c r="O4854" t="s">
        <v>47</v>
      </c>
      <c r="P4854" t="s">
        <v>58</v>
      </c>
      <c r="R4854">
        <f>SUMIF(A4854:A9853,"C04853",I4854:I9853)</f>
        <v>2868.55</v>
      </c>
      <c r="S4854" s="1">
        <v>6029.49</v>
      </c>
      <c r="T4854">
        <f t="shared" si="552"/>
        <v>114.742</v>
      </c>
      <c r="U4854">
        <f t="shared" si="550"/>
        <v>510</v>
      </c>
      <c r="V4854">
        <f>U4854*1</f>
        <v>510</v>
      </c>
      <c r="W4854">
        <f t="shared" si="548"/>
        <v>1249.45333333333</v>
      </c>
      <c r="X4854">
        <f t="shared" si="551"/>
        <v>0.615605193386511</v>
      </c>
      <c r="AH4854" t="str">
        <f t="shared" si="549"/>
        <v>3rd Quality</v>
      </c>
      <c r="AJ4854">
        <f>((T4854-X4854)*2)/21.6</f>
        <v>10.5672587783901</v>
      </c>
      <c r="AK4854">
        <f t="shared" si="547"/>
        <v>62075.422</v>
      </c>
    </row>
    <row r="4855" spans="1:37">
      <c r="A4855" t="s">
        <v>4921</v>
      </c>
      <c r="B4855">
        <v>28</v>
      </c>
      <c r="C4855" t="s">
        <v>56</v>
      </c>
      <c r="D4855" t="s">
        <v>45</v>
      </c>
      <c r="E4855">
        <v>593</v>
      </c>
      <c r="F4855">
        <v>9</v>
      </c>
      <c r="G4855">
        <v>15</v>
      </c>
      <c r="H4855">
        <v>1887.67</v>
      </c>
      <c r="I4855">
        <v>26870.61</v>
      </c>
      <c r="J4855">
        <v>50</v>
      </c>
      <c r="K4855">
        <v>0</v>
      </c>
      <c r="L4855">
        <v>1.9</v>
      </c>
      <c r="M4855">
        <v>20.8</v>
      </c>
      <c r="N4855" t="s">
        <v>46</v>
      </c>
      <c r="O4855" t="s">
        <v>47</v>
      </c>
      <c r="P4855" t="s">
        <v>58</v>
      </c>
      <c r="R4855">
        <f>SUMIF(A4855:A9854,"C04854",I4855:I9854)</f>
        <v>26870.61</v>
      </c>
      <c r="S4855" s="1">
        <v>63636.14</v>
      </c>
      <c r="T4855">
        <f t="shared" si="552"/>
        <v>537.4122</v>
      </c>
      <c r="U4855">
        <f t="shared" si="550"/>
        <v>1040</v>
      </c>
      <c r="V4855">
        <f t="shared" ref="V4854:V4917" si="553">U4855/12</f>
        <v>86.6666666666667</v>
      </c>
      <c r="W4855">
        <f t="shared" si="548"/>
        <v>9586.42666666667</v>
      </c>
      <c r="X4855">
        <f t="shared" si="551"/>
        <v>0.314143891675982</v>
      </c>
      <c r="AH4855" t="str">
        <f t="shared" si="549"/>
        <v>2nd Quality</v>
      </c>
      <c r="AJ4855">
        <f>((T4855-X4855)*2)/1.9</f>
        <v>565.366374850867</v>
      </c>
      <c r="AK4855">
        <f t="shared" si="547"/>
        <v>318685.4346</v>
      </c>
    </row>
    <row r="4856" spans="1:37">
      <c r="A4856" t="s">
        <v>4922</v>
      </c>
      <c r="B4856">
        <v>32</v>
      </c>
      <c r="C4856" t="s">
        <v>50</v>
      </c>
      <c r="D4856" t="s">
        <v>45</v>
      </c>
      <c r="E4856">
        <v>900</v>
      </c>
      <c r="F4856">
        <v>10</v>
      </c>
      <c r="G4856">
        <v>32</v>
      </c>
      <c r="H4856">
        <v>1909.73</v>
      </c>
      <c r="I4856">
        <v>64492.11</v>
      </c>
      <c r="J4856">
        <v>133</v>
      </c>
      <c r="K4856">
        <v>1</v>
      </c>
      <c r="L4856">
        <v>15</v>
      </c>
      <c r="M4856">
        <v>48.6</v>
      </c>
      <c r="N4856" t="s">
        <v>57</v>
      </c>
      <c r="O4856" t="s">
        <v>53</v>
      </c>
      <c r="P4856" t="s">
        <v>58</v>
      </c>
      <c r="R4856">
        <f>SUMIF(A4856:A9855,"C04855",I4856:I9855)</f>
        <v>64492.11</v>
      </c>
      <c r="S4856" s="1">
        <v>101451.45</v>
      </c>
      <c r="T4856">
        <f t="shared" si="552"/>
        <v>484.903082706767</v>
      </c>
      <c r="U4856">
        <f t="shared" si="550"/>
        <v>6463.8</v>
      </c>
      <c r="V4856">
        <f>U4856*1</f>
        <v>6463.8</v>
      </c>
      <c r="W4856">
        <f t="shared" si="548"/>
        <v>22134.28</v>
      </c>
      <c r="X4856">
        <f t="shared" si="551"/>
        <v>0.471270807915255</v>
      </c>
      <c r="AH4856" t="str">
        <f t="shared" si="549"/>
        <v>2nd Quality</v>
      </c>
      <c r="AJ4856">
        <f>((T4856-X4856)*2)/15</f>
        <v>64.5909082531802</v>
      </c>
      <c r="AK4856">
        <f t="shared" si="547"/>
        <v>436412.77443609</v>
      </c>
    </row>
    <row r="4857" spans="1:37">
      <c r="A4857" t="s">
        <v>4923</v>
      </c>
      <c r="B4857">
        <v>37</v>
      </c>
      <c r="C4857" t="s">
        <v>50</v>
      </c>
      <c r="D4857" t="s">
        <v>60</v>
      </c>
      <c r="E4857">
        <v>431</v>
      </c>
      <c r="F4857">
        <v>74</v>
      </c>
      <c r="G4857">
        <v>1</v>
      </c>
      <c r="H4857">
        <v>1087.35</v>
      </c>
      <c r="I4857">
        <v>1059.51</v>
      </c>
      <c r="J4857">
        <v>9</v>
      </c>
      <c r="K4857">
        <v>0</v>
      </c>
      <c r="L4857">
        <v>15.7</v>
      </c>
      <c r="M4857">
        <v>19.8</v>
      </c>
      <c r="N4857" t="s">
        <v>63</v>
      </c>
      <c r="O4857" t="s">
        <v>47</v>
      </c>
      <c r="P4857" t="s">
        <v>58</v>
      </c>
      <c r="R4857">
        <f>SUMIF(A4857:A9856,"C04856",I4857:I9856)</f>
        <v>1059.51</v>
      </c>
      <c r="S4857" s="1">
        <v>4994.23</v>
      </c>
      <c r="T4857">
        <f t="shared" si="552"/>
        <v>117.723333333333</v>
      </c>
      <c r="U4857">
        <f t="shared" si="550"/>
        <v>178.2</v>
      </c>
      <c r="V4857">
        <f t="shared" si="553"/>
        <v>14.85</v>
      </c>
      <c r="W4857">
        <f t="shared" si="548"/>
        <v>715.953333333333</v>
      </c>
      <c r="X4857">
        <f t="shared" si="551"/>
        <v>0.396376511702764</v>
      </c>
      <c r="AH4857" t="str">
        <f t="shared" si="549"/>
        <v>3rd Quality</v>
      </c>
      <c r="AJ4857">
        <f>((T4857-X4857)*2)/15.7</f>
        <v>14.9461091492523</v>
      </c>
      <c r="AK4857">
        <f t="shared" si="547"/>
        <v>50738.7566666667</v>
      </c>
    </row>
    <row r="4858" spans="1:37">
      <c r="A4858" t="s">
        <v>4924</v>
      </c>
      <c r="B4858">
        <v>44</v>
      </c>
      <c r="C4858" t="s">
        <v>44</v>
      </c>
      <c r="D4858" t="s">
        <v>45</v>
      </c>
      <c r="E4858">
        <v>1146</v>
      </c>
      <c r="F4858">
        <v>9</v>
      </c>
      <c r="G4858">
        <v>4</v>
      </c>
      <c r="H4858">
        <v>1661.31</v>
      </c>
      <c r="I4858">
        <v>6029.49</v>
      </c>
      <c r="J4858">
        <v>34</v>
      </c>
      <c r="K4858">
        <v>0</v>
      </c>
      <c r="L4858">
        <v>10.2</v>
      </c>
      <c r="M4858">
        <v>41.8</v>
      </c>
      <c r="N4858" t="s">
        <v>52</v>
      </c>
      <c r="O4858" t="s">
        <v>53</v>
      </c>
      <c r="P4858" t="s">
        <v>48</v>
      </c>
      <c r="R4858">
        <f>SUMIF(A4858:A9857,"C04857",I4858:I9857)</f>
        <v>6029.49</v>
      </c>
      <c r="S4858" s="1">
        <v>5162.83</v>
      </c>
      <c r="T4858">
        <f t="shared" si="552"/>
        <v>177.337941176471</v>
      </c>
      <c r="U4858">
        <f t="shared" si="550"/>
        <v>1421.2</v>
      </c>
      <c r="V4858">
        <f t="shared" si="553"/>
        <v>118.433333333333</v>
      </c>
      <c r="W4858">
        <f t="shared" si="548"/>
        <v>2563.93333333333</v>
      </c>
      <c r="X4858">
        <f t="shared" si="551"/>
        <v>0.689817072069632</v>
      </c>
      <c r="AH4858" t="str">
        <f t="shared" si="549"/>
        <v>3rd Quality</v>
      </c>
      <c r="AJ4858">
        <f>((T4858-X4858)*2)/10.2</f>
        <v>34.6368870792944</v>
      </c>
      <c r="AK4858">
        <f t="shared" si="547"/>
        <v>203229.280588235</v>
      </c>
    </row>
    <row r="4859" spans="1:37">
      <c r="A4859" t="s">
        <v>4925</v>
      </c>
      <c r="B4859">
        <v>29</v>
      </c>
      <c r="C4859" t="s">
        <v>44</v>
      </c>
      <c r="D4859" t="s">
        <v>45</v>
      </c>
      <c r="E4859">
        <v>478</v>
      </c>
      <c r="F4859">
        <v>26</v>
      </c>
      <c r="G4859">
        <v>6</v>
      </c>
      <c r="H4859">
        <v>10534.44</v>
      </c>
      <c r="I4859">
        <v>63636.14</v>
      </c>
      <c r="J4859">
        <v>39</v>
      </c>
      <c r="K4859">
        <v>1</v>
      </c>
      <c r="L4859">
        <v>13.1</v>
      </c>
      <c r="M4859">
        <v>20.7</v>
      </c>
      <c r="N4859" t="s">
        <v>57</v>
      </c>
      <c r="O4859" t="s">
        <v>47</v>
      </c>
      <c r="P4859" t="s">
        <v>48</v>
      </c>
      <c r="R4859">
        <f>SUMIF(A4859:A9858,"C04858",I4859:I9858)</f>
        <v>63636.14</v>
      </c>
      <c r="S4859" s="1">
        <v>6759.28</v>
      </c>
      <c r="T4859">
        <f t="shared" si="552"/>
        <v>1631.6958974359</v>
      </c>
      <c r="U4859">
        <f t="shared" si="550"/>
        <v>807.3</v>
      </c>
      <c r="V4859">
        <f>U4859*1</f>
        <v>807.3</v>
      </c>
      <c r="W4859">
        <f t="shared" si="548"/>
        <v>24723.86</v>
      </c>
      <c r="X4859">
        <f t="shared" si="551"/>
        <v>0.0453749795907519</v>
      </c>
      <c r="AH4859" t="str">
        <f t="shared" si="549"/>
        <v>2nd Quality</v>
      </c>
      <c r="AJ4859">
        <f>((T4859-X4859)*2)/13.1</f>
        <v>249.10694999333</v>
      </c>
      <c r="AK4859">
        <f t="shared" si="547"/>
        <v>779950.638974359</v>
      </c>
    </row>
    <row r="4860" spans="1:37">
      <c r="A4860" t="s">
        <v>4926</v>
      </c>
      <c r="B4860">
        <v>30</v>
      </c>
      <c r="C4860" t="s">
        <v>44</v>
      </c>
      <c r="D4860" t="s">
        <v>60</v>
      </c>
      <c r="E4860">
        <v>1097</v>
      </c>
      <c r="F4860">
        <v>1</v>
      </c>
      <c r="G4860">
        <v>22</v>
      </c>
      <c r="H4860">
        <v>4929.27</v>
      </c>
      <c r="I4860">
        <v>101451.45</v>
      </c>
      <c r="J4860">
        <v>76</v>
      </c>
      <c r="K4860">
        <v>1</v>
      </c>
      <c r="L4860">
        <v>0</v>
      </c>
      <c r="M4860">
        <v>29.5</v>
      </c>
      <c r="N4860" t="s">
        <v>46</v>
      </c>
      <c r="O4860" t="s">
        <v>47</v>
      </c>
      <c r="P4860" t="s">
        <v>48</v>
      </c>
      <c r="R4860">
        <f>SUMIF(A4860:A9859,"C04859",I4860:I9859)</f>
        <v>101451.45</v>
      </c>
      <c r="S4860" s="1">
        <v>13791.61</v>
      </c>
      <c r="T4860">
        <f t="shared" si="552"/>
        <v>1334.8875</v>
      </c>
      <c r="U4860">
        <f t="shared" si="550"/>
        <v>2242</v>
      </c>
      <c r="V4860">
        <f>U4860*1</f>
        <v>2242</v>
      </c>
      <c r="W4860">
        <f t="shared" si="548"/>
        <v>35460.5733333333</v>
      </c>
      <c r="X4860">
        <f t="shared" si="551"/>
        <v>0.222548166361348</v>
      </c>
      <c r="AH4860" t="str">
        <f t="shared" si="549"/>
        <v>1st Quality</v>
      </c>
      <c r="AJ4860">
        <f>((T4860-X4860)*2)</f>
        <v>2669.32990366728</v>
      </c>
      <c r="AK4860">
        <f t="shared" si="547"/>
        <v>1464371.5875</v>
      </c>
    </row>
    <row r="4861" spans="1:37">
      <c r="A4861" t="s">
        <v>4927</v>
      </c>
      <c r="B4861">
        <v>70</v>
      </c>
      <c r="C4861" t="s">
        <v>50</v>
      </c>
      <c r="D4861" t="s">
        <v>45</v>
      </c>
      <c r="E4861">
        <v>742</v>
      </c>
      <c r="F4861">
        <v>5</v>
      </c>
      <c r="G4861">
        <v>8</v>
      </c>
      <c r="H4861">
        <v>697.66</v>
      </c>
      <c r="I4861">
        <v>4994.23</v>
      </c>
      <c r="J4861">
        <v>35</v>
      </c>
      <c r="K4861">
        <v>0</v>
      </c>
      <c r="L4861">
        <v>18.2</v>
      </c>
      <c r="M4861">
        <v>14.5</v>
      </c>
      <c r="N4861" t="s">
        <v>57</v>
      </c>
      <c r="O4861" t="s">
        <v>47</v>
      </c>
      <c r="P4861" t="s">
        <v>58</v>
      </c>
      <c r="R4861">
        <f>SUMIF(A4861:A9860,"C04860",I4861:I9860)</f>
        <v>4994.23</v>
      </c>
      <c r="S4861" s="1">
        <v>3497.79</v>
      </c>
      <c r="T4861">
        <f t="shared" si="552"/>
        <v>142.692285714286</v>
      </c>
      <c r="U4861">
        <f t="shared" si="550"/>
        <v>507.5</v>
      </c>
      <c r="V4861">
        <f t="shared" si="553"/>
        <v>42.2916666666667</v>
      </c>
      <c r="W4861">
        <f t="shared" si="548"/>
        <v>1897.63</v>
      </c>
      <c r="X4861">
        <f t="shared" si="551"/>
        <v>1.06355531347648</v>
      </c>
      <c r="AH4861" t="str">
        <f t="shared" si="549"/>
        <v>3rd Quality</v>
      </c>
      <c r="AJ4861">
        <f>((T4861-X4861)*2)/18.2</f>
        <v>15.5635967473417</v>
      </c>
      <c r="AK4861">
        <f t="shared" si="547"/>
        <v>105877.676</v>
      </c>
    </row>
    <row r="4862" spans="1:37">
      <c r="A4862" t="s">
        <v>4928</v>
      </c>
      <c r="B4862">
        <v>45</v>
      </c>
      <c r="C4862" t="s">
        <v>44</v>
      </c>
      <c r="D4862" t="s">
        <v>45</v>
      </c>
      <c r="E4862">
        <v>541</v>
      </c>
      <c r="F4862">
        <v>39</v>
      </c>
      <c r="G4862">
        <v>1</v>
      </c>
      <c r="H4862">
        <v>5338.07</v>
      </c>
      <c r="I4862">
        <v>5162.83</v>
      </c>
      <c r="J4862">
        <v>9</v>
      </c>
      <c r="K4862">
        <v>1</v>
      </c>
      <c r="L4862">
        <v>4.5</v>
      </c>
      <c r="M4862">
        <v>51.5</v>
      </c>
      <c r="N4862" t="s">
        <v>61</v>
      </c>
      <c r="O4862" t="s">
        <v>47</v>
      </c>
      <c r="P4862" t="s">
        <v>58</v>
      </c>
      <c r="R4862">
        <f>SUMIF(A4862:A9861,"C04861",I4862:I9861)</f>
        <v>5162.83</v>
      </c>
      <c r="S4862" s="1">
        <v>5538.34</v>
      </c>
      <c r="T4862">
        <f t="shared" si="552"/>
        <v>573.647777777778</v>
      </c>
      <c r="U4862">
        <f t="shared" si="550"/>
        <v>463.5</v>
      </c>
      <c r="V4862">
        <f>U4862*1</f>
        <v>463.5</v>
      </c>
      <c r="W4862">
        <f t="shared" si="548"/>
        <v>3500.63333333333</v>
      </c>
      <c r="X4862">
        <f t="shared" si="551"/>
        <v>0.101347490759769</v>
      </c>
      <c r="AH4862" t="str">
        <f t="shared" si="549"/>
        <v>3rd Quality</v>
      </c>
      <c r="AJ4862">
        <f>((T4862-X4862)*2)/4.5</f>
        <v>254.909524572008</v>
      </c>
      <c r="AK4862">
        <f t="shared" si="547"/>
        <v>310343.447777778</v>
      </c>
    </row>
    <row r="4863" spans="1:37">
      <c r="A4863" t="s">
        <v>4929</v>
      </c>
      <c r="B4863">
        <v>40</v>
      </c>
      <c r="C4863" t="s">
        <v>50</v>
      </c>
      <c r="D4863" t="s">
        <v>45</v>
      </c>
      <c r="E4863">
        <v>1001</v>
      </c>
      <c r="F4863">
        <v>55</v>
      </c>
      <c r="G4863">
        <v>3</v>
      </c>
      <c r="H4863">
        <v>2021.42</v>
      </c>
      <c r="I4863">
        <v>6759.28</v>
      </c>
      <c r="J4863">
        <v>29</v>
      </c>
      <c r="K4863">
        <v>1</v>
      </c>
      <c r="L4863">
        <v>9.3</v>
      </c>
      <c r="M4863">
        <v>75.9</v>
      </c>
      <c r="N4863" t="s">
        <v>57</v>
      </c>
      <c r="O4863" t="s">
        <v>47</v>
      </c>
      <c r="P4863" t="s">
        <v>48</v>
      </c>
      <c r="R4863">
        <f>SUMIF(A4863:A9862,"C04862",I4863:I9862)</f>
        <v>6759.28</v>
      </c>
      <c r="S4863" s="1">
        <v>45172.13</v>
      </c>
      <c r="T4863">
        <f t="shared" si="552"/>
        <v>233.078620689655</v>
      </c>
      <c r="U4863">
        <f t="shared" si="550"/>
        <v>2201.1</v>
      </c>
      <c r="V4863">
        <f>U4863*1</f>
        <v>2201.1</v>
      </c>
      <c r="W4863">
        <f t="shared" si="548"/>
        <v>2927.23333333333</v>
      </c>
      <c r="X4863">
        <f t="shared" si="551"/>
        <v>0.495196446062669</v>
      </c>
      <c r="AH4863" t="str">
        <f t="shared" si="549"/>
        <v>3rd Quality</v>
      </c>
      <c r="AJ4863">
        <f>((T4863-X4863)*2)/9.3</f>
        <v>50.0179406975467</v>
      </c>
      <c r="AK4863">
        <f t="shared" si="547"/>
        <v>233311.699310345</v>
      </c>
    </row>
    <row r="4864" spans="1:37">
      <c r="A4864" t="s">
        <v>4930</v>
      </c>
      <c r="B4864">
        <v>28</v>
      </c>
      <c r="C4864" t="s">
        <v>44</v>
      </c>
      <c r="D4864" t="s">
        <v>45</v>
      </c>
      <c r="E4864">
        <v>1058</v>
      </c>
      <c r="F4864">
        <v>48</v>
      </c>
      <c r="G4864">
        <v>13</v>
      </c>
      <c r="H4864">
        <v>969.22</v>
      </c>
      <c r="I4864">
        <v>13791.61</v>
      </c>
      <c r="J4864">
        <v>60</v>
      </c>
      <c r="K4864">
        <v>0</v>
      </c>
      <c r="L4864">
        <v>10.1</v>
      </c>
      <c r="M4864">
        <v>14.1</v>
      </c>
      <c r="N4864" t="s">
        <v>52</v>
      </c>
      <c r="O4864" t="s">
        <v>53</v>
      </c>
      <c r="P4864" t="s">
        <v>58</v>
      </c>
      <c r="R4864">
        <f>SUMIF(A4864:A9863,"C04863",I4864:I9863)</f>
        <v>13791.61</v>
      </c>
      <c r="S4864" s="1">
        <v>16067.91</v>
      </c>
      <c r="T4864">
        <f t="shared" si="552"/>
        <v>229.860166666667</v>
      </c>
      <c r="U4864">
        <f t="shared" si="550"/>
        <v>846</v>
      </c>
      <c r="V4864">
        <f t="shared" si="553"/>
        <v>70.5</v>
      </c>
      <c r="W4864">
        <f t="shared" si="548"/>
        <v>4920.61</v>
      </c>
      <c r="X4864">
        <f t="shared" si="551"/>
        <v>1.09159943046986</v>
      </c>
      <c r="AH4864" t="str">
        <f t="shared" si="549"/>
        <v>3rd Quality</v>
      </c>
      <c r="AJ4864">
        <f>((T4864-X4864)*2)/10.1</f>
        <v>45.3007063834054</v>
      </c>
      <c r="AK4864">
        <f t="shared" si="547"/>
        <v>243192.056333333</v>
      </c>
    </row>
    <row r="4865" spans="1:37">
      <c r="A4865" t="s">
        <v>4931</v>
      </c>
      <c r="B4865">
        <v>36</v>
      </c>
      <c r="C4865" t="s">
        <v>50</v>
      </c>
      <c r="D4865" t="s">
        <v>45</v>
      </c>
      <c r="E4865">
        <v>1410</v>
      </c>
      <c r="F4865">
        <v>204</v>
      </c>
      <c r="G4865">
        <v>5</v>
      </c>
      <c r="H4865">
        <v>627.32</v>
      </c>
      <c r="I4865">
        <v>3497.79</v>
      </c>
      <c r="J4865">
        <v>31</v>
      </c>
      <c r="K4865">
        <v>0</v>
      </c>
      <c r="L4865">
        <v>34.7</v>
      </c>
      <c r="M4865">
        <v>40.4</v>
      </c>
      <c r="N4865" t="s">
        <v>46</v>
      </c>
      <c r="O4865" t="s">
        <v>47</v>
      </c>
      <c r="P4865" t="s">
        <v>58</v>
      </c>
      <c r="R4865">
        <f>SUMIF(A4865:A9864,"C04864",I4865:I9864)</f>
        <v>3497.79</v>
      </c>
      <c r="S4865" s="1">
        <v>6486.81</v>
      </c>
      <c r="T4865">
        <f t="shared" si="552"/>
        <v>112.831935483871</v>
      </c>
      <c r="U4865">
        <f t="shared" si="550"/>
        <v>1252.4</v>
      </c>
      <c r="V4865">
        <f t="shared" si="553"/>
        <v>104.366666666667</v>
      </c>
      <c r="W4865">
        <f t="shared" si="548"/>
        <v>1375.37</v>
      </c>
      <c r="X4865">
        <f t="shared" si="551"/>
        <v>2.24765669833578</v>
      </c>
      <c r="AH4865" t="str">
        <f t="shared" si="549"/>
        <v>3rd Quality</v>
      </c>
      <c r="AJ4865">
        <f>((T4865-X4865)*2)/34.7</f>
        <v>6.37373364758128</v>
      </c>
      <c r="AK4865">
        <f t="shared" si="547"/>
        <v>159093.029032258</v>
      </c>
    </row>
    <row r="4866" spans="1:37">
      <c r="A4866" t="s">
        <v>4932</v>
      </c>
      <c r="B4866">
        <v>32</v>
      </c>
      <c r="C4866" t="s">
        <v>44</v>
      </c>
      <c r="D4866" t="s">
        <v>60</v>
      </c>
      <c r="E4866">
        <v>846</v>
      </c>
      <c r="F4866">
        <v>116</v>
      </c>
      <c r="G4866">
        <v>5</v>
      </c>
      <c r="H4866">
        <v>1248.98</v>
      </c>
      <c r="I4866">
        <v>5538.34</v>
      </c>
      <c r="J4866">
        <v>18</v>
      </c>
      <c r="K4866">
        <v>0</v>
      </c>
      <c r="L4866">
        <v>33.6</v>
      </c>
      <c r="M4866">
        <v>36.3</v>
      </c>
      <c r="N4866" t="s">
        <v>46</v>
      </c>
      <c r="O4866" t="s">
        <v>75</v>
      </c>
      <c r="P4866" t="s">
        <v>54</v>
      </c>
      <c r="R4866">
        <f>SUMIF(A4866:A9865,"C04865",I4866:I9865)</f>
        <v>5538.34</v>
      </c>
      <c r="S4866" s="1">
        <v>15404.29</v>
      </c>
      <c r="T4866">
        <f t="shared" si="552"/>
        <v>307.685555555556</v>
      </c>
      <c r="U4866">
        <f t="shared" si="550"/>
        <v>653.4</v>
      </c>
      <c r="V4866">
        <f t="shared" si="553"/>
        <v>54.45</v>
      </c>
      <c r="W4866">
        <f t="shared" si="548"/>
        <v>2262.77333333333</v>
      </c>
      <c r="X4866">
        <f t="shared" si="551"/>
        <v>0.677352719819373</v>
      </c>
      <c r="AH4866" t="str">
        <f t="shared" si="549"/>
        <v>3rd Quality</v>
      </c>
      <c r="AJ4866">
        <f>((T4866-X4866)*2)/33.6</f>
        <v>18.2742977878415</v>
      </c>
      <c r="AK4866">
        <f t="shared" si="547"/>
        <v>260301.98</v>
      </c>
    </row>
    <row r="4867" spans="1:37">
      <c r="A4867" t="s">
        <v>4933</v>
      </c>
      <c r="B4867">
        <v>29</v>
      </c>
      <c r="C4867" t="s">
        <v>44</v>
      </c>
      <c r="D4867" t="s">
        <v>60</v>
      </c>
      <c r="E4867">
        <v>1390</v>
      </c>
      <c r="F4867">
        <v>2</v>
      </c>
      <c r="G4867">
        <v>19</v>
      </c>
      <c r="H4867">
        <v>2593.56</v>
      </c>
      <c r="I4867">
        <v>45172.13</v>
      </c>
      <c r="J4867">
        <v>81</v>
      </c>
      <c r="K4867">
        <v>2</v>
      </c>
      <c r="L4867">
        <v>9.4</v>
      </c>
      <c r="M4867">
        <v>36.1</v>
      </c>
      <c r="N4867" t="s">
        <v>52</v>
      </c>
      <c r="O4867" t="s">
        <v>47</v>
      </c>
      <c r="P4867" t="s">
        <v>58</v>
      </c>
      <c r="R4867">
        <f>SUMIF(A4867:A9866,"C04866",I4867:I9866)</f>
        <v>45172.13</v>
      </c>
      <c r="S4867" s="1">
        <v>36141.96</v>
      </c>
      <c r="T4867">
        <f t="shared" si="552"/>
        <v>557.680617283951</v>
      </c>
      <c r="U4867">
        <f t="shared" si="550"/>
        <v>2924.1</v>
      </c>
      <c r="V4867">
        <f>U4867*2</f>
        <v>5848.2</v>
      </c>
      <c r="W4867">
        <f t="shared" si="548"/>
        <v>15922.23</v>
      </c>
      <c r="X4867">
        <f t="shared" si="551"/>
        <v>0.535942873887629</v>
      </c>
      <c r="AH4867" t="str">
        <f t="shared" si="549"/>
        <v>1st Quality</v>
      </c>
      <c r="AJ4867">
        <f>((T4867-X4867)*2)/9.4</f>
        <v>118.541420087248</v>
      </c>
      <c r="AK4867">
        <f t="shared" ref="AK4867:AK4930" si="554">I4867/J4867*E4867</f>
        <v>775176.058024691</v>
      </c>
    </row>
    <row r="4868" spans="1:37">
      <c r="A4868" t="s">
        <v>4934</v>
      </c>
      <c r="B4868">
        <v>26</v>
      </c>
      <c r="C4868" t="s">
        <v>44</v>
      </c>
      <c r="D4868" t="s">
        <v>60</v>
      </c>
      <c r="E4868">
        <v>888</v>
      </c>
      <c r="F4868">
        <v>127</v>
      </c>
      <c r="G4868">
        <v>15</v>
      </c>
      <c r="H4868">
        <v>1143.92</v>
      </c>
      <c r="I4868">
        <v>16067.91</v>
      </c>
      <c r="J4868">
        <v>70</v>
      </c>
      <c r="K4868">
        <v>1</v>
      </c>
      <c r="L4868">
        <v>24.6</v>
      </c>
      <c r="M4868">
        <v>48.1</v>
      </c>
      <c r="N4868" t="s">
        <v>57</v>
      </c>
      <c r="O4868" t="s">
        <v>53</v>
      </c>
      <c r="P4868" t="s">
        <v>48</v>
      </c>
      <c r="R4868">
        <f>SUMIF(A4868:A9867,"C04867",I4868:I9867)</f>
        <v>16067.91</v>
      </c>
      <c r="S4868" s="1">
        <v>10434</v>
      </c>
      <c r="T4868">
        <f t="shared" si="552"/>
        <v>229.541571428571</v>
      </c>
      <c r="U4868">
        <f t="shared" si="550"/>
        <v>3367</v>
      </c>
      <c r="V4868">
        <f>U4868*1</f>
        <v>3367</v>
      </c>
      <c r="W4868">
        <f t="shared" si="548"/>
        <v>5737.61</v>
      </c>
      <c r="X4868">
        <f t="shared" si="551"/>
        <v>0.776278061402895</v>
      </c>
      <c r="AH4868" t="str">
        <f t="shared" si="549"/>
        <v>3rd Quality</v>
      </c>
      <c r="AJ4868">
        <f>((T4868-X4868)*2)/24.6</f>
        <v>18.5988043387942</v>
      </c>
      <c r="AK4868">
        <f t="shared" si="554"/>
        <v>203832.915428571</v>
      </c>
    </row>
    <row r="4869" spans="1:37">
      <c r="A4869" t="s">
        <v>4935</v>
      </c>
      <c r="B4869">
        <v>25</v>
      </c>
      <c r="C4869" t="s">
        <v>44</v>
      </c>
      <c r="D4869" t="s">
        <v>51</v>
      </c>
      <c r="E4869">
        <v>1321</v>
      </c>
      <c r="F4869">
        <v>36</v>
      </c>
      <c r="G4869">
        <v>5</v>
      </c>
      <c r="H4869">
        <v>1227.61</v>
      </c>
      <c r="I4869">
        <v>6486.81</v>
      </c>
      <c r="J4869">
        <v>28</v>
      </c>
      <c r="K4869">
        <v>0</v>
      </c>
      <c r="L4869">
        <v>10.1</v>
      </c>
      <c r="M4869">
        <v>11</v>
      </c>
      <c r="N4869" t="s">
        <v>81</v>
      </c>
      <c r="O4869" t="s">
        <v>47</v>
      </c>
      <c r="P4869" t="s">
        <v>66</v>
      </c>
      <c r="R4869">
        <f>SUMIF(A4869:A9868,"C04868",I4869:I9868)</f>
        <v>6486.81</v>
      </c>
      <c r="S4869" s="1">
        <v>13592.59</v>
      </c>
      <c r="T4869">
        <f t="shared" si="552"/>
        <v>231.671785714286</v>
      </c>
      <c r="U4869">
        <f t="shared" si="550"/>
        <v>308</v>
      </c>
      <c r="V4869">
        <f t="shared" si="553"/>
        <v>25.6666666666667</v>
      </c>
      <c r="W4869">
        <f t="shared" si="548"/>
        <v>2571.80666666667</v>
      </c>
      <c r="X4869">
        <f t="shared" si="551"/>
        <v>1.07607464911495</v>
      </c>
      <c r="AH4869" t="str">
        <f t="shared" si="549"/>
        <v>3rd Quality</v>
      </c>
      <c r="AJ4869">
        <f>((T4869-X4869)*2)/10.1</f>
        <v>45.6625170426081</v>
      </c>
      <c r="AK4869">
        <f t="shared" si="554"/>
        <v>306038.428928571</v>
      </c>
    </row>
    <row r="4870" spans="1:37">
      <c r="A4870" t="s">
        <v>4936</v>
      </c>
      <c r="B4870">
        <v>33</v>
      </c>
      <c r="C4870" t="s">
        <v>50</v>
      </c>
      <c r="D4870" t="s">
        <v>45</v>
      </c>
      <c r="E4870">
        <v>677</v>
      </c>
      <c r="F4870">
        <v>34</v>
      </c>
      <c r="G4870">
        <v>11</v>
      </c>
      <c r="H4870">
        <v>1256.24</v>
      </c>
      <c r="I4870">
        <v>15404.29</v>
      </c>
      <c r="J4870">
        <v>51</v>
      </c>
      <c r="K4870">
        <v>2</v>
      </c>
      <c r="L4870">
        <v>25.7</v>
      </c>
      <c r="M4870">
        <v>17.6</v>
      </c>
      <c r="N4870" t="s">
        <v>57</v>
      </c>
      <c r="O4870" t="s">
        <v>53</v>
      </c>
      <c r="P4870" t="s">
        <v>58</v>
      </c>
      <c r="R4870">
        <f>SUMIF(A4870:A9869,"C04869",I4870:I9869)</f>
        <v>15404.29</v>
      </c>
      <c r="S4870" s="1">
        <v>1363.05</v>
      </c>
      <c r="T4870">
        <f t="shared" si="552"/>
        <v>302.044901960784</v>
      </c>
      <c r="U4870">
        <f t="shared" si="550"/>
        <v>897.6</v>
      </c>
      <c r="V4870">
        <f>U4870*2</f>
        <v>1795.2</v>
      </c>
      <c r="W4870">
        <f t="shared" si="548"/>
        <v>5553.84333333333</v>
      </c>
      <c r="X4870">
        <f t="shared" si="551"/>
        <v>0.538909762465771</v>
      </c>
      <c r="AH4870" t="str">
        <f t="shared" si="549"/>
        <v>3rd Quality</v>
      </c>
      <c r="AJ4870">
        <f>((T4870-X4870)*2)/25.7</f>
        <v>23.4635013383905</v>
      </c>
      <c r="AK4870">
        <f t="shared" si="554"/>
        <v>204484.398627451</v>
      </c>
    </row>
    <row r="4871" spans="1:37">
      <c r="A4871" t="s">
        <v>4937</v>
      </c>
      <c r="B4871">
        <v>20</v>
      </c>
      <c r="C4871" t="s">
        <v>50</v>
      </c>
      <c r="D4871" t="s">
        <v>51</v>
      </c>
      <c r="E4871">
        <v>1211</v>
      </c>
      <c r="F4871">
        <v>25</v>
      </c>
      <c r="G4871">
        <v>3</v>
      </c>
      <c r="H4871">
        <v>12324.23</v>
      </c>
      <c r="I4871">
        <v>36141.96</v>
      </c>
      <c r="J4871">
        <v>10</v>
      </c>
      <c r="K4871">
        <v>1</v>
      </c>
      <c r="L4871">
        <v>8.9</v>
      </c>
      <c r="M4871">
        <v>23.4</v>
      </c>
      <c r="N4871" t="s">
        <v>57</v>
      </c>
      <c r="O4871" t="s">
        <v>75</v>
      </c>
      <c r="P4871" t="s">
        <v>58</v>
      </c>
      <c r="R4871">
        <f>SUMIF(A4871:A9870,"C04870",I4871:I9870)</f>
        <v>36141.96</v>
      </c>
      <c r="S4871" s="1">
        <v>468313</v>
      </c>
      <c r="T4871">
        <f t="shared" si="552"/>
        <v>3614.196</v>
      </c>
      <c r="U4871">
        <f t="shared" si="550"/>
        <v>234</v>
      </c>
      <c r="V4871">
        <f>U4871*1</f>
        <v>234</v>
      </c>
      <c r="W4871">
        <f t="shared" si="548"/>
        <v>16155.73</v>
      </c>
      <c r="X4871">
        <f t="shared" si="551"/>
        <v>0.0982617169591934</v>
      </c>
      <c r="AH4871" t="str">
        <f t="shared" si="549"/>
        <v>1st Quality</v>
      </c>
      <c r="AJ4871">
        <f>((T4871-X4871)*2)/8.9</f>
        <v>812.156795119784</v>
      </c>
      <c r="AK4871">
        <f t="shared" si="554"/>
        <v>4376791.356</v>
      </c>
    </row>
    <row r="4872" spans="1:37">
      <c r="A4872" t="s">
        <v>4938</v>
      </c>
      <c r="B4872">
        <v>18</v>
      </c>
      <c r="C4872" t="s">
        <v>44</v>
      </c>
      <c r="D4872" t="s">
        <v>60</v>
      </c>
      <c r="E4872">
        <v>609</v>
      </c>
      <c r="F4872">
        <v>18</v>
      </c>
      <c r="G4872">
        <v>12</v>
      </c>
      <c r="H4872">
        <v>852.4</v>
      </c>
      <c r="I4872">
        <v>10434</v>
      </c>
      <c r="J4872">
        <v>101</v>
      </c>
      <c r="K4872">
        <v>1</v>
      </c>
      <c r="L4872">
        <v>25.1</v>
      </c>
      <c r="M4872">
        <v>55.4</v>
      </c>
      <c r="N4872" t="s">
        <v>46</v>
      </c>
      <c r="O4872" t="s">
        <v>47</v>
      </c>
      <c r="P4872" t="s">
        <v>58</v>
      </c>
      <c r="R4872">
        <f>SUMIF(A4872:A9871,"C04871",I4872:I9871)</f>
        <v>10434</v>
      </c>
      <c r="S4872" s="1">
        <v>5890.11</v>
      </c>
      <c r="T4872">
        <f t="shared" si="552"/>
        <v>103.306930693069</v>
      </c>
      <c r="U4872">
        <f t="shared" si="550"/>
        <v>5595.4</v>
      </c>
      <c r="V4872">
        <f>U4872*1</f>
        <v>5595.4</v>
      </c>
      <c r="W4872">
        <f t="shared" si="548"/>
        <v>3762.46666666667</v>
      </c>
      <c r="X4872">
        <f t="shared" si="551"/>
        <v>0.71445330830596</v>
      </c>
      <c r="AH4872" t="str">
        <f t="shared" si="549"/>
        <v>3rd Quality</v>
      </c>
      <c r="AJ4872">
        <f>((T4872-X4872)*2)/25.1</f>
        <v>8.17469939320821</v>
      </c>
      <c r="AK4872">
        <f t="shared" si="554"/>
        <v>62913.9207920792</v>
      </c>
    </row>
    <row r="4873" spans="1:37">
      <c r="A4873" t="s">
        <v>4939</v>
      </c>
      <c r="B4873">
        <v>24</v>
      </c>
      <c r="C4873" t="s">
        <v>44</v>
      </c>
      <c r="D4873" t="s">
        <v>60</v>
      </c>
      <c r="E4873">
        <v>414</v>
      </c>
      <c r="F4873">
        <v>13</v>
      </c>
      <c r="G4873">
        <v>12</v>
      </c>
      <c r="H4873">
        <v>1256.86</v>
      </c>
      <c r="I4873">
        <v>13592.59</v>
      </c>
      <c r="J4873">
        <v>43</v>
      </c>
      <c r="K4873">
        <v>1</v>
      </c>
      <c r="L4873">
        <v>25.1</v>
      </c>
      <c r="M4873">
        <v>24.2</v>
      </c>
      <c r="N4873" t="s">
        <v>63</v>
      </c>
      <c r="O4873" t="s">
        <v>47</v>
      </c>
      <c r="P4873" t="s">
        <v>48</v>
      </c>
      <c r="R4873">
        <f>SUMIF(A4873:A9872,"C04872",I4873:I9872)</f>
        <v>13592.59</v>
      </c>
      <c r="S4873" s="1">
        <v>55848.91</v>
      </c>
      <c r="T4873">
        <f t="shared" si="552"/>
        <v>316.106744186047</v>
      </c>
      <c r="U4873">
        <f t="shared" si="550"/>
        <v>1040.6</v>
      </c>
      <c r="V4873">
        <f>U4873*1</f>
        <v>1040.6</v>
      </c>
      <c r="W4873">
        <f t="shared" ref="W4873:W4904" si="555">(H4873+I4873+1)/3</f>
        <v>4950.15</v>
      </c>
      <c r="X4873">
        <f t="shared" si="551"/>
        <v>0.329392295084576</v>
      </c>
      <c r="AH4873" t="str">
        <f t="shared" si="549"/>
        <v>3rd Quality</v>
      </c>
      <c r="AJ4873">
        <f>((T4873-X4873)*2)/25.1</f>
        <v>25.1615419833436</v>
      </c>
      <c r="AK4873">
        <f t="shared" si="554"/>
        <v>130868.192093023</v>
      </c>
    </row>
    <row r="4874" spans="1:37">
      <c r="A4874" t="s">
        <v>4940</v>
      </c>
      <c r="B4874">
        <v>34</v>
      </c>
      <c r="C4874" t="s">
        <v>50</v>
      </c>
      <c r="D4874" t="s">
        <v>45</v>
      </c>
      <c r="E4874">
        <v>512</v>
      </c>
      <c r="F4874">
        <v>6</v>
      </c>
      <c r="G4874">
        <v>1</v>
      </c>
      <c r="H4874">
        <v>1322.05</v>
      </c>
      <c r="I4874">
        <v>1363.05</v>
      </c>
      <c r="J4874">
        <v>9</v>
      </c>
      <c r="K4874">
        <v>0</v>
      </c>
      <c r="L4874">
        <v>36</v>
      </c>
      <c r="M4874">
        <v>53.9</v>
      </c>
      <c r="N4874" t="s">
        <v>81</v>
      </c>
      <c r="O4874" t="s">
        <v>47</v>
      </c>
      <c r="P4874" t="s">
        <v>58</v>
      </c>
      <c r="R4874">
        <f>SUMIF(A4874:A9873,"C04873",I4874:I9873)</f>
        <v>1363.05</v>
      </c>
      <c r="S4874" s="1">
        <v>11269.21</v>
      </c>
      <c r="T4874">
        <f t="shared" si="552"/>
        <v>151.45</v>
      </c>
      <c r="U4874">
        <f t="shared" si="550"/>
        <v>485.1</v>
      </c>
      <c r="V4874">
        <f t="shared" si="553"/>
        <v>40.425</v>
      </c>
      <c r="W4874">
        <f t="shared" si="555"/>
        <v>895.366666666667</v>
      </c>
      <c r="X4874">
        <f t="shared" si="551"/>
        <v>0.387277334442722</v>
      </c>
      <c r="AH4874" t="str">
        <f t="shared" si="549"/>
        <v>3rd Quality</v>
      </c>
      <c r="AJ4874">
        <f>((T4874-X4874)*2)/36</f>
        <v>8.39237348141985</v>
      </c>
      <c r="AK4874">
        <f t="shared" si="554"/>
        <v>77542.4</v>
      </c>
    </row>
    <row r="4875" spans="1:37">
      <c r="A4875" t="s">
        <v>4941</v>
      </c>
      <c r="B4875">
        <v>19</v>
      </c>
      <c r="C4875" t="s">
        <v>50</v>
      </c>
      <c r="D4875" t="s">
        <v>51</v>
      </c>
      <c r="E4875">
        <v>812</v>
      </c>
      <c r="F4875">
        <v>8</v>
      </c>
      <c r="G4875">
        <v>2</v>
      </c>
      <c r="H4875">
        <v>21364.64</v>
      </c>
      <c r="I4875">
        <v>468313</v>
      </c>
      <c r="J4875">
        <v>16</v>
      </c>
      <c r="K4875">
        <v>0</v>
      </c>
      <c r="L4875">
        <v>5.2</v>
      </c>
      <c r="M4875">
        <v>35.9</v>
      </c>
      <c r="N4875" t="s">
        <v>57</v>
      </c>
      <c r="O4875" t="s">
        <v>47</v>
      </c>
      <c r="P4875" t="s">
        <v>48</v>
      </c>
      <c r="R4875">
        <f>SUMIF(A4875:A9874,"C04874",I4875:I9874)</f>
        <v>468313</v>
      </c>
      <c r="S4875" s="1">
        <v>2426.55</v>
      </c>
      <c r="T4875">
        <f t="shared" si="552"/>
        <v>29269.5625</v>
      </c>
      <c r="U4875">
        <f t="shared" si="550"/>
        <v>574.4</v>
      </c>
      <c r="V4875">
        <f t="shared" si="553"/>
        <v>47.8666666666667</v>
      </c>
      <c r="W4875">
        <f t="shared" si="555"/>
        <v>163226.213333333</v>
      </c>
      <c r="X4875">
        <f t="shared" si="551"/>
        <v>0.0380067251308705</v>
      </c>
      <c r="AH4875" t="str">
        <f t="shared" si="549"/>
        <v>2nd Quality</v>
      </c>
      <c r="AJ4875">
        <f>((T4875-X4875)*2)/5.2</f>
        <v>11257.5094204903</v>
      </c>
      <c r="AK4875">
        <f t="shared" si="554"/>
        <v>23766884.75</v>
      </c>
    </row>
    <row r="4876" spans="1:37">
      <c r="A4876" t="s">
        <v>4942</v>
      </c>
      <c r="B4876">
        <v>18</v>
      </c>
      <c r="C4876" t="s">
        <v>50</v>
      </c>
      <c r="D4876" t="s">
        <v>60</v>
      </c>
      <c r="E4876">
        <v>512</v>
      </c>
      <c r="F4876">
        <v>23</v>
      </c>
      <c r="G4876">
        <v>1</v>
      </c>
      <c r="H4876">
        <v>5673.29</v>
      </c>
      <c r="I4876">
        <v>5890.11</v>
      </c>
      <c r="J4876">
        <v>18</v>
      </c>
      <c r="K4876">
        <v>0</v>
      </c>
      <c r="L4876">
        <v>6.4</v>
      </c>
      <c r="M4876">
        <v>22.3</v>
      </c>
      <c r="N4876" t="s">
        <v>46</v>
      </c>
      <c r="O4876" t="s">
        <v>47</v>
      </c>
      <c r="P4876" t="s">
        <v>58</v>
      </c>
      <c r="R4876">
        <f>SUMIF(A4876:A9875,"C04875",I4876:I9875)</f>
        <v>5890.11</v>
      </c>
      <c r="S4876" s="1">
        <v>5812.89</v>
      </c>
      <c r="T4876">
        <f t="shared" si="552"/>
        <v>327.228333333333</v>
      </c>
      <c r="U4876">
        <f t="shared" si="550"/>
        <v>401.4</v>
      </c>
      <c r="V4876">
        <f t="shared" si="553"/>
        <v>33.45</v>
      </c>
      <c r="W4876">
        <f t="shared" si="555"/>
        <v>3854.8</v>
      </c>
      <c r="X4876">
        <f t="shared" si="551"/>
        <v>0.090247457824296</v>
      </c>
      <c r="AH4876" t="str">
        <f t="shared" si="549"/>
        <v>3rd Quality</v>
      </c>
      <c r="AJ4876">
        <f>((T4876-X4876)*2)/6.4</f>
        <v>102.230651836096</v>
      </c>
      <c r="AK4876">
        <f t="shared" si="554"/>
        <v>167540.906666667</v>
      </c>
    </row>
    <row r="4877" spans="1:37">
      <c r="A4877" t="s">
        <v>4943</v>
      </c>
      <c r="B4877">
        <v>22</v>
      </c>
      <c r="C4877" t="s">
        <v>50</v>
      </c>
      <c r="D4877" t="s">
        <v>60</v>
      </c>
      <c r="E4877">
        <v>1220</v>
      </c>
      <c r="F4877">
        <v>38</v>
      </c>
      <c r="G4877">
        <v>5</v>
      </c>
      <c r="H4877">
        <v>10773.34</v>
      </c>
      <c r="I4877">
        <v>55848.91</v>
      </c>
      <c r="J4877">
        <v>40</v>
      </c>
      <c r="K4877">
        <v>0</v>
      </c>
      <c r="L4877">
        <v>0</v>
      </c>
      <c r="M4877">
        <v>9.1</v>
      </c>
      <c r="N4877" t="s">
        <v>63</v>
      </c>
      <c r="O4877" t="s">
        <v>75</v>
      </c>
      <c r="P4877" t="s">
        <v>68</v>
      </c>
      <c r="R4877">
        <f>SUMIF(A4877:A9876,"C04876",I4877:I9876)</f>
        <v>55848.91</v>
      </c>
      <c r="S4877" s="1">
        <v>13561.8</v>
      </c>
      <c r="T4877">
        <f t="shared" si="552"/>
        <v>1396.22275</v>
      </c>
      <c r="U4877">
        <f t="shared" si="550"/>
        <v>364</v>
      </c>
      <c r="V4877">
        <f t="shared" si="553"/>
        <v>30.3333333333333</v>
      </c>
      <c r="W4877">
        <f t="shared" si="555"/>
        <v>22207.75</v>
      </c>
      <c r="X4877">
        <f t="shared" si="551"/>
        <v>0.113242504181619</v>
      </c>
      <c r="AH4877" t="str">
        <f t="shared" si="549"/>
        <v>1st Quality</v>
      </c>
      <c r="AJ4877">
        <f>((T4877-X4877)*2)</f>
        <v>2792.21901499164</v>
      </c>
      <c r="AK4877">
        <f t="shared" si="554"/>
        <v>1703391.755</v>
      </c>
    </row>
    <row r="4878" spans="1:37">
      <c r="A4878" t="s">
        <v>4944</v>
      </c>
      <c r="B4878">
        <v>37</v>
      </c>
      <c r="C4878" t="s">
        <v>50</v>
      </c>
      <c r="D4878" t="s">
        <v>60</v>
      </c>
      <c r="E4878">
        <v>467</v>
      </c>
      <c r="F4878">
        <v>15</v>
      </c>
      <c r="G4878">
        <v>9</v>
      </c>
      <c r="H4878">
        <v>1255.91</v>
      </c>
      <c r="I4878">
        <v>11269.21</v>
      </c>
      <c r="J4878">
        <v>43</v>
      </c>
      <c r="K4878">
        <v>1</v>
      </c>
      <c r="L4878">
        <v>26.8</v>
      </c>
      <c r="M4878">
        <v>1.4</v>
      </c>
      <c r="N4878" t="s">
        <v>63</v>
      </c>
      <c r="O4878" t="s">
        <v>75</v>
      </c>
      <c r="P4878" t="s">
        <v>48</v>
      </c>
      <c r="R4878">
        <f>SUMIF(A4878:A9877,"C04877",I4878:I9877)</f>
        <v>11269.21</v>
      </c>
      <c r="S4878" s="1">
        <v>90878.63</v>
      </c>
      <c r="T4878">
        <f t="shared" si="552"/>
        <v>262.074651162791</v>
      </c>
      <c r="U4878">
        <f t="shared" si="550"/>
        <v>60.2</v>
      </c>
      <c r="V4878">
        <f>U4878*1</f>
        <v>60.2</v>
      </c>
      <c r="W4878">
        <f t="shared" si="555"/>
        <v>4175.37333333333</v>
      </c>
      <c r="X4878">
        <f t="shared" si="551"/>
        <v>0.371841931348584</v>
      </c>
      <c r="AH4878" t="str">
        <f t="shared" ref="AH4878:AH4941" si="556">IF(AND(W4878&gt;=12550,B4878&lt;=33,E4878&gt;=915),"1st Quality",IF(AND(W4878&gt;=6275,B4878&lt;=43,E4878&gt;=457),"2nd Quality","3rd Quality"))</f>
        <v>3rd Quality</v>
      </c>
      <c r="AJ4878">
        <f>((T4878-X4878)*2)/26.8</f>
        <v>19.5300603904061</v>
      </c>
      <c r="AK4878">
        <f t="shared" si="554"/>
        <v>122388.862093023</v>
      </c>
    </row>
    <row r="4879" spans="1:37">
      <c r="A4879" t="s">
        <v>4945</v>
      </c>
      <c r="B4879">
        <v>35</v>
      </c>
      <c r="C4879" t="s">
        <v>50</v>
      </c>
      <c r="D4879" t="s">
        <v>60</v>
      </c>
      <c r="E4879">
        <v>1425</v>
      </c>
      <c r="F4879">
        <v>110</v>
      </c>
      <c r="G4879">
        <v>3</v>
      </c>
      <c r="H4879">
        <v>818.68</v>
      </c>
      <c r="I4879">
        <v>2426.55</v>
      </c>
      <c r="J4879">
        <v>33</v>
      </c>
      <c r="K4879">
        <v>0</v>
      </c>
      <c r="L4879">
        <v>24.3</v>
      </c>
      <c r="M4879">
        <v>49.3</v>
      </c>
      <c r="N4879" t="s">
        <v>46</v>
      </c>
      <c r="O4879" t="s">
        <v>47</v>
      </c>
      <c r="P4879" t="s">
        <v>58</v>
      </c>
      <c r="R4879">
        <f>SUMIF(A4879:A9878,"C04878",I4879:I9878)</f>
        <v>2426.55</v>
      </c>
      <c r="S4879" s="1">
        <v>94348.28</v>
      </c>
      <c r="T4879">
        <f t="shared" si="552"/>
        <v>73.5318181818182</v>
      </c>
      <c r="U4879">
        <f t="shared" si="550"/>
        <v>1626.9</v>
      </c>
      <c r="V4879">
        <f t="shared" si="553"/>
        <v>135.575</v>
      </c>
      <c r="W4879">
        <f t="shared" si="555"/>
        <v>1082.07666666667</v>
      </c>
      <c r="X4879">
        <f t="shared" si="551"/>
        <v>1.74060683050765</v>
      </c>
      <c r="AH4879" t="str">
        <f t="shared" si="556"/>
        <v>3rd Quality</v>
      </c>
      <c r="AJ4879">
        <f>((T4879-X4879)*2)/24.3</f>
        <v>5.90874167500498</v>
      </c>
      <c r="AK4879">
        <f t="shared" si="554"/>
        <v>104782.840909091</v>
      </c>
    </row>
    <row r="4880" spans="1:37">
      <c r="A4880" t="s">
        <v>4946</v>
      </c>
      <c r="B4880">
        <v>24</v>
      </c>
      <c r="C4880" t="s">
        <v>44</v>
      </c>
      <c r="D4880" t="s">
        <v>45</v>
      </c>
      <c r="E4880">
        <v>752</v>
      </c>
      <c r="F4880">
        <v>26</v>
      </c>
      <c r="G4880">
        <v>6</v>
      </c>
      <c r="H4880">
        <v>1000.06</v>
      </c>
      <c r="I4880">
        <v>5812.89</v>
      </c>
      <c r="J4880">
        <v>43</v>
      </c>
      <c r="K4880">
        <v>1</v>
      </c>
      <c r="L4880">
        <v>17.8</v>
      </c>
      <c r="M4880">
        <v>14.9</v>
      </c>
      <c r="N4880" t="s">
        <v>78</v>
      </c>
      <c r="O4880" t="s">
        <v>47</v>
      </c>
      <c r="P4880" t="s">
        <v>68</v>
      </c>
      <c r="R4880">
        <f>SUMIF(A4880:A9879,"C04879",I4880:I9879)</f>
        <v>5812.89</v>
      </c>
      <c r="S4880" s="1">
        <v>57751.47</v>
      </c>
      <c r="T4880">
        <f t="shared" si="552"/>
        <v>135.183488372093</v>
      </c>
      <c r="U4880">
        <f t="shared" si="550"/>
        <v>640.7</v>
      </c>
      <c r="V4880">
        <f>U4880*1</f>
        <v>640.7</v>
      </c>
      <c r="W4880">
        <f t="shared" si="555"/>
        <v>2271.31666666667</v>
      </c>
      <c r="X4880">
        <f t="shared" si="551"/>
        <v>0.751954882707038</v>
      </c>
      <c r="AH4880" t="str">
        <f t="shared" si="556"/>
        <v>3rd Quality</v>
      </c>
      <c r="AJ4880">
        <f>((T4880-X4880)*2)/17.8</f>
        <v>15.1046666842007</v>
      </c>
      <c r="AK4880">
        <f t="shared" si="554"/>
        <v>101657.983255814</v>
      </c>
    </row>
    <row r="4881" spans="1:37">
      <c r="A4881" t="s">
        <v>4947</v>
      </c>
      <c r="B4881">
        <v>25</v>
      </c>
      <c r="C4881" t="s">
        <v>50</v>
      </c>
      <c r="D4881" t="s">
        <v>51</v>
      </c>
      <c r="E4881">
        <v>874</v>
      </c>
      <c r="F4881">
        <v>31</v>
      </c>
      <c r="G4881">
        <v>7</v>
      </c>
      <c r="H4881">
        <v>1799.14</v>
      </c>
      <c r="I4881">
        <v>13561.8</v>
      </c>
      <c r="J4881">
        <v>30</v>
      </c>
      <c r="K4881">
        <v>0</v>
      </c>
      <c r="L4881">
        <v>19.1</v>
      </c>
      <c r="M4881">
        <v>60.2</v>
      </c>
      <c r="N4881" t="s">
        <v>78</v>
      </c>
      <c r="O4881" t="s">
        <v>47</v>
      </c>
      <c r="P4881" t="s">
        <v>54</v>
      </c>
      <c r="R4881">
        <f>SUMIF(A4881:A9880,"C04880",I4881:I9880)</f>
        <v>13561.8</v>
      </c>
      <c r="S4881" s="1">
        <v>6307.36</v>
      </c>
      <c r="T4881">
        <f t="shared" si="552"/>
        <v>452.06</v>
      </c>
      <c r="U4881">
        <f t="shared" si="550"/>
        <v>1806</v>
      </c>
      <c r="V4881">
        <f t="shared" si="553"/>
        <v>150.5</v>
      </c>
      <c r="W4881">
        <f t="shared" si="555"/>
        <v>5120.64666666667</v>
      </c>
      <c r="X4881">
        <f t="shared" si="551"/>
        <v>0.485787654101404</v>
      </c>
      <c r="AH4881" t="str">
        <f t="shared" si="556"/>
        <v>3rd Quality</v>
      </c>
      <c r="AJ4881">
        <f>((T4881-X4881)*2)/19.1</f>
        <v>47.2852578372669</v>
      </c>
      <c r="AK4881">
        <f t="shared" si="554"/>
        <v>395100.44</v>
      </c>
    </row>
    <row r="4882" spans="1:37">
      <c r="A4882" t="s">
        <v>4948</v>
      </c>
      <c r="B4882">
        <v>33</v>
      </c>
      <c r="C4882" t="s">
        <v>44</v>
      </c>
      <c r="D4882" t="s">
        <v>51</v>
      </c>
      <c r="E4882">
        <v>1182</v>
      </c>
      <c r="F4882">
        <v>18</v>
      </c>
      <c r="G4882">
        <v>21</v>
      </c>
      <c r="H4882">
        <v>4182.29</v>
      </c>
      <c r="I4882">
        <v>90878.63</v>
      </c>
      <c r="J4882">
        <v>54</v>
      </c>
      <c r="K4882">
        <v>0</v>
      </c>
      <c r="L4882">
        <v>1.5</v>
      </c>
      <c r="M4882">
        <v>49</v>
      </c>
      <c r="N4882" t="s">
        <v>52</v>
      </c>
      <c r="O4882" t="s">
        <v>53</v>
      </c>
      <c r="P4882" t="s">
        <v>58</v>
      </c>
      <c r="R4882">
        <f>SUMIF(A4882:A9881,"C04881",I4882:I9881)</f>
        <v>90878.63</v>
      </c>
      <c r="S4882" s="1">
        <v>4960.27</v>
      </c>
      <c r="T4882">
        <f t="shared" si="552"/>
        <v>1682.93759259259</v>
      </c>
      <c r="U4882">
        <f t="shared" si="550"/>
        <v>2646</v>
      </c>
      <c r="V4882">
        <f t="shared" si="553"/>
        <v>220.5</v>
      </c>
      <c r="W4882">
        <f t="shared" si="555"/>
        <v>31687.3066666667</v>
      </c>
      <c r="X4882">
        <f t="shared" si="551"/>
        <v>0.28262028697197</v>
      </c>
      <c r="AH4882" t="str">
        <f t="shared" si="556"/>
        <v>1st Quality</v>
      </c>
      <c r="AJ4882">
        <f>((T4882-X4882)*2)/1.5</f>
        <v>2243.53996307416</v>
      </c>
      <c r="AK4882">
        <f t="shared" si="554"/>
        <v>1989232.23444444</v>
      </c>
    </row>
    <row r="4883" spans="1:37">
      <c r="A4883" t="s">
        <v>4949</v>
      </c>
      <c r="B4883">
        <v>35</v>
      </c>
      <c r="C4883" t="s">
        <v>50</v>
      </c>
      <c r="D4883" t="s">
        <v>45</v>
      </c>
      <c r="E4883">
        <v>1135</v>
      </c>
      <c r="F4883">
        <v>35</v>
      </c>
      <c r="G4883">
        <v>4</v>
      </c>
      <c r="H4883">
        <v>24778.7</v>
      </c>
      <c r="I4883">
        <v>94348.28</v>
      </c>
      <c r="J4883">
        <v>21</v>
      </c>
      <c r="K4883">
        <v>0</v>
      </c>
      <c r="L4883">
        <v>5.3</v>
      </c>
      <c r="M4883">
        <v>29.9</v>
      </c>
      <c r="N4883" t="s">
        <v>46</v>
      </c>
      <c r="O4883" t="s">
        <v>75</v>
      </c>
      <c r="P4883" t="s">
        <v>58</v>
      </c>
      <c r="R4883">
        <f>SUMIF(A4883:A9882,"C04882",I4883:I9882)</f>
        <v>94348.28</v>
      </c>
      <c r="S4883" s="1">
        <v>1521.29</v>
      </c>
      <c r="T4883">
        <f t="shared" si="552"/>
        <v>4492.77523809524</v>
      </c>
      <c r="U4883">
        <f t="shared" si="550"/>
        <v>627.9</v>
      </c>
      <c r="V4883">
        <f t="shared" si="553"/>
        <v>52.325</v>
      </c>
      <c r="W4883">
        <f t="shared" si="555"/>
        <v>39709.3266666667</v>
      </c>
      <c r="X4883">
        <f t="shared" si="551"/>
        <v>0.0458054700206225</v>
      </c>
      <c r="AH4883" t="str">
        <f t="shared" si="556"/>
        <v>2nd Quality</v>
      </c>
      <c r="AJ4883">
        <f>((T4883-X4883)*2)/5.3</f>
        <v>1695.36959721706</v>
      </c>
      <c r="AK4883">
        <f t="shared" si="554"/>
        <v>5099299.89523809</v>
      </c>
    </row>
    <row r="4884" spans="1:37">
      <c r="A4884" t="s">
        <v>4950</v>
      </c>
      <c r="B4884">
        <v>29</v>
      </c>
      <c r="C4884" t="s">
        <v>44</v>
      </c>
      <c r="D4884" t="s">
        <v>51</v>
      </c>
      <c r="E4884">
        <v>1283</v>
      </c>
      <c r="F4884">
        <v>41</v>
      </c>
      <c r="G4884">
        <v>10</v>
      </c>
      <c r="H4884">
        <v>5750.47</v>
      </c>
      <c r="I4884">
        <v>57751.47</v>
      </c>
      <c r="J4884">
        <v>46</v>
      </c>
      <c r="K4884">
        <v>1</v>
      </c>
      <c r="L4884">
        <v>11.8</v>
      </c>
      <c r="M4884">
        <v>40.1</v>
      </c>
      <c r="N4884" t="s">
        <v>81</v>
      </c>
      <c r="O4884" t="s">
        <v>47</v>
      </c>
      <c r="P4884" t="s">
        <v>58</v>
      </c>
      <c r="R4884">
        <f>SUMIF(A4884:A9883,"C04883",I4884:I9883)</f>
        <v>57751.47</v>
      </c>
      <c r="S4884" s="1">
        <v>81966.52</v>
      </c>
      <c r="T4884">
        <f t="shared" si="552"/>
        <v>1255.46673913043</v>
      </c>
      <c r="U4884">
        <f t="shared" si="550"/>
        <v>1844.6</v>
      </c>
      <c r="V4884">
        <f>U4884*1</f>
        <v>1844.6</v>
      </c>
      <c r="W4884">
        <f t="shared" si="555"/>
        <v>21167.6466666667</v>
      </c>
      <c r="X4884">
        <f t="shared" si="551"/>
        <v>0.223112197785572</v>
      </c>
      <c r="AH4884" t="str">
        <f t="shared" si="556"/>
        <v>1st Quality</v>
      </c>
      <c r="AJ4884">
        <f>((T4884-X4884)*2)/11.8</f>
        <v>212.753157107228</v>
      </c>
      <c r="AK4884">
        <f t="shared" si="554"/>
        <v>1610763.82630435</v>
      </c>
    </row>
    <row r="4885" spans="1:37">
      <c r="A4885" t="s">
        <v>4951</v>
      </c>
      <c r="B4885">
        <v>46</v>
      </c>
      <c r="C4885" t="s">
        <v>50</v>
      </c>
      <c r="D4885" t="s">
        <v>45</v>
      </c>
      <c r="E4885">
        <v>1455</v>
      </c>
      <c r="F4885">
        <v>136</v>
      </c>
      <c r="G4885">
        <v>10</v>
      </c>
      <c r="H4885">
        <v>694.82</v>
      </c>
      <c r="I4885">
        <v>6307.36</v>
      </c>
      <c r="J4885">
        <v>45</v>
      </c>
      <c r="K4885">
        <v>1</v>
      </c>
      <c r="L4885">
        <v>14.2</v>
      </c>
      <c r="M4885">
        <v>28.2</v>
      </c>
      <c r="N4885" t="s">
        <v>52</v>
      </c>
      <c r="O4885" t="s">
        <v>75</v>
      </c>
      <c r="P4885" t="s">
        <v>48</v>
      </c>
      <c r="R4885">
        <f>SUMIF(A4885:A9884,"C04884",I4885:I9884)</f>
        <v>6307.36</v>
      </c>
      <c r="S4885" s="1">
        <v>5158.99</v>
      </c>
      <c r="T4885">
        <f t="shared" si="552"/>
        <v>140.163555555556</v>
      </c>
      <c r="U4885">
        <f t="shared" si="550"/>
        <v>1269</v>
      </c>
      <c r="V4885">
        <f>U4885*1</f>
        <v>1269</v>
      </c>
      <c r="W4885">
        <f t="shared" si="555"/>
        <v>2334.39333333333</v>
      </c>
      <c r="X4885">
        <f t="shared" si="551"/>
        <v>2.09406752828071</v>
      </c>
      <c r="AH4885" t="str">
        <f t="shared" si="556"/>
        <v>3rd Quality</v>
      </c>
      <c r="AJ4885">
        <f>((T4885-X4885)*2)/14.2</f>
        <v>19.446406764405</v>
      </c>
      <c r="AK4885">
        <f t="shared" si="554"/>
        <v>203937.973333333</v>
      </c>
    </row>
    <row r="4886" spans="1:37">
      <c r="A4886" t="s">
        <v>4952</v>
      </c>
      <c r="B4886">
        <v>30</v>
      </c>
      <c r="C4886" t="s">
        <v>50</v>
      </c>
      <c r="D4886" t="s">
        <v>51</v>
      </c>
      <c r="E4886">
        <v>702</v>
      </c>
      <c r="F4886">
        <v>40</v>
      </c>
      <c r="G4886">
        <v>3</v>
      </c>
      <c r="H4886">
        <v>1855.73</v>
      </c>
      <c r="I4886">
        <v>4960.27</v>
      </c>
      <c r="J4886">
        <v>15</v>
      </c>
      <c r="K4886">
        <v>0</v>
      </c>
      <c r="L4886">
        <v>28.9</v>
      </c>
      <c r="M4886">
        <v>15.8</v>
      </c>
      <c r="N4886" t="s">
        <v>46</v>
      </c>
      <c r="O4886" t="s">
        <v>53</v>
      </c>
      <c r="P4886" t="s">
        <v>58</v>
      </c>
      <c r="R4886">
        <f>SUMIF(A4886:A9885,"C04885",I4886:I9885)</f>
        <v>4960.27</v>
      </c>
      <c r="S4886" s="1">
        <v>794602</v>
      </c>
      <c r="T4886">
        <f t="shared" si="552"/>
        <v>330.684666666667</v>
      </c>
      <c r="U4886">
        <f t="shared" si="550"/>
        <v>237</v>
      </c>
      <c r="V4886">
        <f t="shared" si="553"/>
        <v>19.75</v>
      </c>
      <c r="W4886">
        <f t="shared" si="555"/>
        <v>2272.33333333333</v>
      </c>
      <c r="X4886">
        <f t="shared" si="551"/>
        <v>0.378287789710788</v>
      </c>
      <c r="AH4886" t="str">
        <f t="shared" si="556"/>
        <v>3rd Quality</v>
      </c>
      <c r="AJ4886">
        <f>((T4886-X4886)*2)/28.9</f>
        <v>22.8585729326613</v>
      </c>
      <c r="AK4886">
        <f t="shared" si="554"/>
        <v>232140.636</v>
      </c>
    </row>
    <row r="4887" spans="1:37">
      <c r="A4887" t="s">
        <v>4953</v>
      </c>
      <c r="B4887">
        <v>44</v>
      </c>
      <c r="C4887" t="s">
        <v>50</v>
      </c>
      <c r="D4887" t="s">
        <v>60</v>
      </c>
      <c r="E4887">
        <v>1049</v>
      </c>
      <c r="F4887">
        <v>158</v>
      </c>
      <c r="G4887">
        <v>2</v>
      </c>
      <c r="H4887">
        <v>833.4</v>
      </c>
      <c r="I4887">
        <v>1521.29</v>
      </c>
      <c r="J4887">
        <v>11</v>
      </c>
      <c r="K4887">
        <v>0</v>
      </c>
      <c r="L4887">
        <v>33.7</v>
      </c>
      <c r="M4887">
        <v>48.9</v>
      </c>
      <c r="N4887" t="s">
        <v>81</v>
      </c>
      <c r="O4887" t="s">
        <v>75</v>
      </c>
      <c r="P4887" t="s">
        <v>58</v>
      </c>
      <c r="R4887">
        <f>SUMIF(A4887:A9886,"C04886",I4887:I9886)</f>
        <v>1521.29</v>
      </c>
      <c r="S4887" s="1">
        <v>9424.46</v>
      </c>
      <c r="T4887">
        <f t="shared" si="552"/>
        <v>138.299090909091</v>
      </c>
      <c r="U4887">
        <f t="shared" si="550"/>
        <v>537.9</v>
      </c>
      <c r="V4887">
        <f t="shared" si="553"/>
        <v>44.825</v>
      </c>
      <c r="W4887">
        <f t="shared" si="555"/>
        <v>785.23</v>
      </c>
      <c r="X4887">
        <f t="shared" si="551"/>
        <v>1.25869930405568</v>
      </c>
      <c r="AH4887" t="str">
        <f t="shared" si="556"/>
        <v>3rd Quality</v>
      </c>
      <c r="AJ4887">
        <f>((T4887-X4887)*2)/33.7</f>
        <v>8.13296092611485</v>
      </c>
      <c r="AK4887">
        <f t="shared" si="554"/>
        <v>145075.746363636</v>
      </c>
    </row>
    <row r="4888" spans="1:37">
      <c r="A4888" t="s">
        <v>4954</v>
      </c>
      <c r="B4888">
        <v>44</v>
      </c>
      <c r="C4888" t="s">
        <v>44</v>
      </c>
      <c r="D4888" t="s">
        <v>60</v>
      </c>
      <c r="E4888">
        <v>1101</v>
      </c>
      <c r="F4888">
        <v>13</v>
      </c>
      <c r="G4888">
        <v>28</v>
      </c>
      <c r="H4888">
        <v>2690.07</v>
      </c>
      <c r="I4888">
        <v>81966.52</v>
      </c>
      <c r="J4888">
        <v>61</v>
      </c>
      <c r="K4888">
        <v>0</v>
      </c>
      <c r="L4888">
        <v>0</v>
      </c>
      <c r="M4888">
        <v>57.7</v>
      </c>
      <c r="N4888" t="s">
        <v>61</v>
      </c>
      <c r="O4888" t="s">
        <v>75</v>
      </c>
      <c r="P4888" t="s">
        <v>48</v>
      </c>
      <c r="R4888">
        <f>SUMIF(A4888:A9887,"C04887",I4888:I9887)</f>
        <v>81966.52</v>
      </c>
      <c r="S4888" s="1">
        <v>8967.51</v>
      </c>
      <c r="T4888">
        <f t="shared" si="552"/>
        <v>1343.71344262295</v>
      </c>
      <c r="U4888">
        <f t="shared" si="550"/>
        <v>3519.7</v>
      </c>
      <c r="V4888">
        <f t="shared" si="553"/>
        <v>293.308333333333</v>
      </c>
      <c r="W4888">
        <f t="shared" si="555"/>
        <v>28219.1966666667</v>
      </c>
      <c r="X4888">
        <f t="shared" si="551"/>
        <v>0.409283029809633</v>
      </c>
      <c r="AH4888" t="str">
        <f t="shared" si="556"/>
        <v>3rd Quality</v>
      </c>
      <c r="AJ4888">
        <f>((T4888-X4888)*2)</f>
        <v>2686.60831918628</v>
      </c>
      <c r="AK4888">
        <f t="shared" si="554"/>
        <v>1479428.50032787</v>
      </c>
    </row>
    <row r="4889" spans="1:37">
      <c r="A4889" t="s">
        <v>4955</v>
      </c>
      <c r="B4889">
        <v>18</v>
      </c>
      <c r="C4889" t="s">
        <v>44</v>
      </c>
      <c r="D4889" t="s">
        <v>60</v>
      </c>
      <c r="E4889">
        <v>1219</v>
      </c>
      <c r="F4889">
        <v>126</v>
      </c>
      <c r="G4889">
        <v>6</v>
      </c>
      <c r="H4889">
        <v>913.03</v>
      </c>
      <c r="I4889">
        <v>5158.99</v>
      </c>
      <c r="J4889">
        <v>35</v>
      </c>
      <c r="K4889">
        <v>0</v>
      </c>
      <c r="L4889">
        <v>42</v>
      </c>
      <c r="M4889">
        <v>5.1</v>
      </c>
      <c r="N4889" t="s">
        <v>78</v>
      </c>
      <c r="O4889" t="s">
        <v>47</v>
      </c>
      <c r="P4889" t="s">
        <v>68</v>
      </c>
      <c r="R4889">
        <f>SUMIF(A4889:A9888,"C04888",I4889:I9888)</f>
        <v>5158.99</v>
      </c>
      <c r="S4889" s="1">
        <v>13093.52</v>
      </c>
      <c r="T4889">
        <f t="shared" si="552"/>
        <v>147.399714285714</v>
      </c>
      <c r="U4889">
        <f t="shared" si="550"/>
        <v>178.5</v>
      </c>
      <c r="V4889">
        <f t="shared" si="553"/>
        <v>14.875</v>
      </c>
      <c r="W4889">
        <f t="shared" si="555"/>
        <v>2024.34</v>
      </c>
      <c r="X4889">
        <f t="shared" si="551"/>
        <v>1.33511494693493</v>
      </c>
      <c r="AH4889" t="str">
        <f t="shared" si="556"/>
        <v>3rd Quality</v>
      </c>
      <c r="AJ4889">
        <f>((T4889-X4889)*2)/42</f>
        <v>6.95545711137043</v>
      </c>
      <c r="AK4889">
        <f t="shared" si="554"/>
        <v>179680.251714286</v>
      </c>
    </row>
    <row r="4890" spans="1:37">
      <c r="A4890" t="s">
        <v>4956</v>
      </c>
      <c r="B4890">
        <v>42</v>
      </c>
      <c r="C4890" t="s">
        <v>50</v>
      </c>
      <c r="D4890" t="s">
        <v>45</v>
      </c>
      <c r="E4890">
        <v>684</v>
      </c>
      <c r="F4890">
        <v>38</v>
      </c>
      <c r="G4890">
        <v>9</v>
      </c>
      <c r="H4890">
        <v>794.58</v>
      </c>
      <c r="I4890">
        <v>794602</v>
      </c>
      <c r="J4890">
        <v>25</v>
      </c>
      <c r="K4890">
        <v>1</v>
      </c>
      <c r="L4890">
        <v>18.8</v>
      </c>
      <c r="M4890">
        <v>42.4</v>
      </c>
      <c r="N4890" t="s">
        <v>57</v>
      </c>
      <c r="O4890" t="s">
        <v>47</v>
      </c>
      <c r="P4890" t="s">
        <v>58</v>
      </c>
      <c r="R4890">
        <f>SUMIF(A4890:A9889,"C04889",I4890:I9889)</f>
        <v>794602</v>
      </c>
      <c r="S4890" s="1">
        <v>13966.46</v>
      </c>
      <c r="T4890">
        <f t="shared" si="552"/>
        <v>31784.08</v>
      </c>
      <c r="U4890">
        <f t="shared" si="550"/>
        <v>1060</v>
      </c>
      <c r="V4890">
        <f>U4890*1</f>
        <v>1060</v>
      </c>
      <c r="W4890">
        <f t="shared" si="555"/>
        <v>265132.526666667</v>
      </c>
      <c r="X4890">
        <f t="shared" si="551"/>
        <v>0.860832137733142</v>
      </c>
      <c r="AH4890" t="str">
        <f t="shared" si="556"/>
        <v>2nd Quality</v>
      </c>
      <c r="AJ4890">
        <f>((T4890-X4890)*2)/18.8</f>
        <v>3381.19352849599</v>
      </c>
      <c r="AK4890">
        <f t="shared" si="554"/>
        <v>21740310.72</v>
      </c>
    </row>
    <row r="4891" spans="1:37">
      <c r="A4891" t="s">
        <v>4957</v>
      </c>
      <c r="B4891">
        <v>44</v>
      </c>
      <c r="C4891" t="s">
        <v>44</v>
      </c>
      <c r="D4891" t="s">
        <v>60</v>
      </c>
      <c r="E4891">
        <v>1424</v>
      </c>
      <c r="F4891">
        <v>263</v>
      </c>
      <c r="G4891">
        <v>5</v>
      </c>
      <c r="H4891">
        <v>1961</v>
      </c>
      <c r="I4891">
        <v>9424.46</v>
      </c>
      <c r="J4891">
        <v>37</v>
      </c>
      <c r="K4891">
        <v>2</v>
      </c>
      <c r="L4891">
        <v>10.5</v>
      </c>
      <c r="M4891">
        <v>40.3</v>
      </c>
      <c r="N4891" t="s">
        <v>63</v>
      </c>
      <c r="O4891" t="s">
        <v>47</v>
      </c>
      <c r="P4891" t="s">
        <v>58</v>
      </c>
      <c r="R4891">
        <f>SUMIF(A4891:A9890,"C04890",I4891:I9890)</f>
        <v>9424.46</v>
      </c>
      <c r="S4891" s="1">
        <v>12716.69</v>
      </c>
      <c r="T4891">
        <f t="shared" si="552"/>
        <v>254.715135135135</v>
      </c>
      <c r="U4891">
        <f t="shared" si="550"/>
        <v>1491.1</v>
      </c>
      <c r="V4891">
        <f>U4891*2</f>
        <v>2982.2</v>
      </c>
      <c r="W4891">
        <f t="shared" si="555"/>
        <v>3795.48666666667</v>
      </c>
      <c r="X4891">
        <f t="shared" si="551"/>
        <v>0.726160122386537</v>
      </c>
      <c r="AH4891" t="str">
        <f t="shared" si="556"/>
        <v>3rd Quality</v>
      </c>
      <c r="AJ4891">
        <f>((T4891-X4891)*2)/10.5</f>
        <v>48.3788523833807</v>
      </c>
      <c r="AK4891">
        <f t="shared" si="554"/>
        <v>362714.352432432</v>
      </c>
    </row>
    <row r="4892" spans="1:37">
      <c r="A4892" t="s">
        <v>4958</v>
      </c>
      <c r="B4892">
        <v>41</v>
      </c>
      <c r="C4892" t="s">
        <v>44</v>
      </c>
      <c r="D4892" t="s">
        <v>45</v>
      </c>
      <c r="E4892">
        <v>630</v>
      </c>
      <c r="F4892">
        <v>27</v>
      </c>
      <c r="G4892">
        <v>7</v>
      </c>
      <c r="H4892">
        <v>1309.45</v>
      </c>
      <c r="I4892">
        <v>8967.51</v>
      </c>
      <c r="J4892">
        <v>24</v>
      </c>
      <c r="K4892">
        <v>0</v>
      </c>
      <c r="L4892">
        <v>22.6</v>
      </c>
      <c r="M4892">
        <v>17.7</v>
      </c>
      <c r="N4892" t="s">
        <v>52</v>
      </c>
      <c r="O4892" t="s">
        <v>53</v>
      </c>
      <c r="P4892" t="s">
        <v>58</v>
      </c>
      <c r="R4892">
        <f>SUMIF(A4892:A9891,"C04891",I4892:I9891)</f>
        <v>8967.51</v>
      </c>
      <c r="S4892" s="1">
        <v>3790.34</v>
      </c>
      <c r="T4892">
        <f t="shared" si="552"/>
        <v>373.64625</v>
      </c>
      <c r="U4892">
        <f t="shared" si="550"/>
        <v>424.8</v>
      </c>
      <c r="V4892">
        <f t="shared" si="553"/>
        <v>35.4</v>
      </c>
      <c r="W4892">
        <f t="shared" si="555"/>
        <v>3425.98666666667</v>
      </c>
      <c r="X4892">
        <f t="shared" si="551"/>
        <v>0.481118026652411</v>
      </c>
      <c r="AH4892" t="str">
        <f t="shared" si="556"/>
        <v>3rd Quality</v>
      </c>
      <c r="AJ4892">
        <f>((T4892-X4892)*2)/22.6</f>
        <v>33.0234630064909</v>
      </c>
      <c r="AK4892">
        <f t="shared" si="554"/>
        <v>235397.1375</v>
      </c>
    </row>
    <row r="4893" spans="1:37">
      <c r="A4893" t="s">
        <v>4959</v>
      </c>
      <c r="B4893">
        <v>18</v>
      </c>
      <c r="C4893" t="s">
        <v>50</v>
      </c>
      <c r="D4893" t="s">
        <v>45</v>
      </c>
      <c r="E4893">
        <v>1144</v>
      </c>
      <c r="F4893">
        <v>34</v>
      </c>
      <c r="G4893">
        <v>6</v>
      </c>
      <c r="H4893">
        <v>2030.21</v>
      </c>
      <c r="I4893">
        <v>13093.52</v>
      </c>
      <c r="J4893">
        <v>32</v>
      </c>
      <c r="K4893">
        <v>1</v>
      </c>
      <c r="L4893">
        <v>17.3</v>
      </c>
      <c r="M4893">
        <v>21.5</v>
      </c>
      <c r="N4893" t="s">
        <v>61</v>
      </c>
      <c r="O4893" t="s">
        <v>47</v>
      </c>
      <c r="P4893" t="s">
        <v>68</v>
      </c>
      <c r="R4893">
        <f>SUMIF(A4893:A9892,"C04892",I4893:I9892)</f>
        <v>13093.52</v>
      </c>
      <c r="S4893" s="1">
        <v>22227.06</v>
      </c>
      <c r="T4893">
        <f t="shared" si="552"/>
        <v>409.1725</v>
      </c>
      <c r="U4893">
        <f t="shared" si="550"/>
        <v>688</v>
      </c>
      <c r="V4893">
        <f>U4893*1</f>
        <v>688</v>
      </c>
      <c r="W4893">
        <f t="shared" si="555"/>
        <v>5041.57666666667</v>
      </c>
      <c r="X4893">
        <f t="shared" si="551"/>
        <v>0.563488506115131</v>
      </c>
      <c r="AH4893" t="str">
        <f t="shared" si="556"/>
        <v>3rd Quality</v>
      </c>
      <c r="AJ4893">
        <f>((T4893-X4893)*2)/17.3</f>
        <v>47.2380360108537</v>
      </c>
      <c r="AK4893">
        <f t="shared" si="554"/>
        <v>468093.34</v>
      </c>
    </row>
    <row r="4894" spans="1:37">
      <c r="A4894" t="s">
        <v>4960</v>
      </c>
      <c r="B4894">
        <v>29</v>
      </c>
      <c r="C4894" t="s">
        <v>44</v>
      </c>
      <c r="D4894" t="s">
        <v>60</v>
      </c>
      <c r="E4894">
        <v>1335</v>
      </c>
      <c r="F4894">
        <v>70</v>
      </c>
      <c r="G4894">
        <v>8</v>
      </c>
      <c r="H4894">
        <v>1869.68</v>
      </c>
      <c r="I4894">
        <v>13966.46</v>
      </c>
      <c r="J4894">
        <v>48</v>
      </c>
      <c r="K4894">
        <v>0</v>
      </c>
      <c r="L4894">
        <v>21.5</v>
      </c>
      <c r="M4894">
        <v>36.4</v>
      </c>
      <c r="N4894" t="s">
        <v>46</v>
      </c>
      <c r="O4894" t="s">
        <v>47</v>
      </c>
      <c r="P4894" t="s">
        <v>58</v>
      </c>
      <c r="R4894">
        <f>SUMIF(A4894:A9893,"C04893",I4894:I9893)</f>
        <v>13966.46</v>
      </c>
      <c r="S4894" s="1">
        <v>24240.34</v>
      </c>
      <c r="T4894">
        <f t="shared" si="552"/>
        <v>290.967916666667</v>
      </c>
      <c r="U4894">
        <f t="shared" si="550"/>
        <v>1747.2</v>
      </c>
      <c r="V4894">
        <f t="shared" si="553"/>
        <v>145.6</v>
      </c>
      <c r="W4894">
        <f t="shared" si="555"/>
        <v>5279.04666666667</v>
      </c>
      <c r="X4894">
        <f t="shared" si="551"/>
        <v>0.714025929570836</v>
      </c>
      <c r="AH4894" t="str">
        <f t="shared" si="556"/>
        <v>3rd Quality</v>
      </c>
      <c r="AJ4894">
        <f>((T4894-X4894)*2)/21.5</f>
        <v>27.0003619290322</v>
      </c>
      <c r="AK4894">
        <f t="shared" si="554"/>
        <v>388442.16875</v>
      </c>
    </row>
    <row r="4895" spans="1:37">
      <c r="A4895" t="s">
        <v>4961</v>
      </c>
      <c r="B4895">
        <v>28</v>
      </c>
      <c r="C4895" t="s">
        <v>44</v>
      </c>
      <c r="D4895" t="s">
        <v>60</v>
      </c>
      <c r="E4895">
        <v>513</v>
      </c>
      <c r="F4895">
        <v>20</v>
      </c>
      <c r="G4895">
        <v>6</v>
      </c>
      <c r="H4895">
        <v>1929.83</v>
      </c>
      <c r="I4895">
        <v>12716.69</v>
      </c>
      <c r="J4895">
        <v>26</v>
      </c>
      <c r="K4895">
        <v>1</v>
      </c>
      <c r="L4895">
        <v>16.8</v>
      </c>
      <c r="M4895">
        <v>34.6</v>
      </c>
      <c r="N4895" t="s">
        <v>52</v>
      </c>
      <c r="O4895" t="s">
        <v>47</v>
      </c>
      <c r="P4895" t="s">
        <v>68</v>
      </c>
      <c r="R4895">
        <f>SUMIF(A4895:A9894,"C04894",I4895:I9894)</f>
        <v>12716.69</v>
      </c>
      <c r="S4895" s="1">
        <v>29448.7</v>
      </c>
      <c r="T4895">
        <f t="shared" si="552"/>
        <v>489.103461538462</v>
      </c>
      <c r="U4895">
        <f t="shared" si="550"/>
        <v>899.6</v>
      </c>
      <c r="V4895">
        <f>U4895*1</f>
        <v>899.6</v>
      </c>
      <c r="W4895">
        <f t="shared" si="555"/>
        <v>4882.50666666667</v>
      </c>
      <c r="X4895">
        <f t="shared" si="551"/>
        <v>0.265826523579797</v>
      </c>
      <c r="AH4895" t="str">
        <f t="shared" si="556"/>
        <v>3rd Quality</v>
      </c>
      <c r="AJ4895">
        <f>((T4895-X4895)*2)/16.8</f>
        <v>58.1949565493907</v>
      </c>
      <c r="AK4895">
        <f t="shared" si="554"/>
        <v>250910.075769231</v>
      </c>
    </row>
    <row r="4896" spans="1:37">
      <c r="A4896" t="s">
        <v>4962</v>
      </c>
      <c r="B4896">
        <v>50</v>
      </c>
      <c r="C4896" t="s">
        <v>44</v>
      </c>
      <c r="D4896" t="s">
        <v>51</v>
      </c>
      <c r="E4896">
        <v>956</v>
      </c>
      <c r="F4896">
        <v>60</v>
      </c>
      <c r="G4896">
        <v>4</v>
      </c>
      <c r="H4896">
        <v>913.93</v>
      </c>
      <c r="I4896">
        <v>3790.34</v>
      </c>
      <c r="J4896">
        <v>22</v>
      </c>
      <c r="K4896">
        <v>1</v>
      </c>
      <c r="L4896">
        <v>36.9</v>
      </c>
      <c r="M4896">
        <v>25.4</v>
      </c>
      <c r="N4896" t="s">
        <v>57</v>
      </c>
      <c r="O4896" t="s">
        <v>75</v>
      </c>
      <c r="P4896" t="s">
        <v>66</v>
      </c>
      <c r="R4896">
        <f>SUMIF(A4896:A9895,"C04895",I4896:I9895)</f>
        <v>3790.34</v>
      </c>
      <c r="S4896" s="1">
        <v>1169.56</v>
      </c>
      <c r="T4896">
        <f t="shared" si="552"/>
        <v>172.288181818182</v>
      </c>
      <c r="U4896">
        <f t="shared" si="550"/>
        <v>558.8</v>
      </c>
      <c r="V4896">
        <f>U4896*1</f>
        <v>558.8</v>
      </c>
      <c r="W4896">
        <f t="shared" si="555"/>
        <v>1568.42333333333</v>
      </c>
      <c r="X4896">
        <f t="shared" si="551"/>
        <v>1.04603197181403</v>
      </c>
      <c r="AH4896" t="str">
        <f t="shared" si="556"/>
        <v>3rd Quality</v>
      </c>
      <c r="AJ4896">
        <f>((T4896-X4896)*2)/36.9</f>
        <v>9.2814173358465</v>
      </c>
      <c r="AK4896">
        <f t="shared" si="554"/>
        <v>164707.501818182</v>
      </c>
    </row>
    <row r="4897" spans="1:37">
      <c r="A4897" t="s">
        <v>4963</v>
      </c>
      <c r="B4897">
        <v>48</v>
      </c>
      <c r="C4897" t="s">
        <v>50</v>
      </c>
      <c r="D4897" t="s">
        <v>60</v>
      </c>
      <c r="E4897">
        <v>1438</v>
      </c>
      <c r="F4897">
        <v>46</v>
      </c>
      <c r="G4897">
        <v>10</v>
      </c>
      <c r="H4897">
        <v>2483.72</v>
      </c>
      <c r="I4897">
        <v>22227.06</v>
      </c>
      <c r="J4897">
        <v>22</v>
      </c>
      <c r="K4897">
        <v>1</v>
      </c>
      <c r="L4897">
        <v>40.8</v>
      </c>
      <c r="M4897">
        <v>22.7</v>
      </c>
      <c r="N4897" t="s">
        <v>81</v>
      </c>
      <c r="O4897" t="s">
        <v>47</v>
      </c>
      <c r="P4897" t="s">
        <v>68</v>
      </c>
      <c r="R4897">
        <f>SUMIF(A4897:A9896,"C04896",I4897:I9896)</f>
        <v>22227.06</v>
      </c>
      <c r="S4897" s="1">
        <v>214403</v>
      </c>
      <c r="T4897">
        <f t="shared" si="552"/>
        <v>1010.32090909091</v>
      </c>
      <c r="U4897">
        <f t="shared" si="550"/>
        <v>499.4</v>
      </c>
      <c r="V4897">
        <f>U4897*1</f>
        <v>499.4</v>
      </c>
      <c r="W4897">
        <f t="shared" si="555"/>
        <v>8237.26</v>
      </c>
      <c r="X4897">
        <f t="shared" si="551"/>
        <v>0.578970254295975</v>
      </c>
      <c r="AH4897" t="str">
        <f t="shared" si="556"/>
        <v>3rd Quality</v>
      </c>
      <c r="AJ4897">
        <f>((T4897-X4897)*2)/40.8</f>
        <v>49.4971538645399</v>
      </c>
      <c r="AK4897">
        <f t="shared" si="554"/>
        <v>1452841.46727273</v>
      </c>
    </row>
    <row r="4898" spans="1:37">
      <c r="A4898" t="s">
        <v>4964</v>
      </c>
      <c r="B4898">
        <v>27</v>
      </c>
      <c r="C4898" t="s">
        <v>50</v>
      </c>
      <c r="D4898" t="s">
        <v>45</v>
      </c>
      <c r="E4898">
        <v>531</v>
      </c>
      <c r="F4898">
        <v>43</v>
      </c>
      <c r="G4898">
        <v>13</v>
      </c>
      <c r="H4898">
        <v>1680.48</v>
      </c>
      <c r="I4898">
        <v>24240.34</v>
      </c>
      <c r="J4898">
        <v>111</v>
      </c>
      <c r="K4898">
        <v>0</v>
      </c>
      <c r="L4898">
        <v>27.1</v>
      </c>
      <c r="M4898">
        <v>31.7</v>
      </c>
      <c r="N4898" t="s">
        <v>57</v>
      </c>
      <c r="O4898" t="s">
        <v>47</v>
      </c>
      <c r="P4898" t="s">
        <v>58</v>
      </c>
      <c r="R4898">
        <f>SUMIF(A4898:A9897,"C04897",I4898:I9897)</f>
        <v>24240.34</v>
      </c>
      <c r="S4898" s="1">
        <v>3415303</v>
      </c>
      <c r="T4898">
        <f t="shared" si="552"/>
        <v>218.381441441441</v>
      </c>
      <c r="U4898">
        <f t="shared" ref="U4898:U4961" si="557">J4898*M4898</f>
        <v>3518.7</v>
      </c>
      <c r="V4898">
        <f t="shared" si="553"/>
        <v>293.225</v>
      </c>
      <c r="W4898">
        <f t="shared" si="555"/>
        <v>8640.60666666667</v>
      </c>
      <c r="X4898">
        <f t="shared" si="551"/>
        <v>0.315981148243359</v>
      </c>
      <c r="AH4898" t="str">
        <f t="shared" si="556"/>
        <v>2nd Quality</v>
      </c>
      <c r="AJ4898">
        <f>((T4898-X4898)*2)/27.1</f>
        <v>16.093391903557</v>
      </c>
      <c r="AK4898">
        <f t="shared" si="554"/>
        <v>115960.545405405</v>
      </c>
    </row>
    <row r="4899" spans="1:37">
      <c r="A4899" t="s">
        <v>4965</v>
      </c>
      <c r="B4899">
        <v>30</v>
      </c>
      <c r="C4899" t="s">
        <v>44</v>
      </c>
      <c r="D4899" t="s">
        <v>45</v>
      </c>
      <c r="E4899">
        <v>1247</v>
      </c>
      <c r="F4899">
        <v>21</v>
      </c>
      <c r="G4899">
        <v>4</v>
      </c>
      <c r="H4899">
        <v>7757.86</v>
      </c>
      <c r="I4899">
        <v>29448.7</v>
      </c>
      <c r="J4899">
        <v>34</v>
      </c>
      <c r="K4899">
        <v>0</v>
      </c>
      <c r="L4899">
        <v>7.4</v>
      </c>
      <c r="M4899">
        <v>9.5</v>
      </c>
      <c r="N4899" t="s">
        <v>57</v>
      </c>
      <c r="O4899" t="s">
        <v>47</v>
      </c>
      <c r="P4899" t="s">
        <v>48</v>
      </c>
      <c r="R4899">
        <f>SUMIF(A4899:A9898,"C04898",I4899:I9898)</f>
        <v>29448.7</v>
      </c>
      <c r="S4899" s="1">
        <v>7716.65</v>
      </c>
      <c r="T4899">
        <f t="shared" si="552"/>
        <v>866.138235294118</v>
      </c>
      <c r="U4899">
        <f t="shared" si="557"/>
        <v>323</v>
      </c>
      <c r="V4899">
        <f t="shared" si="553"/>
        <v>26.9166666666667</v>
      </c>
      <c r="W4899">
        <f t="shared" si="555"/>
        <v>12402.52</v>
      </c>
      <c r="X4899">
        <f t="shared" si="551"/>
        <v>0.160740204128458</v>
      </c>
      <c r="AH4899" t="str">
        <f t="shared" si="556"/>
        <v>2nd Quality</v>
      </c>
      <c r="AJ4899">
        <f>((T4899-X4899)*2)/7.4</f>
        <v>234.047971645943</v>
      </c>
      <c r="AK4899">
        <f t="shared" si="554"/>
        <v>1080074.37941176</v>
      </c>
    </row>
    <row r="4900" spans="1:37">
      <c r="A4900" t="s">
        <v>4966</v>
      </c>
      <c r="B4900">
        <v>18</v>
      </c>
      <c r="C4900" t="s">
        <v>50</v>
      </c>
      <c r="D4900" t="s">
        <v>51</v>
      </c>
      <c r="E4900">
        <v>1284</v>
      </c>
      <c r="F4900">
        <v>275</v>
      </c>
      <c r="G4900">
        <v>1</v>
      </c>
      <c r="H4900">
        <v>1249.97</v>
      </c>
      <c r="I4900">
        <v>1169.56</v>
      </c>
      <c r="J4900">
        <v>9</v>
      </c>
      <c r="K4900">
        <v>0</v>
      </c>
      <c r="L4900">
        <v>13.1</v>
      </c>
      <c r="M4900">
        <v>10.8</v>
      </c>
      <c r="N4900" t="s">
        <v>46</v>
      </c>
      <c r="O4900" t="s">
        <v>53</v>
      </c>
      <c r="P4900" t="s">
        <v>58</v>
      </c>
      <c r="R4900">
        <f>SUMIF(A4900:A9899,"C04899",I4900:I9899)</f>
        <v>1169.56</v>
      </c>
      <c r="S4900" s="1">
        <v>90443.76</v>
      </c>
      <c r="T4900">
        <f t="shared" si="552"/>
        <v>129.951111111111</v>
      </c>
      <c r="U4900">
        <f t="shared" si="557"/>
        <v>97.2</v>
      </c>
      <c r="V4900">
        <f t="shared" si="553"/>
        <v>8.1</v>
      </c>
      <c r="W4900">
        <f t="shared" si="555"/>
        <v>806.843333333333</v>
      </c>
      <c r="X4900">
        <f t="shared" si="551"/>
        <v>1.02722465339168</v>
      </c>
      <c r="AH4900" t="str">
        <f t="shared" si="556"/>
        <v>3rd Quality</v>
      </c>
      <c r="AJ4900">
        <f>((T4900-X4900)*2)/13.1</f>
        <v>19.6830361004152</v>
      </c>
      <c r="AK4900">
        <f t="shared" si="554"/>
        <v>166857.226666667</v>
      </c>
    </row>
    <row r="4901" spans="1:37">
      <c r="A4901" t="s">
        <v>4967</v>
      </c>
      <c r="B4901">
        <v>33</v>
      </c>
      <c r="C4901" t="s">
        <v>50</v>
      </c>
      <c r="D4901" t="s">
        <v>60</v>
      </c>
      <c r="E4901">
        <v>658</v>
      </c>
      <c r="F4901">
        <v>122</v>
      </c>
      <c r="G4901">
        <v>3</v>
      </c>
      <c r="H4901">
        <v>652.33</v>
      </c>
      <c r="I4901">
        <v>214403</v>
      </c>
      <c r="J4901">
        <v>29</v>
      </c>
      <c r="K4901">
        <v>0</v>
      </c>
      <c r="L4901">
        <v>36.4</v>
      </c>
      <c r="M4901">
        <v>7.7</v>
      </c>
      <c r="N4901" t="s">
        <v>52</v>
      </c>
      <c r="O4901" t="s">
        <v>47</v>
      </c>
      <c r="P4901" t="s">
        <v>48</v>
      </c>
      <c r="R4901">
        <f>SUMIF(A4901:A9900,"C04900",I4901:I9900)</f>
        <v>214403</v>
      </c>
      <c r="S4901" s="1">
        <v>1363.97</v>
      </c>
      <c r="T4901">
        <f t="shared" si="552"/>
        <v>7393.20689655172</v>
      </c>
      <c r="U4901">
        <f t="shared" si="557"/>
        <v>223.3</v>
      </c>
      <c r="V4901">
        <f t="shared" si="553"/>
        <v>18.6083333333333</v>
      </c>
      <c r="W4901">
        <f t="shared" si="555"/>
        <v>71685.4433333333</v>
      </c>
      <c r="X4901">
        <f t="shared" si="551"/>
        <v>1.00869191973388</v>
      </c>
      <c r="AH4901" t="str">
        <f t="shared" si="556"/>
        <v>2nd Quality</v>
      </c>
      <c r="AJ4901">
        <f>((T4901-X4901)*2)/36.4</f>
        <v>406.164736518241</v>
      </c>
      <c r="AK4901">
        <f t="shared" si="554"/>
        <v>4864730.13793103</v>
      </c>
    </row>
    <row r="4902" spans="1:37">
      <c r="A4902" t="s">
        <v>4968</v>
      </c>
      <c r="B4902">
        <v>53</v>
      </c>
      <c r="C4902" t="s">
        <v>50</v>
      </c>
      <c r="D4902" t="s">
        <v>60</v>
      </c>
      <c r="E4902">
        <v>1141</v>
      </c>
      <c r="F4902">
        <v>102</v>
      </c>
      <c r="G4902">
        <v>3</v>
      </c>
      <c r="H4902">
        <v>11882.27</v>
      </c>
      <c r="I4902">
        <v>3415303</v>
      </c>
      <c r="J4902">
        <v>18</v>
      </c>
      <c r="K4902">
        <v>0</v>
      </c>
      <c r="L4902">
        <v>0.6</v>
      </c>
      <c r="M4902">
        <v>9.6</v>
      </c>
      <c r="N4902" t="s">
        <v>63</v>
      </c>
      <c r="O4902" t="s">
        <v>47</v>
      </c>
      <c r="P4902" t="s">
        <v>48</v>
      </c>
      <c r="R4902">
        <f>SUMIF(A4902:A9901,"C04901",I4902:I9901)</f>
        <v>3415303</v>
      </c>
      <c r="S4902" s="1">
        <v>516.48</v>
      </c>
      <c r="T4902">
        <f t="shared" si="552"/>
        <v>189739.055555556</v>
      </c>
      <c r="U4902">
        <f t="shared" si="557"/>
        <v>172.8</v>
      </c>
      <c r="V4902">
        <f t="shared" si="553"/>
        <v>14.4</v>
      </c>
      <c r="W4902">
        <f t="shared" si="555"/>
        <v>1142395.42333333</v>
      </c>
      <c r="X4902">
        <f t="shared" ref="X4902:X4921" si="558">E4902/H4902</f>
        <v>0.0960254227517133</v>
      </c>
      <c r="AH4902" t="str">
        <f t="shared" si="556"/>
        <v>3rd Quality</v>
      </c>
      <c r="AJ4902">
        <f>((T4902-X4902)*2)/0.6</f>
        <v>632463.198433778</v>
      </c>
      <c r="AK4902">
        <f t="shared" si="554"/>
        <v>216492262.388889</v>
      </c>
    </row>
    <row r="4903" spans="1:37">
      <c r="A4903" t="s">
        <v>4969</v>
      </c>
      <c r="B4903">
        <v>18</v>
      </c>
      <c r="C4903" t="s">
        <v>44</v>
      </c>
      <c r="D4903" t="s">
        <v>51</v>
      </c>
      <c r="E4903">
        <v>1447</v>
      </c>
      <c r="F4903">
        <v>149</v>
      </c>
      <c r="G4903">
        <v>9</v>
      </c>
      <c r="H4903">
        <v>813.91</v>
      </c>
      <c r="I4903">
        <v>7716.65</v>
      </c>
      <c r="J4903">
        <v>69</v>
      </c>
      <c r="K4903">
        <v>1</v>
      </c>
      <c r="L4903">
        <v>24.2</v>
      </c>
      <c r="M4903">
        <v>18.4</v>
      </c>
      <c r="N4903" t="s">
        <v>63</v>
      </c>
      <c r="O4903" t="s">
        <v>47</v>
      </c>
      <c r="P4903" t="s">
        <v>58</v>
      </c>
      <c r="R4903">
        <f>SUMIF(A4903:A9902,"C04902",I4903:I9902)</f>
        <v>7716.65</v>
      </c>
      <c r="S4903" s="1">
        <v>23161.25</v>
      </c>
      <c r="T4903">
        <f t="shared" si="552"/>
        <v>111.835507246377</v>
      </c>
      <c r="U4903">
        <f t="shared" si="557"/>
        <v>1269.6</v>
      </c>
      <c r="V4903">
        <f>U4903*1</f>
        <v>1269.6</v>
      </c>
      <c r="W4903">
        <f t="shared" si="555"/>
        <v>2843.85333333333</v>
      </c>
      <c r="X4903">
        <f t="shared" si="558"/>
        <v>1.77783784447912</v>
      </c>
      <c r="AH4903" t="str">
        <f t="shared" si="556"/>
        <v>3rd Quality</v>
      </c>
      <c r="AJ4903">
        <f>((T4903-X4903)*2)/24.2</f>
        <v>9.09567515718164</v>
      </c>
      <c r="AK4903">
        <f t="shared" si="554"/>
        <v>161825.978985507</v>
      </c>
    </row>
    <row r="4904" spans="1:37">
      <c r="A4904" t="s">
        <v>4970</v>
      </c>
      <c r="B4904">
        <v>18</v>
      </c>
      <c r="C4904" t="s">
        <v>44</v>
      </c>
      <c r="D4904" t="s">
        <v>51</v>
      </c>
      <c r="E4904">
        <v>792</v>
      </c>
      <c r="F4904">
        <v>47</v>
      </c>
      <c r="G4904">
        <v>30</v>
      </c>
      <c r="H4904">
        <v>3394.28</v>
      </c>
      <c r="I4904">
        <v>90443.76</v>
      </c>
      <c r="J4904">
        <v>129</v>
      </c>
      <c r="K4904">
        <v>4</v>
      </c>
      <c r="L4904">
        <v>5.4</v>
      </c>
      <c r="M4904">
        <v>33</v>
      </c>
      <c r="N4904" t="s">
        <v>46</v>
      </c>
      <c r="O4904" t="s">
        <v>47</v>
      </c>
      <c r="P4904" t="s">
        <v>54</v>
      </c>
      <c r="R4904">
        <f>SUMIF(A4904:A9903,"C04903",I4904:I9903)</f>
        <v>90443.76</v>
      </c>
      <c r="S4904" s="1">
        <v>1879.28</v>
      </c>
      <c r="T4904">
        <f t="shared" si="552"/>
        <v>701.114418604651</v>
      </c>
      <c r="U4904">
        <f t="shared" si="557"/>
        <v>4257</v>
      </c>
      <c r="V4904">
        <f>U4904*4</f>
        <v>17028</v>
      </c>
      <c r="W4904">
        <f t="shared" si="555"/>
        <v>31279.68</v>
      </c>
      <c r="X4904">
        <f t="shared" si="558"/>
        <v>0.233333726151054</v>
      </c>
      <c r="AH4904" t="str">
        <f t="shared" si="556"/>
        <v>2nd Quality</v>
      </c>
      <c r="AJ4904">
        <f>((T4904-X4904)*2)/5.4</f>
        <v>259.585586992037</v>
      </c>
      <c r="AK4904">
        <f t="shared" si="554"/>
        <v>555282.619534884</v>
      </c>
    </row>
    <row r="4905" spans="1:37">
      <c r="A4905" t="s">
        <v>4971</v>
      </c>
      <c r="B4905">
        <v>25</v>
      </c>
      <c r="C4905" t="s">
        <v>101</v>
      </c>
      <c r="D4905" t="s">
        <v>45</v>
      </c>
      <c r="E4905">
        <v>456</v>
      </c>
      <c r="F4905">
        <v>270</v>
      </c>
      <c r="G4905">
        <v>1</v>
      </c>
      <c r="H4905">
        <v>1238.79</v>
      </c>
      <c r="I4905">
        <v>1363.97</v>
      </c>
      <c r="J4905">
        <v>14</v>
      </c>
      <c r="K4905">
        <v>0</v>
      </c>
      <c r="L4905">
        <v>8.2</v>
      </c>
      <c r="M4905">
        <v>26</v>
      </c>
      <c r="N4905" t="s">
        <v>57</v>
      </c>
      <c r="O4905" t="s">
        <v>47</v>
      </c>
      <c r="P4905" t="s">
        <v>54</v>
      </c>
      <c r="R4905">
        <f>SUMIF(A4905:A9904,"C04904",I4905:I9904)</f>
        <v>1363.97</v>
      </c>
      <c r="S4905" s="1">
        <v>99567.14</v>
      </c>
      <c r="T4905">
        <f t="shared" si="552"/>
        <v>97.4264285714286</v>
      </c>
      <c r="U4905">
        <f t="shared" si="557"/>
        <v>364</v>
      </c>
      <c r="V4905">
        <f t="shared" si="553"/>
        <v>30.3333333333333</v>
      </c>
      <c r="W4905">
        <f t="shared" ref="W4905:W4936" si="559">(H4905+I4905+1)/3</f>
        <v>867.92</v>
      </c>
      <c r="X4905">
        <f t="shared" si="558"/>
        <v>0.36810113094229</v>
      </c>
      <c r="AH4905" t="str">
        <f t="shared" si="556"/>
        <v>3rd Quality</v>
      </c>
      <c r="AJ4905">
        <f>((T4905-X4905)*2)/8.2</f>
        <v>23.6727627903625</v>
      </c>
      <c r="AK4905">
        <f t="shared" si="554"/>
        <v>44426.4514285714</v>
      </c>
    </row>
    <row r="4906" spans="1:37">
      <c r="A4906" t="s">
        <v>4972</v>
      </c>
      <c r="B4906">
        <v>34</v>
      </c>
      <c r="C4906" t="s">
        <v>44</v>
      </c>
      <c r="D4906" t="s">
        <v>60</v>
      </c>
      <c r="E4906">
        <v>653</v>
      </c>
      <c r="F4906">
        <v>169</v>
      </c>
      <c r="G4906">
        <v>1</v>
      </c>
      <c r="H4906">
        <v>527.98</v>
      </c>
      <c r="I4906">
        <v>516.48</v>
      </c>
      <c r="J4906">
        <v>15</v>
      </c>
      <c r="K4906">
        <v>0</v>
      </c>
      <c r="L4906">
        <v>27.5</v>
      </c>
      <c r="M4906">
        <v>17.7</v>
      </c>
      <c r="N4906" t="s">
        <v>52</v>
      </c>
      <c r="O4906" t="s">
        <v>47</v>
      </c>
      <c r="P4906" t="s">
        <v>58</v>
      </c>
      <c r="R4906">
        <f>SUMIF(A4906:A9905,"C04905",I4906:I9905)</f>
        <v>516.48</v>
      </c>
      <c r="S4906" s="1">
        <v>4926.36</v>
      </c>
      <c r="T4906">
        <f t="shared" si="552"/>
        <v>34.432</v>
      </c>
      <c r="U4906">
        <f t="shared" si="557"/>
        <v>265.5</v>
      </c>
      <c r="V4906">
        <f t="shared" si="553"/>
        <v>22.125</v>
      </c>
      <c r="W4906">
        <f t="shared" si="559"/>
        <v>348.486666666667</v>
      </c>
      <c r="X4906">
        <f t="shared" si="558"/>
        <v>1.23678927232092</v>
      </c>
      <c r="AH4906" t="str">
        <f t="shared" si="556"/>
        <v>3rd Quality</v>
      </c>
      <c r="AJ4906">
        <f>((T4906-X4906)*2)/27.5</f>
        <v>2.41419714383121</v>
      </c>
      <c r="AK4906">
        <f t="shared" si="554"/>
        <v>22484.096</v>
      </c>
    </row>
    <row r="4907" spans="1:37">
      <c r="A4907" t="s">
        <v>4973</v>
      </c>
      <c r="B4907">
        <v>34</v>
      </c>
      <c r="C4907" t="s">
        <v>50</v>
      </c>
      <c r="D4907" t="s">
        <v>45</v>
      </c>
      <c r="E4907">
        <v>1395</v>
      </c>
      <c r="F4907">
        <v>38</v>
      </c>
      <c r="G4907">
        <v>4</v>
      </c>
      <c r="H4907">
        <v>6274.28</v>
      </c>
      <c r="I4907">
        <v>23161.25</v>
      </c>
      <c r="J4907">
        <v>37</v>
      </c>
      <c r="K4907">
        <v>0</v>
      </c>
      <c r="L4907">
        <v>0</v>
      </c>
      <c r="M4907">
        <v>36.2</v>
      </c>
      <c r="N4907" t="s">
        <v>46</v>
      </c>
      <c r="O4907" t="s">
        <v>47</v>
      </c>
      <c r="P4907" t="s">
        <v>54</v>
      </c>
      <c r="R4907">
        <f>SUMIF(A4907:A9906,"C04906",I4907:I9906)</f>
        <v>23161.25</v>
      </c>
      <c r="S4907" s="1">
        <v>34901.47</v>
      </c>
      <c r="T4907">
        <f t="shared" ref="T4907:T4970" si="560">I4907/J4907</f>
        <v>625.97972972973</v>
      </c>
      <c r="U4907">
        <f t="shared" si="557"/>
        <v>1339.4</v>
      </c>
      <c r="V4907">
        <f t="shared" si="553"/>
        <v>111.616666666667</v>
      </c>
      <c r="W4907">
        <f t="shared" si="559"/>
        <v>9812.17666666667</v>
      </c>
      <c r="X4907">
        <f t="shared" si="558"/>
        <v>0.222336268065818</v>
      </c>
      <c r="AH4907" t="str">
        <f t="shared" si="556"/>
        <v>2nd Quality</v>
      </c>
      <c r="AJ4907">
        <f>((T4907-X4907)*2)</f>
        <v>1251.51478692333</v>
      </c>
      <c r="AK4907">
        <f t="shared" si="554"/>
        <v>873241.722972973</v>
      </c>
    </row>
    <row r="4908" spans="1:37">
      <c r="A4908" t="s">
        <v>4974</v>
      </c>
      <c r="B4908">
        <v>24</v>
      </c>
      <c r="C4908" t="s">
        <v>50</v>
      </c>
      <c r="D4908" t="s">
        <v>60</v>
      </c>
      <c r="E4908">
        <v>1373</v>
      </c>
      <c r="F4908">
        <v>187</v>
      </c>
      <c r="G4908">
        <v>1</v>
      </c>
      <c r="H4908">
        <v>1684.7</v>
      </c>
      <c r="I4908">
        <v>1879.28</v>
      </c>
      <c r="J4908">
        <v>14</v>
      </c>
      <c r="K4908">
        <v>0</v>
      </c>
      <c r="L4908">
        <v>27.3</v>
      </c>
      <c r="M4908">
        <v>37</v>
      </c>
      <c r="N4908" t="s">
        <v>46</v>
      </c>
      <c r="O4908" t="s">
        <v>47</v>
      </c>
      <c r="P4908" t="s">
        <v>48</v>
      </c>
      <c r="R4908">
        <f>SUMIF(A4908:A9907,"C04907",I4908:I9907)</f>
        <v>1879.28</v>
      </c>
      <c r="S4908" s="1">
        <v>321609.12</v>
      </c>
      <c r="T4908">
        <f t="shared" si="560"/>
        <v>134.234285714286</v>
      </c>
      <c r="U4908">
        <f t="shared" si="557"/>
        <v>518</v>
      </c>
      <c r="V4908">
        <f t="shared" si="553"/>
        <v>43.1666666666667</v>
      </c>
      <c r="W4908">
        <f t="shared" si="559"/>
        <v>1188.32666666667</v>
      </c>
      <c r="X4908">
        <f t="shared" si="558"/>
        <v>0.814981895886508</v>
      </c>
      <c r="AH4908" t="str">
        <f t="shared" si="556"/>
        <v>3rd Quality</v>
      </c>
      <c r="AJ4908">
        <f>((T4908-X4908)*2)/27.3</f>
        <v>9.77430797204392</v>
      </c>
      <c r="AK4908">
        <f t="shared" si="554"/>
        <v>184303.674285714</v>
      </c>
    </row>
    <row r="4909" spans="1:37">
      <c r="A4909" t="s">
        <v>4975</v>
      </c>
      <c r="B4909">
        <v>40</v>
      </c>
      <c r="C4909" t="s">
        <v>50</v>
      </c>
      <c r="D4909" t="s">
        <v>45</v>
      </c>
      <c r="E4909">
        <v>1287</v>
      </c>
      <c r="F4909">
        <v>13</v>
      </c>
      <c r="G4909">
        <v>22</v>
      </c>
      <c r="H4909">
        <v>4277.57</v>
      </c>
      <c r="I4909">
        <v>99567.14</v>
      </c>
      <c r="J4909">
        <v>187</v>
      </c>
      <c r="K4909">
        <v>1</v>
      </c>
      <c r="L4909">
        <v>3.7</v>
      </c>
      <c r="M4909">
        <v>59.5</v>
      </c>
      <c r="N4909" t="s">
        <v>52</v>
      </c>
      <c r="O4909" t="s">
        <v>53</v>
      </c>
      <c r="P4909" t="s">
        <v>66</v>
      </c>
      <c r="R4909">
        <f>SUMIF(A4909:A9908,"C04908",I4909:I9908)</f>
        <v>99567.14</v>
      </c>
      <c r="S4909" s="1">
        <v>13725.93</v>
      </c>
      <c r="T4909">
        <f t="shared" si="560"/>
        <v>532.444598930481</v>
      </c>
      <c r="U4909">
        <f t="shared" si="557"/>
        <v>11126.5</v>
      </c>
      <c r="V4909">
        <f>U4909*1</f>
        <v>11126.5</v>
      </c>
      <c r="W4909">
        <f t="shared" si="559"/>
        <v>34615.2366666667</v>
      </c>
      <c r="X4909">
        <f t="shared" si="558"/>
        <v>0.300871756628179</v>
      </c>
      <c r="AH4909" t="str">
        <f t="shared" si="556"/>
        <v>2nd Quality</v>
      </c>
      <c r="AJ4909">
        <f>((T4909-X4909)*2)/3.7</f>
        <v>287.645257931812</v>
      </c>
      <c r="AK4909">
        <f t="shared" si="554"/>
        <v>685256.19882353</v>
      </c>
    </row>
    <row r="4910" spans="1:37">
      <c r="A4910" t="s">
        <v>4976</v>
      </c>
      <c r="B4910">
        <v>35</v>
      </c>
      <c r="C4910" t="s">
        <v>101</v>
      </c>
      <c r="D4910" t="s">
        <v>45</v>
      </c>
      <c r="E4910">
        <v>1004</v>
      </c>
      <c r="F4910">
        <v>83</v>
      </c>
      <c r="G4910">
        <v>7</v>
      </c>
      <c r="H4910">
        <v>657.46</v>
      </c>
      <c r="I4910">
        <v>4926.36</v>
      </c>
      <c r="J4910">
        <v>36</v>
      </c>
      <c r="K4910">
        <v>1</v>
      </c>
      <c r="L4910">
        <v>28.1</v>
      </c>
      <c r="M4910">
        <v>61.4</v>
      </c>
      <c r="N4910" t="s">
        <v>81</v>
      </c>
      <c r="O4910" t="s">
        <v>47</v>
      </c>
      <c r="P4910" t="s">
        <v>58</v>
      </c>
      <c r="R4910">
        <f>SUMIF(A4910:A9909,"C04909",I4910:I9909)</f>
        <v>4926.36</v>
      </c>
      <c r="S4910" s="1">
        <v>25119.7</v>
      </c>
      <c r="T4910">
        <f t="shared" si="560"/>
        <v>136.843333333333</v>
      </c>
      <c r="U4910">
        <f t="shared" si="557"/>
        <v>2210.4</v>
      </c>
      <c r="V4910">
        <f>U4910*1</f>
        <v>2210.4</v>
      </c>
      <c r="W4910">
        <f t="shared" si="559"/>
        <v>1861.60666666667</v>
      </c>
      <c r="X4910">
        <f t="shared" si="558"/>
        <v>1.5270891004776</v>
      </c>
      <c r="AH4910" t="str">
        <f t="shared" si="556"/>
        <v>3rd Quality</v>
      </c>
      <c r="AJ4910">
        <f>((T4910-X4910)*2)/28.1</f>
        <v>9.63104941159113</v>
      </c>
      <c r="AK4910">
        <f t="shared" si="554"/>
        <v>137390.706666667</v>
      </c>
    </row>
    <row r="4911" spans="1:37">
      <c r="A4911" t="s">
        <v>4977</v>
      </c>
      <c r="B4911">
        <v>47</v>
      </c>
      <c r="C4911" t="s">
        <v>44</v>
      </c>
      <c r="D4911" t="s">
        <v>51</v>
      </c>
      <c r="E4911">
        <v>669</v>
      </c>
      <c r="F4911">
        <v>10</v>
      </c>
      <c r="G4911">
        <v>24</v>
      </c>
      <c r="H4911">
        <v>1453.94</v>
      </c>
      <c r="I4911">
        <v>34901.47</v>
      </c>
      <c r="J4911">
        <v>178</v>
      </c>
      <c r="K4911">
        <v>3</v>
      </c>
      <c r="L4911">
        <v>4.5</v>
      </c>
      <c r="M4911">
        <v>34</v>
      </c>
      <c r="N4911" t="s">
        <v>78</v>
      </c>
      <c r="O4911" t="s">
        <v>53</v>
      </c>
      <c r="P4911" t="s">
        <v>54</v>
      </c>
      <c r="R4911">
        <f>SUMIF(A4911:A9910,"C04910",I4911:I9910)</f>
        <v>34901.47</v>
      </c>
      <c r="S4911" s="1">
        <v>9195.95</v>
      </c>
      <c r="T4911">
        <f t="shared" si="560"/>
        <v>196.075674157303</v>
      </c>
      <c r="U4911">
        <f t="shared" si="557"/>
        <v>6052</v>
      </c>
      <c r="V4911">
        <f>U4911*3</f>
        <v>18156</v>
      </c>
      <c r="W4911">
        <f t="shared" si="559"/>
        <v>12118.8033333333</v>
      </c>
      <c r="X4911">
        <f t="shared" si="558"/>
        <v>0.4601290287082</v>
      </c>
      <c r="AH4911" t="str">
        <f t="shared" si="556"/>
        <v>3rd Quality</v>
      </c>
      <c r="AJ4911">
        <f>((T4911-X4911)*2)/4.5</f>
        <v>86.9402422793755</v>
      </c>
      <c r="AK4911">
        <f t="shared" si="554"/>
        <v>131174.626011236</v>
      </c>
    </row>
    <row r="4912" spans="1:37">
      <c r="A4912" t="s">
        <v>4978</v>
      </c>
      <c r="B4912">
        <v>32</v>
      </c>
      <c r="C4912" t="s">
        <v>101</v>
      </c>
      <c r="D4912" t="s">
        <v>60</v>
      </c>
      <c r="E4912">
        <v>1043</v>
      </c>
      <c r="F4912">
        <v>9</v>
      </c>
      <c r="G4912">
        <v>29</v>
      </c>
      <c r="H4912">
        <v>10610.01</v>
      </c>
      <c r="I4912">
        <v>321609.12</v>
      </c>
      <c r="J4912">
        <v>182</v>
      </c>
      <c r="K4912">
        <v>2</v>
      </c>
      <c r="L4912">
        <v>0.4</v>
      </c>
      <c r="M4912">
        <v>44.5</v>
      </c>
      <c r="N4912" t="s">
        <v>81</v>
      </c>
      <c r="O4912" t="s">
        <v>53</v>
      </c>
      <c r="P4912" t="s">
        <v>58</v>
      </c>
      <c r="R4912">
        <f>SUMIF(A4912:A9911,"C04911",I4912:I9911)</f>
        <v>321609.12</v>
      </c>
      <c r="S4912" s="1">
        <v>16477.22</v>
      </c>
      <c r="T4912">
        <f t="shared" si="560"/>
        <v>1767.08307692308</v>
      </c>
      <c r="U4912">
        <f t="shared" si="557"/>
        <v>8099</v>
      </c>
      <c r="V4912">
        <f>U4912*2</f>
        <v>16198</v>
      </c>
      <c r="W4912">
        <f t="shared" si="559"/>
        <v>110740.043333333</v>
      </c>
      <c r="X4912">
        <f t="shared" si="558"/>
        <v>0.0983033946245103</v>
      </c>
      <c r="AH4912" t="str">
        <f t="shared" si="556"/>
        <v>1st Quality</v>
      </c>
      <c r="AJ4912">
        <f>((T4912-X4912)*2)/0.4</f>
        <v>8834.92386764228</v>
      </c>
      <c r="AK4912">
        <f t="shared" si="554"/>
        <v>1843067.64923077</v>
      </c>
    </row>
    <row r="4913" spans="1:37">
      <c r="A4913" t="s">
        <v>4979</v>
      </c>
      <c r="B4913">
        <v>28</v>
      </c>
      <c r="C4913" t="s">
        <v>44</v>
      </c>
      <c r="D4913" t="s">
        <v>60</v>
      </c>
      <c r="E4913">
        <v>1308</v>
      </c>
      <c r="F4913">
        <v>34</v>
      </c>
      <c r="G4913">
        <v>7</v>
      </c>
      <c r="H4913">
        <v>2064.46</v>
      </c>
      <c r="I4913">
        <v>13725.93</v>
      </c>
      <c r="J4913">
        <v>19</v>
      </c>
      <c r="K4913">
        <v>2</v>
      </c>
      <c r="L4913">
        <v>26.8</v>
      </c>
      <c r="M4913">
        <v>35.3</v>
      </c>
      <c r="N4913" t="s">
        <v>63</v>
      </c>
      <c r="O4913" t="s">
        <v>75</v>
      </c>
      <c r="P4913" t="s">
        <v>58</v>
      </c>
      <c r="R4913">
        <f>SUMIF(A4913:A9912,"C04912",I4913:I9912)</f>
        <v>13725.93</v>
      </c>
      <c r="S4913" s="1">
        <v>4268.53</v>
      </c>
      <c r="T4913">
        <f t="shared" si="560"/>
        <v>722.417368421053</v>
      </c>
      <c r="U4913">
        <f t="shared" si="557"/>
        <v>670.7</v>
      </c>
      <c r="V4913">
        <f>U4913*2</f>
        <v>1341.4</v>
      </c>
      <c r="W4913">
        <f t="shared" si="559"/>
        <v>5263.79666666667</v>
      </c>
      <c r="X4913">
        <f t="shared" si="558"/>
        <v>0.633579725448786</v>
      </c>
      <c r="AH4913" t="str">
        <f t="shared" si="556"/>
        <v>3rd Quality</v>
      </c>
      <c r="AJ4913">
        <f>((T4913-X4913)*2)/26.8</f>
        <v>53.8644618429555</v>
      </c>
      <c r="AK4913">
        <f t="shared" si="554"/>
        <v>944921.917894737</v>
      </c>
    </row>
    <row r="4914" spans="1:37">
      <c r="A4914" t="s">
        <v>4980</v>
      </c>
      <c r="B4914">
        <v>43</v>
      </c>
      <c r="C4914" t="s">
        <v>44</v>
      </c>
      <c r="D4914" t="s">
        <v>45</v>
      </c>
      <c r="E4914">
        <v>1265</v>
      </c>
      <c r="F4914">
        <v>21</v>
      </c>
      <c r="G4914">
        <v>13</v>
      </c>
      <c r="H4914">
        <v>1923.93</v>
      </c>
      <c r="I4914">
        <v>25119.7</v>
      </c>
      <c r="J4914">
        <v>113</v>
      </c>
      <c r="K4914">
        <v>0</v>
      </c>
      <c r="L4914">
        <v>21.3</v>
      </c>
      <c r="M4914">
        <v>28.9</v>
      </c>
      <c r="N4914" t="s">
        <v>63</v>
      </c>
      <c r="O4914" t="s">
        <v>47</v>
      </c>
      <c r="P4914" t="s">
        <v>58</v>
      </c>
      <c r="R4914">
        <f>SUMIF(A4914:A9913,"C04913",I4914:I9913)</f>
        <v>25119.7</v>
      </c>
      <c r="S4914" s="1">
        <v>7645.16</v>
      </c>
      <c r="T4914">
        <f t="shared" si="560"/>
        <v>222.298230088496</v>
      </c>
      <c r="U4914">
        <f t="shared" si="557"/>
        <v>3265.7</v>
      </c>
      <c r="V4914">
        <f t="shared" si="553"/>
        <v>272.141666666667</v>
      </c>
      <c r="W4914">
        <f t="shared" si="559"/>
        <v>9014.87666666667</v>
      </c>
      <c r="X4914">
        <f t="shared" si="558"/>
        <v>0.65750832930512</v>
      </c>
      <c r="AH4914" t="str">
        <f t="shared" si="556"/>
        <v>2nd Quality</v>
      </c>
      <c r="AJ4914">
        <f>((T4914-X4914)*2)/21.3</f>
        <v>20.8113353764498</v>
      </c>
      <c r="AK4914">
        <f t="shared" si="554"/>
        <v>281207.261061947</v>
      </c>
    </row>
    <row r="4915" spans="1:37">
      <c r="A4915" t="s">
        <v>4981</v>
      </c>
      <c r="B4915">
        <v>51</v>
      </c>
      <c r="C4915" t="s">
        <v>50</v>
      </c>
      <c r="D4915" t="s">
        <v>60</v>
      </c>
      <c r="E4915">
        <v>435</v>
      </c>
      <c r="F4915">
        <v>354</v>
      </c>
      <c r="G4915">
        <v>3</v>
      </c>
      <c r="H4915">
        <v>3155.74</v>
      </c>
      <c r="I4915">
        <v>9195.95</v>
      </c>
      <c r="J4915">
        <v>16</v>
      </c>
      <c r="K4915">
        <v>0</v>
      </c>
      <c r="L4915">
        <v>33.4</v>
      </c>
      <c r="M4915">
        <v>9.5</v>
      </c>
      <c r="N4915" t="s">
        <v>61</v>
      </c>
      <c r="O4915" t="s">
        <v>47</v>
      </c>
      <c r="P4915" t="s">
        <v>66</v>
      </c>
      <c r="R4915">
        <f>SUMIF(A4915:A9914,"C04914",I4915:I9914)</f>
        <v>9195.95</v>
      </c>
      <c r="S4915" s="1">
        <v>6615.79</v>
      </c>
      <c r="T4915">
        <f t="shared" si="560"/>
        <v>574.746875</v>
      </c>
      <c r="U4915">
        <f t="shared" si="557"/>
        <v>152</v>
      </c>
      <c r="V4915">
        <f t="shared" si="553"/>
        <v>12.6666666666667</v>
      </c>
      <c r="W4915">
        <f t="shared" si="559"/>
        <v>4117.56333333333</v>
      </c>
      <c r="X4915">
        <f t="shared" si="558"/>
        <v>0.137844055593934</v>
      </c>
      <c r="AH4915" t="str">
        <f t="shared" si="556"/>
        <v>3rd Quality</v>
      </c>
      <c r="AJ4915">
        <f>((T4915-X4915)*2)/33.4</f>
        <v>34.4077264038566</v>
      </c>
      <c r="AK4915">
        <f t="shared" si="554"/>
        <v>250014.890625</v>
      </c>
    </row>
    <row r="4916" spans="1:37">
      <c r="A4916" t="s">
        <v>4982</v>
      </c>
      <c r="B4916">
        <v>18</v>
      </c>
      <c r="C4916" t="s">
        <v>50</v>
      </c>
      <c r="D4916" t="s">
        <v>60</v>
      </c>
      <c r="E4916">
        <v>1145</v>
      </c>
      <c r="F4916">
        <v>47</v>
      </c>
      <c r="G4916">
        <v>12</v>
      </c>
      <c r="H4916">
        <v>1398.23</v>
      </c>
      <c r="I4916">
        <v>16477.22</v>
      </c>
      <c r="J4916">
        <v>33</v>
      </c>
      <c r="K4916">
        <v>3</v>
      </c>
      <c r="L4916">
        <v>29.3</v>
      </c>
      <c r="M4916">
        <v>23.9</v>
      </c>
      <c r="N4916" t="s">
        <v>63</v>
      </c>
      <c r="O4916" t="s">
        <v>53</v>
      </c>
      <c r="P4916" t="s">
        <v>68</v>
      </c>
      <c r="R4916">
        <f>SUMIF(A4916:A9915,"C04915",I4916:I9915)</f>
        <v>16477.22</v>
      </c>
      <c r="S4916" s="1">
        <v>2134.07</v>
      </c>
      <c r="T4916">
        <f t="shared" si="560"/>
        <v>499.309696969697</v>
      </c>
      <c r="U4916">
        <f t="shared" si="557"/>
        <v>788.7</v>
      </c>
      <c r="V4916">
        <f>U4916*3</f>
        <v>2366.1</v>
      </c>
      <c r="W4916">
        <f t="shared" si="559"/>
        <v>5958.81666666667</v>
      </c>
      <c r="X4916">
        <f t="shared" si="558"/>
        <v>0.818892456891928</v>
      </c>
      <c r="AH4916" t="str">
        <f t="shared" si="556"/>
        <v>3rd Quality</v>
      </c>
      <c r="AJ4916">
        <f>((T4916-X4916)*2)/29.3</f>
        <v>34.0266760759594</v>
      </c>
      <c r="AK4916">
        <f t="shared" si="554"/>
        <v>571709.603030303</v>
      </c>
    </row>
    <row r="4917" spans="1:37">
      <c r="A4917" t="s">
        <v>4983</v>
      </c>
      <c r="B4917">
        <v>45</v>
      </c>
      <c r="C4917" t="s">
        <v>44</v>
      </c>
      <c r="D4917" t="s">
        <v>45</v>
      </c>
      <c r="E4917">
        <v>1408</v>
      </c>
      <c r="F4917">
        <v>53</v>
      </c>
      <c r="G4917">
        <v>6</v>
      </c>
      <c r="H4917">
        <v>807.49</v>
      </c>
      <c r="I4917">
        <v>4268.53</v>
      </c>
      <c r="J4917">
        <v>54</v>
      </c>
      <c r="K4917">
        <v>0</v>
      </c>
      <c r="L4917">
        <v>29.5</v>
      </c>
      <c r="M4917">
        <v>84.1</v>
      </c>
      <c r="N4917" t="s">
        <v>61</v>
      </c>
      <c r="O4917" t="s">
        <v>75</v>
      </c>
      <c r="P4917" t="s">
        <v>48</v>
      </c>
      <c r="R4917">
        <f>SUMIF(A4917:A9916,"C04916",I4917:I9916)</f>
        <v>4268.53</v>
      </c>
      <c r="S4917" s="1">
        <v>25478.63</v>
      </c>
      <c r="T4917">
        <f t="shared" si="560"/>
        <v>79.0468518518518</v>
      </c>
      <c r="U4917">
        <f t="shared" si="557"/>
        <v>4541.4</v>
      </c>
      <c r="V4917">
        <f>U4917/12</f>
        <v>378.45</v>
      </c>
      <c r="W4917">
        <f t="shared" si="559"/>
        <v>1692.34</v>
      </c>
      <c r="X4917">
        <f t="shared" si="558"/>
        <v>1.74367484427052</v>
      </c>
      <c r="AH4917" t="str">
        <f t="shared" si="556"/>
        <v>3rd Quality</v>
      </c>
      <c r="AJ4917">
        <f>((T4917-X4917)*2)/29.5</f>
        <v>5.24089335644619</v>
      </c>
      <c r="AK4917">
        <f t="shared" si="554"/>
        <v>111297.967407407</v>
      </c>
    </row>
    <row r="4918" spans="1:37">
      <c r="A4918" t="s">
        <v>4984</v>
      </c>
      <c r="B4918">
        <v>18</v>
      </c>
      <c r="C4918" t="s">
        <v>44</v>
      </c>
      <c r="D4918" t="s">
        <v>45</v>
      </c>
      <c r="E4918">
        <v>506</v>
      </c>
      <c r="F4918">
        <v>87</v>
      </c>
      <c r="G4918">
        <v>5</v>
      </c>
      <c r="H4918">
        <v>1422.88</v>
      </c>
      <c r="I4918">
        <v>7645.16</v>
      </c>
      <c r="J4918">
        <v>27</v>
      </c>
      <c r="K4918">
        <v>1</v>
      </c>
      <c r="L4918">
        <v>31.6</v>
      </c>
      <c r="M4918">
        <v>43.7</v>
      </c>
      <c r="N4918" t="s">
        <v>61</v>
      </c>
      <c r="O4918" t="s">
        <v>47</v>
      </c>
      <c r="P4918" t="s">
        <v>66</v>
      </c>
      <c r="R4918">
        <f>SUMIF(A4918:A9917,"C04917",I4918:I9917)</f>
        <v>7645.16</v>
      </c>
      <c r="S4918" s="1">
        <v>6740.32</v>
      </c>
      <c r="T4918">
        <f t="shared" si="560"/>
        <v>283.154074074074</v>
      </c>
      <c r="U4918">
        <f t="shared" si="557"/>
        <v>1179.9</v>
      </c>
      <c r="V4918">
        <f>U4918*1</f>
        <v>1179.9</v>
      </c>
      <c r="W4918">
        <f t="shared" si="559"/>
        <v>3023.01333333333</v>
      </c>
      <c r="X4918">
        <f t="shared" si="558"/>
        <v>0.355616777240526</v>
      </c>
      <c r="AH4918" t="str">
        <f t="shared" si="556"/>
        <v>3rd Quality</v>
      </c>
      <c r="AJ4918">
        <f>((T4918-X4918)*2)/31.6</f>
        <v>17.8986365377743</v>
      </c>
      <c r="AK4918">
        <f t="shared" si="554"/>
        <v>143275.961481481</v>
      </c>
    </row>
    <row r="4919" spans="1:37">
      <c r="A4919" t="s">
        <v>4985</v>
      </c>
      <c r="B4919">
        <v>49</v>
      </c>
      <c r="C4919" t="s">
        <v>101</v>
      </c>
      <c r="D4919" t="s">
        <v>45</v>
      </c>
      <c r="E4919">
        <v>1029</v>
      </c>
      <c r="F4919">
        <v>38</v>
      </c>
      <c r="G4919">
        <v>5</v>
      </c>
      <c r="H4919">
        <v>1419.23</v>
      </c>
      <c r="I4919">
        <v>6615.79</v>
      </c>
      <c r="J4919">
        <v>41</v>
      </c>
      <c r="K4919">
        <v>1</v>
      </c>
      <c r="L4919">
        <v>28.4</v>
      </c>
      <c r="M4919">
        <v>10.9</v>
      </c>
      <c r="N4919" t="s">
        <v>46</v>
      </c>
      <c r="O4919" t="s">
        <v>47</v>
      </c>
      <c r="P4919" t="s">
        <v>58</v>
      </c>
      <c r="R4919">
        <f>SUMIF(A4919:A9918,"C04918",I4919:I9918)</f>
        <v>6615.79</v>
      </c>
      <c r="S4919" s="1">
        <v>55840.29</v>
      </c>
      <c r="T4919">
        <f t="shared" si="560"/>
        <v>161.360731707317</v>
      </c>
      <c r="U4919">
        <f t="shared" si="557"/>
        <v>446.9</v>
      </c>
      <c r="V4919">
        <f>U4919*1</f>
        <v>446.9</v>
      </c>
      <c r="W4919">
        <f t="shared" si="559"/>
        <v>2678.67333333333</v>
      </c>
      <c r="X4919">
        <f t="shared" si="558"/>
        <v>0.725041043382679</v>
      </c>
      <c r="AH4919" t="str">
        <f t="shared" si="556"/>
        <v>3rd Quality</v>
      </c>
      <c r="AJ4919">
        <f>((T4919-X4919)*2)/28.4</f>
        <v>11.3123725819672</v>
      </c>
      <c r="AK4919">
        <f t="shared" si="554"/>
        <v>166040.192926829</v>
      </c>
    </row>
    <row r="4920" spans="1:37">
      <c r="A4920" t="s">
        <v>4986</v>
      </c>
      <c r="B4920">
        <v>18</v>
      </c>
      <c r="C4920" t="s">
        <v>101</v>
      </c>
      <c r="D4920" t="s">
        <v>45</v>
      </c>
      <c r="E4920">
        <v>1047</v>
      </c>
      <c r="F4920">
        <v>238</v>
      </c>
      <c r="G4920">
        <v>1</v>
      </c>
      <c r="H4920">
        <v>2147.7</v>
      </c>
      <c r="I4920">
        <v>2134.07</v>
      </c>
      <c r="J4920">
        <v>13</v>
      </c>
      <c r="K4920">
        <v>0</v>
      </c>
      <c r="L4920">
        <v>9.8</v>
      </c>
      <c r="M4920">
        <v>31.5</v>
      </c>
      <c r="N4920" t="s">
        <v>78</v>
      </c>
      <c r="O4920" t="s">
        <v>47</v>
      </c>
      <c r="P4920" t="s">
        <v>68</v>
      </c>
      <c r="R4920">
        <f>SUMIF(A4920:A9919,"C04919",I4920:I9919)</f>
        <v>2134.07</v>
      </c>
      <c r="S4920" s="1">
        <v>19465.48</v>
      </c>
      <c r="T4920">
        <f t="shared" si="560"/>
        <v>164.159230769231</v>
      </c>
      <c r="U4920">
        <f t="shared" si="557"/>
        <v>409.5</v>
      </c>
      <c r="V4920">
        <f t="shared" ref="V4918:V4957" si="561">U4920/12</f>
        <v>34.125</v>
      </c>
      <c r="W4920">
        <f t="shared" si="559"/>
        <v>1427.59</v>
      </c>
      <c r="X4920">
        <f t="shared" si="558"/>
        <v>0.487498253946082</v>
      </c>
      <c r="AH4920" t="str">
        <f t="shared" si="556"/>
        <v>3rd Quality</v>
      </c>
      <c r="AJ4920">
        <f>((T4920-X4920)*2)/9.8</f>
        <v>33.4023943908745</v>
      </c>
      <c r="AK4920">
        <f t="shared" si="554"/>
        <v>171874.714615385</v>
      </c>
    </row>
    <row r="4921" spans="1:37">
      <c r="A4921" t="s">
        <v>4987</v>
      </c>
      <c r="B4921">
        <v>41</v>
      </c>
      <c r="C4921" t="s">
        <v>44</v>
      </c>
      <c r="D4921" t="s">
        <v>60</v>
      </c>
      <c r="E4921">
        <v>938</v>
      </c>
      <c r="F4921">
        <v>70</v>
      </c>
      <c r="G4921">
        <v>13</v>
      </c>
      <c r="H4921">
        <v>1887.88</v>
      </c>
      <c r="I4921">
        <v>25478.63</v>
      </c>
      <c r="J4921">
        <v>102</v>
      </c>
      <c r="K4921">
        <v>0</v>
      </c>
      <c r="L4921">
        <v>11.9</v>
      </c>
      <c r="M4921">
        <v>41.1</v>
      </c>
      <c r="N4921" t="s">
        <v>81</v>
      </c>
      <c r="O4921" t="s">
        <v>47</v>
      </c>
      <c r="P4921" t="s">
        <v>68</v>
      </c>
      <c r="R4921">
        <f>SUMIF(A4921:A9920,"C04920",I4921:I9920)</f>
        <v>25478.63</v>
      </c>
      <c r="S4921" s="1">
        <v>2104.41</v>
      </c>
      <c r="T4921">
        <f t="shared" si="560"/>
        <v>249.790490196078</v>
      </c>
      <c r="U4921">
        <f t="shared" si="557"/>
        <v>4192.2</v>
      </c>
      <c r="V4921">
        <f t="shared" si="561"/>
        <v>349.35</v>
      </c>
      <c r="W4921">
        <f t="shared" si="559"/>
        <v>9122.50333333333</v>
      </c>
      <c r="X4921">
        <f t="shared" si="558"/>
        <v>0.496853613577134</v>
      </c>
      <c r="AH4921" t="str">
        <f t="shared" si="556"/>
        <v>2nd Quality</v>
      </c>
      <c r="AJ4921">
        <f>((T4921-X4921)*2)/11.9</f>
        <v>41.8980901819329</v>
      </c>
      <c r="AK4921">
        <f t="shared" si="554"/>
        <v>234303.479803922</v>
      </c>
    </row>
    <row r="4922" spans="1:37">
      <c r="A4922" t="s">
        <v>4988</v>
      </c>
      <c r="B4922">
        <v>40</v>
      </c>
      <c r="C4922" t="s">
        <v>50</v>
      </c>
      <c r="D4922" t="s">
        <v>60</v>
      </c>
      <c r="E4922">
        <v>1190</v>
      </c>
      <c r="F4922">
        <v>27</v>
      </c>
      <c r="G4922">
        <v>9</v>
      </c>
      <c r="H4922">
        <v>843.13</v>
      </c>
      <c r="I4922">
        <v>6740.32</v>
      </c>
      <c r="J4922">
        <v>39</v>
      </c>
      <c r="K4922">
        <v>0</v>
      </c>
      <c r="L4922">
        <v>14.6</v>
      </c>
      <c r="M4922">
        <v>30.1</v>
      </c>
      <c r="N4922" t="s">
        <v>63</v>
      </c>
      <c r="O4922" t="s">
        <v>53</v>
      </c>
      <c r="P4922" t="s">
        <v>68</v>
      </c>
      <c r="R4922">
        <f>SUMIF(A4922:A9921,"C04921",I4922:I9921)</f>
        <v>6740.32</v>
      </c>
      <c r="S4922" s="1">
        <v>9161.05</v>
      </c>
      <c r="T4922">
        <f t="shared" si="560"/>
        <v>172.828717948718</v>
      </c>
      <c r="U4922">
        <f t="shared" si="557"/>
        <v>1173.9</v>
      </c>
      <c r="V4922">
        <f t="shared" si="561"/>
        <v>97.825</v>
      </c>
      <c r="W4922">
        <f t="shared" si="559"/>
        <v>2528.15</v>
      </c>
      <c r="X4922">
        <f t="shared" ref="X4922:X4953" si="562">E4922/H4922</f>
        <v>1.41140749350634</v>
      </c>
      <c r="AH4922" t="str">
        <f t="shared" si="556"/>
        <v>3rd Quality</v>
      </c>
      <c r="AJ4922">
        <f>((T4922-X4922)*2)/14.6</f>
        <v>23.481823350029</v>
      </c>
      <c r="AK4922">
        <f t="shared" si="554"/>
        <v>205666.174358974</v>
      </c>
    </row>
    <row r="4923" spans="1:37">
      <c r="A4923" t="s">
        <v>4989</v>
      </c>
      <c r="B4923">
        <v>32</v>
      </c>
      <c r="C4923" t="s">
        <v>44</v>
      </c>
      <c r="D4923" t="s">
        <v>60</v>
      </c>
      <c r="E4923">
        <v>1451</v>
      </c>
      <c r="F4923">
        <v>17</v>
      </c>
      <c r="G4923">
        <v>20</v>
      </c>
      <c r="H4923">
        <v>2901.75</v>
      </c>
      <c r="I4923">
        <v>55840.29</v>
      </c>
      <c r="J4923">
        <v>86</v>
      </c>
      <c r="K4923">
        <v>4</v>
      </c>
      <c r="L4923">
        <v>18.4</v>
      </c>
      <c r="M4923">
        <v>59.7</v>
      </c>
      <c r="N4923" t="s">
        <v>52</v>
      </c>
      <c r="O4923" t="s">
        <v>53</v>
      </c>
      <c r="P4923" t="s">
        <v>68</v>
      </c>
      <c r="R4923">
        <f>SUMIF(A4923:A9922,"C04922",I4923:I9922)</f>
        <v>55840.29</v>
      </c>
      <c r="S4923" s="1">
        <v>1114302</v>
      </c>
      <c r="T4923">
        <f t="shared" si="560"/>
        <v>649.305697674419</v>
      </c>
      <c r="U4923">
        <f t="shared" si="557"/>
        <v>5134.2</v>
      </c>
      <c r="V4923">
        <f>U4923*4</f>
        <v>20536.8</v>
      </c>
      <c r="W4923">
        <f t="shared" si="559"/>
        <v>19581.0133333333</v>
      </c>
      <c r="X4923">
        <f t="shared" si="562"/>
        <v>0.500043077453261</v>
      </c>
      <c r="AH4923" t="str">
        <f t="shared" si="556"/>
        <v>1st Quality</v>
      </c>
      <c r="AJ4923">
        <f>((T4923-X4923)*2)/18.4</f>
        <v>70.5223537605398</v>
      </c>
      <c r="AK4923">
        <f t="shared" si="554"/>
        <v>942142.567325581</v>
      </c>
    </row>
    <row r="4924" spans="1:37">
      <c r="A4924" t="s">
        <v>4990</v>
      </c>
      <c r="B4924">
        <v>41</v>
      </c>
      <c r="C4924" t="s">
        <v>50</v>
      </c>
      <c r="D4924" t="s">
        <v>60</v>
      </c>
      <c r="E4924">
        <v>1079</v>
      </c>
      <c r="F4924">
        <v>34</v>
      </c>
      <c r="G4924">
        <v>8</v>
      </c>
      <c r="H4924">
        <v>2579.39</v>
      </c>
      <c r="I4924">
        <v>19465.48</v>
      </c>
      <c r="J4924">
        <v>70</v>
      </c>
      <c r="K4924">
        <v>1</v>
      </c>
      <c r="L4924">
        <v>23.8</v>
      </c>
      <c r="M4924">
        <v>36</v>
      </c>
      <c r="N4924" t="s">
        <v>57</v>
      </c>
      <c r="O4924" t="s">
        <v>53</v>
      </c>
      <c r="P4924" t="s">
        <v>66</v>
      </c>
      <c r="R4924">
        <f>SUMIF(A4924:A9923,"C04923",I4924:I9923)</f>
        <v>19465.48</v>
      </c>
      <c r="S4924" s="1">
        <v>119424.62</v>
      </c>
      <c r="T4924">
        <f t="shared" si="560"/>
        <v>278.078285714286</v>
      </c>
      <c r="U4924">
        <f t="shared" si="557"/>
        <v>2520</v>
      </c>
      <c r="V4924">
        <f>U4924*1</f>
        <v>2520</v>
      </c>
      <c r="W4924">
        <f t="shared" si="559"/>
        <v>7348.62333333333</v>
      </c>
      <c r="X4924">
        <f t="shared" si="562"/>
        <v>0.418315958424279</v>
      </c>
      <c r="AH4924" t="str">
        <f t="shared" si="556"/>
        <v>2nd Quality</v>
      </c>
      <c r="AJ4924">
        <f>((T4924-X4924)*2)/23.8</f>
        <v>23.3327705677195</v>
      </c>
      <c r="AK4924">
        <f t="shared" si="554"/>
        <v>300046.470285714</v>
      </c>
    </row>
    <row r="4925" spans="1:37">
      <c r="A4925" t="s">
        <v>4991</v>
      </c>
      <c r="B4925">
        <v>42</v>
      </c>
      <c r="C4925" t="s">
        <v>44</v>
      </c>
      <c r="D4925" t="s">
        <v>51</v>
      </c>
      <c r="E4925">
        <v>398</v>
      </c>
      <c r="F4925">
        <v>166</v>
      </c>
      <c r="G4925">
        <v>1</v>
      </c>
      <c r="H4925">
        <v>2307.76</v>
      </c>
      <c r="I4925">
        <v>2104.41</v>
      </c>
      <c r="J4925">
        <v>9</v>
      </c>
      <c r="K4925">
        <v>0</v>
      </c>
      <c r="L4925">
        <v>20.8</v>
      </c>
      <c r="M4925">
        <v>61</v>
      </c>
      <c r="N4925" t="s">
        <v>46</v>
      </c>
      <c r="O4925" t="s">
        <v>75</v>
      </c>
      <c r="P4925" t="s">
        <v>48</v>
      </c>
      <c r="R4925">
        <f>SUMIF(A4925:A9924,"C04924",I4925:I9924)</f>
        <v>2104.41</v>
      </c>
      <c r="S4925" s="1">
        <v>17560.53</v>
      </c>
      <c r="T4925">
        <f t="shared" si="560"/>
        <v>233.823333333333</v>
      </c>
      <c r="U4925">
        <f t="shared" si="557"/>
        <v>549</v>
      </c>
      <c r="V4925">
        <f t="shared" si="561"/>
        <v>45.75</v>
      </c>
      <c r="W4925">
        <f t="shared" si="559"/>
        <v>1471.05666666667</v>
      </c>
      <c r="X4925">
        <f t="shared" si="562"/>
        <v>0.172461607792838</v>
      </c>
      <c r="AH4925" t="str">
        <f t="shared" si="556"/>
        <v>3rd Quality</v>
      </c>
      <c r="AJ4925">
        <f>((T4925-X4925)*2)/20.8</f>
        <v>22.4664299736096</v>
      </c>
      <c r="AK4925">
        <f t="shared" si="554"/>
        <v>93061.6866666667</v>
      </c>
    </row>
    <row r="4926" spans="1:37">
      <c r="A4926" t="s">
        <v>4992</v>
      </c>
      <c r="B4926">
        <v>39</v>
      </c>
      <c r="C4926" t="s">
        <v>50</v>
      </c>
      <c r="D4926" t="s">
        <v>45</v>
      </c>
      <c r="E4926">
        <v>935</v>
      </c>
      <c r="F4926">
        <v>19</v>
      </c>
      <c r="G4926">
        <v>11</v>
      </c>
      <c r="H4926">
        <v>774.56</v>
      </c>
      <c r="I4926">
        <v>9161.05</v>
      </c>
      <c r="J4926">
        <v>46</v>
      </c>
      <c r="K4926">
        <v>0</v>
      </c>
      <c r="L4926">
        <v>27.5</v>
      </c>
      <c r="M4926">
        <v>80.7</v>
      </c>
      <c r="N4926" t="s">
        <v>81</v>
      </c>
      <c r="O4926" t="s">
        <v>47</v>
      </c>
      <c r="P4926" t="s">
        <v>66</v>
      </c>
      <c r="R4926">
        <f>SUMIF(A4926:A9925,"C04925",I4926:I9925)</f>
        <v>9161.05</v>
      </c>
      <c r="S4926" s="1">
        <v>913.91</v>
      </c>
      <c r="T4926">
        <f t="shared" si="560"/>
        <v>199.153260869565</v>
      </c>
      <c r="U4926">
        <f t="shared" si="557"/>
        <v>3712.2</v>
      </c>
      <c r="V4926">
        <f t="shared" si="561"/>
        <v>309.35</v>
      </c>
      <c r="W4926">
        <f t="shared" si="559"/>
        <v>3312.20333333333</v>
      </c>
      <c r="X4926">
        <f t="shared" si="562"/>
        <v>1.20713695517455</v>
      </c>
      <c r="AH4926" t="str">
        <f t="shared" si="556"/>
        <v>3rd Quality</v>
      </c>
      <c r="AJ4926">
        <f>((T4926-X4926)*2)/27.5</f>
        <v>14.3960817392284</v>
      </c>
      <c r="AK4926">
        <f t="shared" si="554"/>
        <v>186208.298913043</v>
      </c>
    </row>
    <row r="4927" spans="1:37">
      <c r="A4927" t="s">
        <v>4993</v>
      </c>
      <c r="B4927">
        <v>23</v>
      </c>
      <c r="C4927" t="s">
        <v>44</v>
      </c>
      <c r="D4927" t="s">
        <v>51</v>
      </c>
      <c r="E4927">
        <v>929</v>
      </c>
      <c r="F4927">
        <v>30</v>
      </c>
      <c r="G4927">
        <v>10</v>
      </c>
      <c r="H4927">
        <v>1103.28</v>
      </c>
      <c r="I4927">
        <v>1114302</v>
      </c>
      <c r="J4927">
        <v>45</v>
      </c>
      <c r="K4927">
        <v>0</v>
      </c>
      <c r="L4927">
        <v>20.6</v>
      </c>
      <c r="M4927">
        <v>41.6</v>
      </c>
      <c r="N4927" t="s">
        <v>81</v>
      </c>
      <c r="O4927" t="s">
        <v>53</v>
      </c>
      <c r="P4927" t="s">
        <v>48</v>
      </c>
      <c r="R4927">
        <f>SUMIF(A4927:A9926,"C04926",I4927:I9926)</f>
        <v>1114302</v>
      </c>
      <c r="S4927" s="1">
        <v>8289.32</v>
      </c>
      <c r="T4927">
        <f t="shared" si="560"/>
        <v>24762.2666666667</v>
      </c>
      <c r="U4927">
        <f t="shared" si="557"/>
        <v>1872</v>
      </c>
      <c r="V4927">
        <f t="shared" si="561"/>
        <v>156</v>
      </c>
      <c r="W4927">
        <f t="shared" si="559"/>
        <v>371802.093333333</v>
      </c>
      <c r="X4927">
        <f t="shared" si="562"/>
        <v>0.842034660285694</v>
      </c>
      <c r="AH4927" t="str">
        <f t="shared" si="556"/>
        <v>1st Quality</v>
      </c>
      <c r="AJ4927">
        <f>((T4927-X4927)*2)/20.6</f>
        <v>2404.02180893266</v>
      </c>
      <c r="AK4927">
        <f t="shared" si="554"/>
        <v>23004145.7333333</v>
      </c>
    </row>
    <row r="4928" spans="1:37">
      <c r="A4928" t="s">
        <v>4994</v>
      </c>
      <c r="B4928">
        <v>23</v>
      </c>
      <c r="C4928" t="s">
        <v>50</v>
      </c>
      <c r="D4928" t="s">
        <v>60</v>
      </c>
      <c r="E4928">
        <v>665</v>
      </c>
      <c r="F4928">
        <v>17</v>
      </c>
      <c r="G4928">
        <v>21</v>
      </c>
      <c r="H4928">
        <v>5747.21</v>
      </c>
      <c r="I4928">
        <v>119424.62</v>
      </c>
      <c r="J4928">
        <v>94</v>
      </c>
      <c r="K4928">
        <v>1</v>
      </c>
      <c r="L4928">
        <v>4.8</v>
      </c>
      <c r="M4928">
        <v>29</v>
      </c>
      <c r="N4928" t="s">
        <v>78</v>
      </c>
      <c r="O4928" t="s">
        <v>47</v>
      </c>
      <c r="P4928" t="s">
        <v>58</v>
      </c>
      <c r="R4928">
        <f>SUMIF(A4928:A9927,"C04927",I4928:I9927)</f>
        <v>119424.62</v>
      </c>
      <c r="S4928" s="1">
        <v>5247.44</v>
      </c>
      <c r="T4928">
        <f t="shared" si="560"/>
        <v>1270.47468085106</v>
      </c>
      <c r="U4928">
        <f t="shared" si="557"/>
        <v>2726</v>
      </c>
      <c r="V4928">
        <f>U4928*1</f>
        <v>2726</v>
      </c>
      <c r="W4928">
        <f t="shared" si="559"/>
        <v>41724.2766666667</v>
      </c>
      <c r="X4928">
        <f t="shared" si="562"/>
        <v>0.115708317601062</v>
      </c>
      <c r="AH4928" t="str">
        <f t="shared" si="556"/>
        <v>2nd Quality</v>
      </c>
      <c r="AJ4928">
        <f>((T4928-X4928)*2)/4.8</f>
        <v>529.316238555608</v>
      </c>
      <c r="AK4928">
        <f t="shared" si="554"/>
        <v>844865.662765957</v>
      </c>
    </row>
    <row r="4929" spans="1:37">
      <c r="A4929" t="s">
        <v>4995</v>
      </c>
      <c r="B4929">
        <v>41</v>
      </c>
      <c r="C4929" t="s">
        <v>50</v>
      </c>
      <c r="D4929" t="s">
        <v>60</v>
      </c>
      <c r="E4929">
        <v>1172</v>
      </c>
      <c r="F4929">
        <v>44</v>
      </c>
      <c r="G4929">
        <v>12</v>
      </c>
      <c r="H4929">
        <v>1604.94</v>
      </c>
      <c r="I4929">
        <v>17560.53</v>
      </c>
      <c r="J4929">
        <v>95</v>
      </c>
      <c r="K4929">
        <v>0</v>
      </c>
      <c r="L4929">
        <v>36.1</v>
      </c>
      <c r="M4929">
        <v>52.5</v>
      </c>
      <c r="N4929" t="s">
        <v>81</v>
      </c>
      <c r="O4929" t="s">
        <v>53</v>
      </c>
      <c r="P4929" t="s">
        <v>54</v>
      </c>
      <c r="R4929">
        <f>SUMIF(A4929:A9928,"C04928",I4929:I9928)</f>
        <v>17560.53</v>
      </c>
      <c r="S4929" s="1">
        <v>39170.95</v>
      </c>
      <c r="T4929">
        <f t="shared" si="560"/>
        <v>184.847684210526</v>
      </c>
      <c r="U4929">
        <f t="shared" si="557"/>
        <v>4987.5</v>
      </c>
      <c r="V4929">
        <f t="shared" si="561"/>
        <v>415.625</v>
      </c>
      <c r="W4929">
        <f t="shared" si="559"/>
        <v>6388.82333333333</v>
      </c>
      <c r="X4929">
        <f t="shared" si="562"/>
        <v>0.730245367428066</v>
      </c>
      <c r="AH4929" t="str">
        <f t="shared" si="556"/>
        <v>2nd Quality</v>
      </c>
      <c r="AJ4929">
        <f>((T4929-X4929)*2)/36.1</f>
        <v>10.2004121242714</v>
      </c>
      <c r="AK4929">
        <f t="shared" si="554"/>
        <v>216641.485894737</v>
      </c>
    </row>
    <row r="4930" spans="1:37">
      <c r="A4930" t="s">
        <v>4996</v>
      </c>
      <c r="B4930">
        <v>21</v>
      </c>
      <c r="C4930" t="s">
        <v>44</v>
      </c>
      <c r="D4930" t="s">
        <v>51</v>
      </c>
      <c r="E4930">
        <v>993</v>
      </c>
      <c r="F4930">
        <v>43</v>
      </c>
      <c r="G4930">
        <v>1</v>
      </c>
      <c r="H4930">
        <v>910.83</v>
      </c>
      <c r="I4930">
        <v>913.91</v>
      </c>
      <c r="J4930">
        <v>12</v>
      </c>
      <c r="K4930">
        <v>0</v>
      </c>
      <c r="L4930">
        <v>32.7</v>
      </c>
      <c r="M4930">
        <v>23.6</v>
      </c>
      <c r="N4930" t="s">
        <v>78</v>
      </c>
      <c r="O4930" t="s">
        <v>53</v>
      </c>
      <c r="P4930" t="s">
        <v>58</v>
      </c>
      <c r="R4930">
        <f>SUMIF(A4930:A9929,"C04929",I4930:I9929)</f>
        <v>913.91</v>
      </c>
      <c r="S4930" s="1">
        <v>646.25</v>
      </c>
      <c r="T4930">
        <f t="shared" si="560"/>
        <v>76.1591666666667</v>
      </c>
      <c r="U4930">
        <f t="shared" si="557"/>
        <v>283.2</v>
      </c>
      <c r="V4930">
        <f t="shared" si="561"/>
        <v>23.6</v>
      </c>
      <c r="W4930">
        <f t="shared" si="559"/>
        <v>608.58</v>
      </c>
      <c r="X4930">
        <f t="shared" si="562"/>
        <v>1.09021441981489</v>
      </c>
      <c r="AH4930" t="str">
        <f t="shared" si="556"/>
        <v>3rd Quality</v>
      </c>
      <c r="AJ4930">
        <f>((T4930-X4930)*2)/32.7</f>
        <v>4.59137322610714</v>
      </c>
      <c r="AK4930">
        <f t="shared" si="554"/>
        <v>75626.0525</v>
      </c>
    </row>
    <row r="4931" spans="1:37">
      <c r="A4931" t="s">
        <v>4997</v>
      </c>
      <c r="B4931">
        <v>18</v>
      </c>
      <c r="C4931" t="s">
        <v>44</v>
      </c>
      <c r="D4931" t="s">
        <v>45</v>
      </c>
      <c r="E4931">
        <v>492</v>
      </c>
      <c r="F4931">
        <v>49</v>
      </c>
      <c r="G4931">
        <v>6</v>
      </c>
      <c r="H4931">
        <v>1463.24</v>
      </c>
      <c r="I4931">
        <v>8289.32</v>
      </c>
      <c r="J4931">
        <v>27</v>
      </c>
      <c r="K4931">
        <v>1</v>
      </c>
      <c r="L4931">
        <v>10.3</v>
      </c>
      <c r="M4931">
        <v>23.6</v>
      </c>
      <c r="N4931" t="s">
        <v>81</v>
      </c>
      <c r="O4931" t="s">
        <v>47</v>
      </c>
      <c r="P4931" t="s">
        <v>68</v>
      </c>
      <c r="R4931">
        <f>SUMIF(A4931:A9930,"C04930",I4931:I9930)</f>
        <v>8289.32</v>
      </c>
      <c r="S4931" s="1">
        <v>14168.18</v>
      </c>
      <c r="T4931">
        <f t="shared" si="560"/>
        <v>307.011851851852</v>
      </c>
      <c r="U4931">
        <f t="shared" si="557"/>
        <v>637.2</v>
      </c>
      <c r="V4931">
        <f>U4931*1</f>
        <v>637.2</v>
      </c>
      <c r="W4931">
        <f t="shared" si="559"/>
        <v>3251.18666666667</v>
      </c>
      <c r="X4931">
        <f t="shared" si="562"/>
        <v>0.336240124654875</v>
      </c>
      <c r="AH4931" t="str">
        <f t="shared" si="556"/>
        <v>3rd Quality</v>
      </c>
      <c r="AJ4931">
        <f>((T4931-X4931)*2)/10.3</f>
        <v>59.5486624713004</v>
      </c>
      <c r="AK4931">
        <f t="shared" ref="AK4931:AK4994" si="563">I4931/J4931*E4931</f>
        <v>151049.831111111</v>
      </c>
    </row>
    <row r="4932" spans="1:37">
      <c r="A4932" t="s">
        <v>4998</v>
      </c>
      <c r="B4932">
        <v>27</v>
      </c>
      <c r="C4932" t="s">
        <v>44</v>
      </c>
      <c r="D4932" t="s">
        <v>60</v>
      </c>
      <c r="E4932">
        <v>1217</v>
      </c>
      <c r="F4932">
        <v>104</v>
      </c>
      <c r="G4932">
        <v>7</v>
      </c>
      <c r="H4932">
        <v>823.43</v>
      </c>
      <c r="I4932">
        <v>5247.44</v>
      </c>
      <c r="J4932">
        <v>49</v>
      </c>
      <c r="K4932">
        <v>0</v>
      </c>
      <c r="L4932">
        <v>16.7</v>
      </c>
      <c r="M4932">
        <v>16.9</v>
      </c>
      <c r="N4932" t="s">
        <v>57</v>
      </c>
      <c r="O4932" t="s">
        <v>53</v>
      </c>
      <c r="P4932" t="s">
        <v>66</v>
      </c>
      <c r="R4932">
        <f>SUMIF(A4932:A9931,"C04931",I4932:I9931)</f>
        <v>5247.44</v>
      </c>
      <c r="S4932" s="1">
        <v>37160</v>
      </c>
      <c r="T4932">
        <f t="shared" si="560"/>
        <v>107.090612244898</v>
      </c>
      <c r="U4932">
        <f t="shared" si="557"/>
        <v>828.1</v>
      </c>
      <c r="V4932">
        <f t="shared" si="561"/>
        <v>69.0083333333333</v>
      </c>
      <c r="W4932">
        <f t="shared" si="559"/>
        <v>2023.95666666667</v>
      </c>
      <c r="X4932">
        <f t="shared" si="562"/>
        <v>1.47796412566946</v>
      </c>
      <c r="AH4932" t="str">
        <f t="shared" si="556"/>
        <v>3rd Quality</v>
      </c>
      <c r="AJ4932">
        <f>((T4932-X4932)*2)/16.7</f>
        <v>12.6482213316441</v>
      </c>
      <c r="AK4932">
        <f t="shared" si="563"/>
        <v>130329.275102041</v>
      </c>
    </row>
    <row r="4933" spans="1:37">
      <c r="A4933" t="s">
        <v>4999</v>
      </c>
      <c r="B4933">
        <v>24</v>
      </c>
      <c r="C4933" t="s">
        <v>44</v>
      </c>
      <c r="D4933" t="s">
        <v>60</v>
      </c>
      <c r="E4933">
        <v>386</v>
      </c>
      <c r="F4933">
        <v>12</v>
      </c>
      <c r="G4933">
        <v>5</v>
      </c>
      <c r="H4933">
        <v>7784.07</v>
      </c>
      <c r="I4933">
        <v>39170.95</v>
      </c>
      <c r="J4933">
        <v>35</v>
      </c>
      <c r="K4933">
        <v>0</v>
      </c>
      <c r="L4933">
        <v>11.3</v>
      </c>
      <c r="M4933">
        <v>22.7</v>
      </c>
      <c r="N4933" t="s">
        <v>78</v>
      </c>
      <c r="O4933" t="s">
        <v>47</v>
      </c>
      <c r="P4933" t="s">
        <v>66</v>
      </c>
      <c r="R4933">
        <f>SUMIF(A4933:A9932,"C04932",I4933:I9932)</f>
        <v>39170.95</v>
      </c>
      <c r="S4933" s="1">
        <v>101799.63</v>
      </c>
      <c r="T4933">
        <f t="shared" si="560"/>
        <v>1119.17</v>
      </c>
      <c r="U4933">
        <f t="shared" si="557"/>
        <v>794.5</v>
      </c>
      <c r="V4933">
        <f t="shared" si="561"/>
        <v>66.2083333333333</v>
      </c>
      <c r="W4933">
        <f t="shared" si="559"/>
        <v>15652.0066666667</v>
      </c>
      <c r="X4933">
        <f t="shared" si="562"/>
        <v>0.0495884543689869</v>
      </c>
      <c r="AH4933" t="str">
        <f t="shared" si="556"/>
        <v>3rd Quality</v>
      </c>
      <c r="AJ4933">
        <f>((T4933-X4933)*2)/11.3</f>
        <v>198.074409123121</v>
      </c>
      <c r="AK4933">
        <f t="shared" si="563"/>
        <v>431999.62</v>
      </c>
    </row>
    <row r="4934" spans="1:37">
      <c r="A4934" t="s">
        <v>5000</v>
      </c>
      <c r="B4934">
        <v>41</v>
      </c>
      <c r="C4934" t="s">
        <v>50</v>
      </c>
      <c r="D4934" t="s">
        <v>60</v>
      </c>
      <c r="E4934">
        <v>1317</v>
      </c>
      <c r="F4934">
        <v>29</v>
      </c>
      <c r="G4934">
        <v>1</v>
      </c>
      <c r="H4934">
        <v>619.23</v>
      </c>
      <c r="I4934">
        <v>646.25</v>
      </c>
      <c r="J4934">
        <v>8</v>
      </c>
      <c r="K4934">
        <v>0</v>
      </c>
      <c r="L4934">
        <v>22.8</v>
      </c>
      <c r="M4934">
        <v>35.6</v>
      </c>
      <c r="N4934" t="s">
        <v>52</v>
      </c>
      <c r="O4934" t="s">
        <v>75</v>
      </c>
      <c r="P4934" t="s">
        <v>48</v>
      </c>
      <c r="R4934">
        <f>SUMIF(A4934:A9933,"C04933",I4934:I9933)</f>
        <v>646.25</v>
      </c>
      <c r="S4934" s="1">
        <v>15447.61</v>
      </c>
      <c r="T4934">
        <f t="shared" si="560"/>
        <v>80.78125</v>
      </c>
      <c r="U4934">
        <f t="shared" si="557"/>
        <v>284.8</v>
      </c>
      <c r="V4934">
        <f t="shared" si="561"/>
        <v>23.7333333333333</v>
      </c>
      <c r="W4934">
        <f t="shared" si="559"/>
        <v>422.16</v>
      </c>
      <c r="X4934">
        <f t="shared" si="562"/>
        <v>2.12683494016763</v>
      </c>
      <c r="AH4934" t="str">
        <f t="shared" si="556"/>
        <v>3rd Quality</v>
      </c>
      <c r="AJ4934">
        <f>((T4934-X4934)*2)/22.8</f>
        <v>6.89951009296775</v>
      </c>
      <c r="AK4934">
        <f t="shared" si="563"/>
        <v>106388.90625</v>
      </c>
    </row>
    <row r="4935" spans="1:37">
      <c r="A4935" t="s">
        <v>5001</v>
      </c>
      <c r="B4935">
        <v>37</v>
      </c>
      <c r="C4935" t="s">
        <v>44</v>
      </c>
      <c r="D4935" t="s">
        <v>45</v>
      </c>
      <c r="E4935">
        <v>1041</v>
      </c>
      <c r="F4935">
        <v>10</v>
      </c>
      <c r="G4935">
        <v>8</v>
      </c>
      <c r="H4935">
        <v>1981.84</v>
      </c>
      <c r="I4935">
        <v>14168.18</v>
      </c>
      <c r="J4935">
        <v>70</v>
      </c>
      <c r="K4935">
        <v>1</v>
      </c>
      <c r="L4935">
        <v>21.1</v>
      </c>
      <c r="M4935">
        <v>44.8</v>
      </c>
      <c r="N4935" t="s">
        <v>63</v>
      </c>
      <c r="O4935" t="s">
        <v>53</v>
      </c>
      <c r="P4935" t="s">
        <v>66</v>
      </c>
      <c r="R4935">
        <f>SUMIF(A4935:A9934,"C04934",I4935:I9934)</f>
        <v>14168.18</v>
      </c>
      <c r="S4935" s="1">
        <v>6655.49</v>
      </c>
      <c r="T4935">
        <f t="shared" si="560"/>
        <v>202.402571428571</v>
      </c>
      <c r="U4935">
        <f t="shared" si="557"/>
        <v>3136</v>
      </c>
      <c r="V4935">
        <f>U4935*1</f>
        <v>3136</v>
      </c>
      <c r="W4935">
        <f t="shared" si="559"/>
        <v>5383.67333333333</v>
      </c>
      <c r="X4935">
        <f t="shared" si="562"/>
        <v>0.5252694465749</v>
      </c>
      <c r="AH4935" t="str">
        <f t="shared" si="556"/>
        <v>3rd Quality</v>
      </c>
      <c r="AJ4935">
        <f>((T4935-X4935)*2)/21.1</f>
        <v>19.135289287393</v>
      </c>
      <c r="AK4935">
        <f t="shared" si="563"/>
        <v>210701.076857143</v>
      </c>
    </row>
    <row r="4936" spans="1:37">
      <c r="A4936" t="s">
        <v>5002</v>
      </c>
      <c r="B4936">
        <v>47</v>
      </c>
      <c r="C4936" t="s">
        <v>44</v>
      </c>
      <c r="D4936" t="s">
        <v>45</v>
      </c>
      <c r="E4936">
        <v>1455</v>
      </c>
      <c r="F4936">
        <v>53</v>
      </c>
      <c r="G4936">
        <v>4</v>
      </c>
      <c r="H4936">
        <v>10397.43</v>
      </c>
      <c r="I4936">
        <v>37160</v>
      </c>
      <c r="J4936">
        <v>14</v>
      </c>
      <c r="K4936">
        <v>1</v>
      </c>
      <c r="L4936">
        <v>0</v>
      </c>
      <c r="M4936">
        <v>25.8</v>
      </c>
      <c r="N4936" t="s">
        <v>52</v>
      </c>
      <c r="O4936" t="s">
        <v>47</v>
      </c>
      <c r="P4936" t="s">
        <v>68</v>
      </c>
      <c r="R4936">
        <f>SUMIF(A4936:A9935,"C04935",I4936:I9935)</f>
        <v>37160</v>
      </c>
      <c r="S4936" s="1">
        <v>25087.89</v>
      </c>
      <c r="T4936">
        <f t="shared" si="560"/>
        <v>2654.28571428571</v>
      </c>
      <c r="U4936">
        <f t="shared" si="557"/>
        <v>361.2</v>
      </c>
      <c r="V4936">
        <f>U4936*1</f>
        <v>361.2</v>
      </c>
      <c r="W4936">
        <f t="shared" si="559"/>
        <v>15852.81</v>
      </c>
      <c r="X4936">
        <f t="shared" si="562"/>
        <v>0.139938427092079</v>
      </c>
      <c r="AH4936" t="str">
        <f t="shared" si="556"/>
        <v>3rd Quality</v>
      </c>
      <c r="AJ4936">
        <f>((T4936-X4936)*2)</f>
        <v>5308.29155171724</v>
      </c>
      <c r="AK4936">
        <f t="shared" si="563"/>
        <v>3861985.71428571</v>
      </c>
    </row>
    <row r="4937" spans="1:37">
      <c r="A4937" t="s">
        <v>5003</v>
      </c>
      <c r="B4937">
        <v>47</v>
      </c>
      <c r="C4937" t="s">
        <v>44</v>
      </c>
      <c r="D4937" t="s">
        <v>51</v>
      </c>
      <c r="E4937">
        <v>738</v>
      </c>
      <c r="F4937">
        <v>4</v>
      </c>
      <c r="G4937">
        <v>23</v>
      </c>
      <c r="H4937">
        <v>4186.36</v>
      </c>
      <c r="I4937">
        <v>101799.63</v>
      </c>
      <c r="J4937">
        <v>190</v>
      </c>
      <c r="K4937">
        <v>1</v>
      </c>
      <c r="L4937">
        <v>5.8</v>
      </c>
      <c r="M4937">
        <v>23.1</v>
      </c>
      <c r="N4937" t="s">
        <v>46</v>
      </c>
      <c r="O4937" t="s">
        <v>53</v>
      </c>
      <c r="P4937" t="s">
        <v>48</v>
      </c>
      <c r="R4937">
        <f>SUMIF(A4937:A9936,"C04936",I4937:I9936)</f>
        <v>101799.63</v>
      </c>
      <c r="S4937" s="1">
        <v>92916.89</v>
      </c>
      <c r="T4937">
        <f t="shared" si="560"/>
        <v>535.787526315789</v>
      </c>
      <c r="U4937">
        <f t="shared" si="557"/>
        <v>4389</v>
      </c>
      <c r="V4937">
        <f>U4937*1</f>
        <v>4389</v>
      </c>
      <c r="W4937">
        <f t="shared" ref="W4937:W4968" si="564">(H4937+I4937+1)/3</f>
        <v>35328.9966666667</v>
      </c>
      <c r="X4937">
        <f t="shared" si="562"/>
        <v>0.176286798077566</v>
      </c>
      <c r="AH4937" t="str">
        <f t="shared" si="556"/>
        <v>3rd Quality</v>
      </c>
      <c r="AJ4937">
        <f>((T4937-X4937)*2)/5.8</f>
        <v>184.693530868176</v>
      </c>
      <c r="AK4937">
        <f t="shared" si="563"/>
        <v>395411.194421053</v>
      </c>
    </row>
    <row r="4938" spans="1:37">
      <c r="A4938" t="s">
        <v>5004</v>
      </c>
      <c r="B4938">
        <v>42</v>
      </c>
      <c r="C4938" t="s">
        <v>50</v>
      </c>
      <c r="D4938" t="s">
        <v>60</v>
      </c>
      <c r="E4938">
        <v>613</v>
      </c>
      <c r="F4938">
        <v>29</v>
      </c>
      <c r="G4938">
        <v>10</v>
      </c>
      <c r="H4938">
        <v>1661.71</v>
      </c>
      <c r="I4938">
        <v>15447.61</v>
      </c>
      <c r="J4938">
        <v>72</v>
      </c>
      <c r="K4938">
        <v>1</v>
      </c>
      <c r="L4938">
        <v>28.4</v>
      </c>
      <c r="M4938">
        <v>21.9</v>
      </c>
      <c r="N4938" t="s">
        <v>46</v>
      </c>
      <c r="O4938" t="s">
        <v>53</v>
      </c>
      <c r="P4938" t="s">
        <v>48</v>
      </c>
      <c r="R4938">
        <f>SUMIF(A4938:A9937,"C04937",I4938:I9937)</f>
        <v>15447.61</v>
      </c>
      <c r="S4938" s="1">
        <v>1891.84</v>
      </c>
      <c r="T4938">
        <f t="shared" si="560"/>
        <v>214.550138888889</v>
      </c>
      <c r="U4938">
        <f t="shared" si="557"/>
        <v>1576.8</v>
      </c>
      <c r="V4938">
        <f>U4938*1</f>
        <v>1576.8</v>
      </c>
      <c r="W4938">
        <f t="shared" si="564"/>
        <v>5703.44</v>
      </c>
      <c r="X4938">
        <f t="shared" si="562"/>
        <v>0.368897099975327</v>
      </c>
      <c r="AH4938" t="str">
        <f t="shared" si="556"/>
        <v>3rd Quality</v>
      </c>
      <c r="AJ4938">
        <f>((T4938-X4938)*2)/28.4</f>
        <v>15.0831860414728</v>
      </c>
      <c r="AK4938">
        <f t="shared" si="563"/>
        <v>131519.235138889</v>
      </c>
    </row>
    <row r="4939" spans="1:37">
      <c r="A4939" t="s">
        <v>5005</v>
      </c>
      <c r="B4939">
        <v>21</v>
      </c>
      <c r="C4939" t="s">
        <v>50</v>
      </c>
      <c r="D4939" t="s">
        <v>45</v>
      </c>
      <c r="E4939">
        <v>895</v>
      </c>
      <c r="F4939">
        <v>122</v>
      </c>
      <c r="G4939">
        <v>5</v>
      </c>
      <c r="H4939">
        <v>1451.78</v>
      </c>
      <c r="I4939">
        <v>6655.49</v>
      </c>
      <c r="J4939">
        <v>44</v>
      </c>
      <c r="K4939">
        <v>0</v>
      </c>
      <c r="L4939">
        <v>25.3</v>
      </c>
      <c r="M4939">
        <v>71.8</v>
      </c>
      <c r="N4939" t="s">
        <v>46</v>
      </c>
      <c r="O4939" t="s">
        <v>47</v>
      </c>
      <c r="P4939" t="s">
        <v>68</v>
      </c>
      <c r="R4939">
        <f>SUMIF(A4939:A9938,"C04938",I4939:I9938)</f>
        <v>6655.49</v>
      </c>
      <c r="S4939" s="1">
        <v>55229.17</v>
      </c>
      <c r="T4939">
        <f t="shared" si="560"/>
        <v>151.261136363636</v>
      </c>
      <c r="U4939">
        <f t="shared" si="557"/>
        <v>3159.2</v>
      </c>
      <c r="V4939">
        <f t="shared" si="561"/>
        <v>263.266666666667</v>
      </c>
      <c r="W4939">
        <f t="shared" si="564"/>
        <v>2702.75666666667</v>
      </c>
      <c r="X4939">
        <f t="shared" si="562"/>
        <v>0.616484591329265</v>
      </c>
      <c r="AH4939" t="str">
        <f t="shared" si="556"/>
        <v>3rd Quality</v>
      </c>
      <c r="AJ4939">
        <f>((T4939-X4939)*2)/25.3</f>
        <v>11.908668124293</v>
      </c>
      <c r="AK4939">
        <f t="shared" si="563"/>
        <v>135378.717045455</v>
      </c>
    </row>
    <row r="4940" spans="1:37">
      <c r="A4940" t="s">
        <v>5006</v>
      </c>
      <c r="B4940">
        <v>43</v>
      </c>
      <c r="C4940" t="s">
        <v>44</v>
      </c>
      <c r="D4940" t="s">
        <v>60</v>
      </c>
      <c r="E4940">
        <v>1251</v>
      </c>
      <c r="F4940">
        <v>37</v>
      </c>
      <c r="G4940">
        <v>2</v>
      </c>
      <c r="H4940">
        <v>11291.56</v>
      </c>
      <c r="I4940">
        <v>25087.89</v>
      </c>
      <c r="J4940">
        <v>25</v>
      </c>
      <c r="K4940">
        <v>1</v>
      </c>
      <c r="L4940">
        <v>0</v>
      </c>
      <c r="M4940">
        <v>24.2</v>
      </c>
      <c r="N4940" t="s">
        <v>57</v>
      </c>
      <c r="O4940" t="s">
        <v>47</v>
      </c>
      <c r="P4940" t="s">
        <v>66</v>
      </c>
      <c r="R4940">
        <f>SUMIF(A4940:A9939,"C04939",I4940:I9939)</f>
        <v>25087.89</v>
      </c>
      <c r="S4940" s="1">
        <v>4180602</v>
      </c>
      <c r="T4940">
        <f t="shared" si="560"/>
        <v>1003.5156</v>
      </c>
      <c r="U4940">
        <f t="shared" si="557"/>
        <v>605</v>
      </c>
      <c r="V4940">
        <f>U4940*1</f>
        <v>605</v>
      </c>
      <c r="W4940">
        <f t="shared" si="564"/>
        <v>12126.8166666667</v>
      </c>
      <c r="X4940">
        <f t="shared" si="562"/>
        <v>0.11079071448055</v>
      </c>
      <c r="AH4940" t="str">
        <f t="shared" si="556"/>
        <v>2nd Quality</v>
      </c>
      <c r="AJ4940">
        <f>((T4940-X4940)*2)</f>
        <v>2006.80961857104</v>
      </c>
      <c r="AK4940">
        <f t="shared" si="563"/>
        <v>1255398.0156</v>
      </c>
    </row>
    <row r="4941" spans="1:37">
      <c r="A4941" t="s">
        <v>5007</v>
      </c>
      <c r="B4941">
        <v>58</v>
      </c>
      <c r="C4941" t="s">
        <v>44</v>
      </c>
      <c r="D4941" t="s">
        <v>60</v>
      </c>
      <c r="E4941">
        <v>1048</v>
      </c>
      <c r="F4941">
        <v>12</v>
      </c>
      <c r="G4941">
        <v>23</v>
      </c>
      <c r="H4941">
        <v>4375.94</v>
      </c>
      <c r="I4941">
        <v>92916.89</v>
      </c>
      <c r="J4941">
        <v>53</v>
      </c>
      <c r="K4941">
        <v>1</v>
      </c>
      <c r="L4941">
        <v>7.3</v>
      </c>
      <c r="M4941">
        <v>80.8</v>
      </c>
      <c r="N4941" t="s">
        <v>46</v>
      </c>
      <c r="O4941" t="s">
        <v>53</v>
      </c>
      <c r="P4941" t="s">
        <v>66</v>
      </c>
      <c r="R4941">
        <f>SUMIF(A4941:A9940,"C04940",I4941:I9940)</f>
        <v>92916.89</v>
      </c>
      <c r="S4941" s="1">
        <v>2108.33</v>
      </c>
      <c r="T4941">
        <f t="shared" si="560"/>
        <v>1753.14886792453</v>
      </c>
      <c r="U4941">
        <f t="shared" si="557"/>
        <v>4282.4</v>
      </c>
      <c r="V4941">
        <f>U4941*1</f>
        <v>4282.4</v>
      </c>
      <c r="W4941">
        <f t="shared" si="564"/>
        <v>32431.2766666667</v>
      </c>
      <c r="X4941">
        <f t="shared" si="562"/>
        <v>0.239491400704763</v>
      </c>
      <c r="AH4941" t="str">
        <f t="shared" si="556"/>
        <v>3rd Quality</v>
      </c>
      <c r="AJ4941">
        <f>((T4941-X4941)*2)/7.3</f>
        <v>480.249144253103</v>
      </c>
      <c r="AK4941">
        <f t="shared" si="563"/>
        <v>1837300.01358491</v>
      </c>
    </row>
    <row r="4942" spans="1:37">
      <c r="A4942" t="s">
        <v>5008</v>
      </c>
      <c r="B4942">
        <v>34</v>
      </c>
      <c r="C4942" t="s">
        <v>44</v>
      </c>
      <c r="D4942" t="s">
        <v>60</v>
      </c>
      <c r="E4942">
        <v>855</v>
      </c>
      <c r="F4942">
        <v>34</v>
      </c>
      <c r="G4942">
        <v>2</v>
      </c>
      <c r="H4942">
        <v>905.79</v>
      </c>
      <c r="I4942">
        <v>1891.84</v>
      </c>
      <c r="J4942">
        <v>19</v>
      </c>
      <c r="K4942">
        <v>0</v>
      </c>
      <c r="L4942">
        <v>29.2</v>
      </c>
      <c r="M4942">
        <v>18.7</v>
      </c>
      <c r="N4942" t="s">
        <v>63</v>
      </c>
      <c r="O4942" t="s">
        <v>75</v>
      </c>
      <c r="P4942" t="s">
        <v>58</v>
      </c>
      <c r="R4942">
        <f>SUMIF(A4942:A9941,"C04941",I4942:I9941)</f>
        <v>1891.84</v>
      </c>
      <c r="S4942" s="1">
        <v>37350.07</v>
      </c>
      <c r="T4942">
        <f t="shared" si="560"/>
        <v>99.5705263157895</v>
      </c>
      <c r="U4942">
        <f t="shared" si="557"/>
        <v>355.3</v>
      </c>
      <c r="V4942">
        <f t="shared" si="561"/>
        <v>29.6083333333333</v>
      </c>
      <c r="W4942">
        <f t="shared" si="564"/>
        <v>932.876666666667</v>
      </c>
      <c r="X4942">
        <f t="shared" si="562"/>
        <v>0.943927400390819</v>
      </c>
      <c r="AH4942" t="str">
        <f t="shared" ref="AH4942:AH4996" si="565">IF(AND(W4942&gt;=12550,B4942&lt;=33,E4942&gt;=915),"1st Quality",IF(AND(W4942&gt;=6275,B4942&lt;=43,E4942&gt;=457),"2nd Quality","3rd Quality"))</f>
        <v>3rd Quality</v>
      </c>
      <c r="AJ4942">
        <f>((T4942-X4942)*2)/29.2</f>
        <v>6.7552465010547</v>
      </c>
      <c r="AK4942">
        <f t="shared" si="563"/>
        <v>85132.8</v>
      </c>
    </row>
    <row r="4943" spans="1:37">
      <c r="A4943" t="s">
        <v>5009</v>
      </c>
      <c r="B4943">
        <v>42</v>
      </c>
      <c r="C4943" t="s">
        <v>50</v>
      </c>
      <c r="D4943" t="s">
        <v>45</v>
      </c>
      <c r="E4943">
        <v>791</v>
      </c>
      <c r="F4943">
        <v>13</v>
      </c>
      <c r="G4943">
        <v>23</v>
      </c>
      <c r="H4943">
        <v>2232.5</v>
      </c>
      <c r="I4943">
        <v>55229.17</v>
      </c>
      <c r="J4943">
        <v>146</v>
      </c>
      <c r="K4943">
        <v>2</v>
      </c>
      <c r="L4943">
        <v>6.5</v>
      </c>
      <c r="M4943">
        <v>42</v>
      </c>
      <c r="N4943" t="s">
        <v>81</v>
      </c>
      <c r="O4943" t="s">
        <v>47</v>
      </c>
      <c r="P4943" t="s">
        <v>48</v>
      </c>
      <c r="R4943">
        <f>SUMIF(A4943:A9942,"C04942",I4943:I9942)</f>
        <v>55229.17</v>
      </c>
      <c r="S4943" s="1">
        <v>4107.9</v>
      </c>
      <c r="T4943">
        <f t="shared" si="560"/>
        <v>378.28198630137</v>
      </c>
      <c r="U4943">
        <f t="shared" si="557"/>
        <v>6132</v>
      </c>
      <c r="V4943">
        <f>U4943*2</f>
        <v>12264</v>
      </c>
      <c r="W4943">
        <f t="shared" si="564"/>
        <v>19154.2233333333</v>
      </c>
      <c r="X4943">
        <f t="shared" si="562"/>
        <v>0.35431131019037</v>
      </c>
      <c r="AH4943" t="str">
        <f t="shared" si="565"/>
        <v>2nd Quality</v>
      </c>
      <c r="AJ4943">
        <f>((T4943-X4943)*2)/6.5</f>
        <v>116.285438458825</v>
      </c>
      <c r="AK4943">
        <f t="shared" si="563"/>
        <v>299221.051164384</v>
      </c>
    </row>
    <row r="4944" spans="1:37">
      <c r="A4944" t="s">
        <v>5010</v>
      </c>
      <c r="B4944">
        <v>30</v>
      </c>
      <c r="C4944" t="s">
        <v>44</v>
      </c>
      <c r="D4944" t="s">
        <v>45</v>
      </c>
      <c r="E4944">
        <v>1230</v>
      </c>
      <c r="F4944">
        <v>23</v>
      </c>
      <c r="G4944">
        <v>5</v>
      </c>
      <c r="H4944">
        <v>8719.46</v>
      </c>
      <c r="I4944">
        <v>4180602</v>
      </c>
      <c r="J4944">
        <v>35</v>
      </c>
      <c r="K4944">
        <v>0</v>
      </c>
      <c r="L4944">
        <v>0</v>
      </c>
      <c r="M4944">
        <v>29.3</v>
      </c>
      <c r="N4944" t="s">
        <v>57</v>
      </c>
      <c r="O4944" t="s">
        <v>47</v>
      </c>
      <c r="P4944" t="s">
        <v>58</v>
      </c>
      <c r="R4944">
        <f>SUMIF(A4944:A9943,"C04943",I4944:I9943)</f>
        <v>4180602</v>
      </c>
      <c r="S4944" s="1">
        <v>151723</v>
      </c>
      <c r="T4944">
        <f t="shared" si="560"/>
        <v>119445.771428571</v>
      </c>
      <c r="U4944">
        <f t="shared" si="557"/>
        <v>1025.5</v>
      </c>
      <c r="V4944">
        <f t="shared" si="561"/>
        <v>85.4583333333333</v>
      </c>
      <c r="W4944">
        <f t="shared" si="564"/>
        <v>1396440.82</v>
      </c>
      <c r="X4944">
        <f t="shared" si="562"/>
        <v>0.141063781472706</v>
      </c>
      <c r="AH4944" t="str">
        <f t="shared" si="565"/>
        <v>1st Quality</v>
      </c>
      <c r="AJ4944">
        <f>((T4944-X4944)*2)</f>
        <v>238891.260729579</v>
      </c>
      <c r="AK4944">
        <f t="shared" si="563"/>
        <v>146918298.857143</v>
      </c>
    </row>
    <row r="4945" spans="1:37">
      <c r="A4945" t="s">
        <v>5011</v>
      </c>
      <c r="B4945">
        <v>18</v>
      </c>
      <c r="C4945" t="s">
        <v>50</v>
      </c>
      <c r="D4945" t="s">
        <v>60</v>
      </c>
      <c r="E4945">
        <v>604</v>
      </c>
      <c r="F4945">
        <v>217</v>
      </c>
      <c r="G4945">
        <v>1</v>
      </c>
      <c r="H4945">
        <v>2127.18</v>
      </c>
      <c r="I4945">
        <v>2108.33</v>
      </c>
      <c r="J4945">
        <v>13</v>
      </c>
      <c r="K4945">
        <v>0</v>
      </c>
      <c r="L4945">
        <v>19.8</v>
      </c>
      <c r="M4945">
        <v>18</v>
      </c>
      <c r="N4945" t="s">
        <v>78</v>
      </c>
      <c r="O4945" t="s">
        <v>47</v>
      </c>
      <c r="P4945" t="s">
        <v>58</v>
      </c>
      <c r="R4945">
        <f>SUMIF(A4945:A9944,"C04944",I4945:I9944)</f>
        <v>2108.33</v>
      </c>
      <c r="S4945" s="1">
        <v>4116.64</v>
      </c>
      <c r="T4945">
        <f t="shared" si="560"/>
        <v>162.179230769231</v>
      </c>
      <c r="U4945">
        <f t="shared" si="557"/>
        <v>234</v>
      </c>
      <c r="V4945">
        <f t="shared" si="561"/>
        <v>19.5</v>
      </c>
      <c r="W4945">
        <f t="shared" si="564"/>
        <v>1412.17</v>
      </c>
      <c r="X4945">
        <f t="shared" si="562"/>
        <v>0.28394400097782</v>
      </c>
      <c r="AH4945" t="str">
        <f t="shared" si="565"/>
        <v>3rd Quality</v>
      </c>
      <c r="AJ4945">
        <f>((T4945-X4945)*2)/19.8</f>
        <v>16.3530592695205</v>
      </c>
      <c r="AK4945">
        <f t="shared" si="563"/>
        <v>97956.2553846154</v>
      </c>
    </row>
    <row r="4946" spans="1:37">
      <c r="A4946" t="s">
        <v>5012</v>
      </c>
      <c r="B4946">
        <v>26</v>
      </c>
      <c r="C4946" t="s">
        <v>50</v>
      </c>
      <c r="D4946" t="s">
        <v>60</v>
      </c>
      <c r="E4946">
        <v>406</v>
      </c>
      <c r="F4946">
        <v>29</v>
      </c>
      <c r="G4946">
        <v>3</v>
      </c>
      <c r="H4946">
        <v>12290.26</v>
      </c>
      <c r="I4946">
        <v>37350.07</v>
      </c>
      <c r="J4946">
        <v>28</v>
      </c>
      <c r="K4946">
        <v>1</v>
      </c>
      <c r="L4946">
        <v>2</v>
      </c>
      <c r="M4946">
        <v>22.7</v>
      </c>
      <c r="N4946" t="s">
        <v>52</v>
      </c>
      <c r="O4946" t="s">
        <v>47</v>
      </c>
      <c r="P4946" t="s">
        <v>58</v>
      </c>
      <c r="R4946">
        <f>SUMIF(A4946:A9945,"C04945",I4946:I9945)</f>
        <v>37350.07</v>
      </c>
      <c r="S4946" s="1">
        <v>34213.77</v>
      </c>
      <c r="T4946">
        <f t="shared" si="560"/>
        <v>1333.93107142857</v>
      </c>
      <c r="U4946">
        <f t="shared" si="557"/>
        <v>635.6</v>
      </c>
      <c r="V4946">
        <f>U4946*1</f>
        <v>635.6</v>
      </c>
      <c r="W4946">
        <f t="shared" si="564"/>
        <v>16547.11</v>
      </c>
      <c r="X4946">
        <f t="shared" si="562"/>
        <v>0.0330342889409988</v>
      </c>
      <c r="AH4946" t="str">
        <f t="shared" si="565"/>
        <v>3rd Quality</v>
      </c>
      <c r="AJ4946">
        <f>((T4946-X4946)*2)/2</f>
        <v>1333.89803713963</v>
      </c>
      <c r="AK4946">
        <f t="shared" si="563"/>
        <v>541576.015</v>
      </c>
    </row>
    <row r="4947" spans="1:37">
      <c r="A4947" t="s">
        <v>5013</v>
      </c>
      <c r="B4947">
        <v>49</v>
      </c>
      <c r="C4947" t="s">
        <v>44</v>
      </c>
      <c r="D4947" t="s">
        <v>51</v>
      </c>
      <c r="E4947">
        <v>630</v>
      </c>
      <c r="F4947">
        <v>83</v>
      </c>
      <c r="G4947">
        <v>3</v>
      </c>
      <c r="H4947">
        <v>1475.32</v>
      </c>
      <c r="I4947">
        <v>4107.9</v>
      </c>
      <c r="J4947">
        <v>34</v>
      </c>
      <c r="K4947">
        <v>0</v>
      </c>
      <c r="L4947">
        <v>30.2</v>
      </c>
      <c r="M4947">
        <v>31.7</v>
      </c>
      <c r="N4947" t="s">
        <v>46</v>
      </c>
      <c r="O4947" t="s">
        <v>47</v>
      </c>
      <c r="P4947" t="s">
        <v>58</v>
      </c>
      <c r="R4947">
        <f>SUMIF(A4947:A9946,"C04946",I4947:I9946)</f>
        <v>4107.9</v>
      </c>
      <c r="S4947" s="1">
        <v>1693.84</v>
      </c>
      <c r="T4947">
        <f t="shared" si="560"/>
        <v>120.820588235294</v>
      </c>
      <c r="U4947">
        <f t="shared" si="557"/>
        <v>1077.8</v>
      </c>
      <c r="V4947">
        <f t="shared" si="561"/>
        <v>89.8166666666667</v>
      </c>
      <c r="W4947">
        <f t="shared" si="564"/>
        <v>1861.40666666667</v>
      </c>
      <c r="X4947">
        <f t="shared" si="562"/>
        <v>0.427026001138736</v>
      </c>
      <c r="AH4947" t="str">
        <f t="shared" si="565"/>
        <v>3rd Quality</v>
      </c>
      <c r="AJ4947">
        <f>((T4947-X4947)*2)/30.2</f>
        <v>7.97308359166591</v>
      </c>
      <c r="AK4947">
        <f t="shared" si="563"/>
        <v>76116.9705882353</v>
      </c>
    </row>
    <row r="4948" spans="1:37">
      <c r="A4948" t="s">
        <v>5014</v>
      </c>
      <c r="B4948">
        <v>30</v>
      </c>
      <c r="C4948" t="s">
        <v>50</v>
      </c>
      <c r="D4948" t="s">
        <v>45</v>
      </c>
      <c r="E4948">
        <v>598</v>
      </c>
      <c r="F4948">
        <v>57</v>
      </c>
      <c r="G4948">
        <v>2</v>
      </c>
      <c r="H4948">
        <v>7976.68</v>
      </c>
      <c r="I4948">
        <v>151723</v>
      </c>
      <c r="J4948">
        <v>28</v>
      </c>
      <c r="K4948">
        <v>0</v>
      </c>
      <c r="L4948">
        <v>0</v>
      </c>
      <c r="M4948">
        <v>65.7</v>
      </c>
      <c r="N4948" t="s">
        <v>61</v>
      </c>
      <c r="O4948" t="s">
        <v>53</v>
      </c>
      <c r="P4948" t="s">
        <v>58</v>
      </c>
      <c r="R4948">
        <f>SUMIF(A4948:A9947,"C04947",I4948:I9947)</f>
        <v>151723</v>
      </c>
      <c r="S4948" s="1">
        <v>2044.86</v>
      </c>
      <c r="T4948">
        <f t="shared" si="560"/>
        <v>5418.67857142857</v>
      </c>
      <c r="U4948">
        <f t="shared" si="557"/>
        <v>1839.6</v>
      </c>
      <c r="V4948">
        <f t="shared" si="561"/>
        <v>153.3</v>
      </c>
      <c r="W4948">
        <f t="shared" si="564"/>
        <v>53233.56</v>
      </c>
      <c r="X4948">
        <f t="shared" si="562"/>
        <v>0.0749685332744952</v>
      </c>
      <c r="AH4948" t="str">
        <f t="shared" si="565"/>
        <v>2nd Quality</v>
      </c>
      <c r="AJ4948">
        <f>((T4948-X4948)*2)</f>
        <v>10837.2072057906</v>
      </c>
      <c r="AK4948">
        <f t="shared" si="563"/>
        <v>3240369.78571429</v>
      </c>
    </row>
    <row r="4949" spans="1:37">
      <c r="A4949" t="s">
        <v>5015</v>
      </c>
      <c r="B4949">
        <v>44</v>
      </c>
      <c r="C4949" t="s">
        <v>44</v>
      </c>
      <c r="D4949" t="s">
        <v>45</v>
      </c>
      <c r="E4949">
        <v>574</v>
      </c>
      <c r="F4949">
        <v>164</v>
      </c>
      <c r="G4949">
        <v>4</v>
      </c>
      <c r="H4949">
        <v>926.22</v>
      </c>
      <c r="I4949">
        <v>4116.64</v>
      </c>
      <c r="J4949">
        <v>29</v>
      </c>
      <c r="K4949">
        <v>2</v>
      </c>
      <c r="L4949">
        <v>37.7</v>
      </c>
      <c r="M4949">
        <v>14.3</v>
      </c>
      <c r="N4949" t="s">
        <v>81</v>
      </c>
      <c r="O4949" t="s">
        <v>47</v>
      </c>
      <c r="P4949" t="s">
        <v>48</v>
      </c>
      <c r="R4949">
        <f>SUMIF(A4949:A9948,"C04948",I4949:I9948)</f>
        <v>4116.64</v>
      </c>
      <c r="S4949" s="1">
        <v>11863.49</v>
      </c>
      <c r="T4949">
        <f t="shared" si="560"/>
        <v>141.953103448276</v>
      </c>
      <c r="U4949">
        <f t="shared" si="557"/>
        <v>414.7</v>
      </c>
      <c r="V4949">
        <f>U4949*2</f>
        <v>829.4</v>
      </c>
      <c r="W4949">
        <f t="shared" si="564"/>
        <v>1681.28666666667</v>
      </c>
      <c r="X4949">
        <f t="shared" si="562"/>
        <v>0.619723175919328</v>
      </c>
      <c r="AH4949" t="str">
        <f t="shared" si="565"/>
        <v>3rd Quality</v>
      </c>
      <c r="AJ4949">
        <f>((T4949-X4949)*2)/37.7</f>
        <v>7.49779205688895</v>
      </c>
      <c r="AK4949">
        <f t="shared" si="563"/>
        <v>81481.0813793103</v>
      </c>
    </row>
    <row r="4950" spans="1:37">
      <c r="A4950" t="s">
        <v>5016</v>
      </c>
      <c r="B4950">
        <v>50</v>
      </c>
      <c r="C4950" t="s">
        <v>50</v>
      </c>
      <c r="D4950" t="s">
        <v>45</v>
      </c>
      <c r="E4950">
        <v>707</v>
      </c>
      <c r="F4950">
        <v>154</v>
      </c>
      <c r="G4950">
        <v>4</v>
      </c>
      <c r="H4950">
        <v>9045.01</v>
      </c>
      <c r="I4950">
        <v>34213.77</v>
      </c>
      <c r="J4950">
        <v>29</v>
      </c>
      <c r="K4950">
        <v>0</v>
      </c>
      <c r="L4950">
        <v>11</v>
      </c>
      <c r="M4950">
        <v>47.8</v>
      </c>
      <c r="N4950" t="s">
        <v>52</v>
      </c>
      <c r="O4950" t="s">
        <v>47</v>
      </c>
      <c r="P4950" t="s">
        <v>48</v>
      </c>
      <c r="R4950">
        <f>SUMIF(A4950:A9949,"C04949",I4950:I9949)</f>
        <v>34213.77</v>
      </c>
      <c r="S4950" s="1">
        <v>1593.72</v>
      </c>
      <c r="T4950">
        <f t="shared" si="560"/>
        <v>1179.78517241379</v>
      </c>
      <c r="U4950">
        <f t="shared" si="557"/>
        <v>1386.2</v>
      </c>
      <c r="V4950">
        <f t="shared" si="561"/>
        <v>115.516666666667</v>
      </c>
      <c r="W4950">
        <f t="shared" si="564"/>
        <v>14419.9266666667</v>
      </c>
      <c r="X4950">
        <f t="shared" si="562"/>
        <v>0.0781646454785567</v>
      </c>
      <c r="AH4950" t="str">
        <f t="shared" si="565"/>
        <v>3rd Quality</v>
      </c>
      <c r="AJ4950">
        <f>((T4950-X4950)*2)/11</f>
        <v>214.492183230602</v>
      </c>
      <c r="AK4950">
        <f t="shared" si="563"/>
        <v>834108.116896552</v>
      </c>
    </row>
    <row r="4951" spans="1:37">
      <c r="A4951" t="s">
        <v>5017</v>
      </c>
      <c r="B4951">
        <v>28</v>
      </c>
      <c r="C4951" t="s">
        <v>50</v>
      </c>
      <c r="D4951" t="s">
        <v>60</v>
      </c>
      <c r="E4951">
        <v>1151</v>
      </c>
      <c r="F4951">
        <v>233</v>
      </c>
      <c r="G4951">
        <v>1</v>
      </c>
      <c r="H4951">
        <v>1575.73</v>
      </c>
      <c r="I4951">
        <v>1693.84</v>
      </c>
      <c r="J4951">
        <v>14</v>
      </c>
      <c r="K4951">
        <v>0</v>
      </c>
      <c r="L4951">
        <v>26.5</v>
      </c>
      <c r="M4951">
        <v>29.6</v>
      </c>
      <c r="N4951" t="s">
        <v>61</v>
      </c>
      <c r="O4951" t="s">
        <v>47</v>
      </c>
      <c r="P4951" t="s">
        <v>66</v>
      </c>
      <c r="R4951">
        <f>SUMIF(A4951:A9950,"C04950",I4951:I9950)</f>
        <v>1693.84</v>
      </c>
      <c r="S4951" s="1">
        <v>5501.95</v>
      </c>
      <c r="T4951">
        <f t="shared" si="560"/>
        <v>120.988571428571</v>
      </c>
      <c r="U4951">
        <f t="shared" si="557"/>
        <v>414.4</v>
      </c>
      <c r="V4951">
        <f t="shared" si="561"/>
        <v>34.5333333333333</v>
      </c>
      <c r="W4951">
        <f t="shared" si="564"/>
        <v>1090.19</v>
      </c>
      <c r="X4951">
        <f t="shared" si="562"/>
        <v>0.730455090656394</v>
      </c>
      <c r="AH4951" t="str">
        <f t="shared" si="565"/>
        <v>3rd Quality</v>
      </c>
      <c r="AJ4951">
        <f>((T4951-X4951)*2)/26.5</f>
        <v>9.07608425191808</v>
      </c>
      <c r="AK4951">
        <f t="shared" si="563"/>
        <v>139257.845714286</v>
      </c>
    </row>
    <row r="4952" spans="1:37">
      <c r="A4952" t="s">
        <v>5018</v>
      </c>
      <c r="B4952">
        <v>27</v>
      </c>
      <c r="C4952" t="s">
        <v>50</v>
      </c>
      <c r="D4952" t="s">
        <v>60</v>
      </c>
      <c r="E4952">
        <v>639</v>
      </c>
      <c r="F4952">
        <v>7</v>
      </c>
      <c r="G4952">
        <v>6</v>
      </c>
      <c r="H4952">
        <v>1557.61</v>
      </c>
      <c r="I4952">
        <v>9424.46</v>
      </c>
      <c r="J4952">
        <v>29</v>
      </c>
      <c r="K4952">
        <v>0</v>
      </c>
      <c r="L4952">
        <v>24.1</v>
      </c>
      <c r="M4952">
        <v>41.8</v>
      </c>
      <c r="N4952" t="s">
        <v>61</v>
      </c>
      <c r="O4952" t="s">
        <v>75</v>
      </c>
      <c r="P4952" t="s">
        <v>66</v>
      </c>
      <c r="R4952">
        <f>SUMIF(A4952:A9951,"C04951",I4952:I9951)</f>
        <v>9424.46</v>
      </c>
      <c r="S4952" s="1">
        <v>6658.8</v>
      </c>
      <c r="T4952">
        <f t="shared" si="560"/>
        <v>324.981379310345</v>
      </c>
      <c r="U4952">
        <f t="shared" si="557"/>
        <v>1212.2</v>
      </c>
      <c r="V4952">
        <f t="shared" si="561"/>
        <v>101.016666666667</v>
      </c>
      <c r="W4952">
        <f t="shared" si="564"/>
        <v>3661.02333333333</v>
      </c>
      <c r="X4952">
        <f t="shared" si="562"/>
        <v>0.410243899307272</v>
      </c>
      <c r="AH4952" t="str">
        <f t="shared" si="565"/>
        <v>3rd Quality</v>
      </c>
      <c r="AJ4952">
        <f>((T4952-X4952)*2)/24.1</f>
        <v>26.935363934526</v>
      </c>
      <c r="AK4952">
        <f t="shared" si="563"/>
        <v>207663.10137931</v>
      </c>
    </row>
    <row r="4953" spans="1:37">
      <c r="A4953" t="s">
        <v>5019</v>
      </c>
      <c r="B4953">
        <v>28</v>
      </c>
      <c r="C4953" t="s">
        <v>44</v>
      </c>
      <c r="D4953" t="s">
        <v>60</v>
      </c>
      <c r="E4953">
        <v>516</v>
      </c>
      <c r="F4953">
        <v>89</v>
      </c>
      <c r="G4953">
        <v>2</v>
      </c>
      <c r="H4953">
        <v>987.88</v>
      </c>
      <c r="I4953">
        <v>2044.86</v>
      </c>
      <c r="J4953">
        <v>14</v>
      </c>
      <c r="K4953">
        <v>0</v>
      </c>
      <c r="L4953">
        <v>40.5</v>
      </c>
      <c r="M4953">
        <v>23.8</v>
      </c>
      <c r="N4953" t="s">
        <v>57</v>
      </c>
      <c r="O4953" t="s">
        <v>53</v>
      </c>
      <c r="P4953" t="s">
        <v>58</v>
      </c>
      <c r="R4953">
        <f>SUMIF(A4953:A9952,"C04952",I4953:I9952)</f>
        <v>2044.86</v>
      </c>
      <c r="S4953" s="1">
        <v>2927.68</v>
      </c>
      <c r="T4953">
        <f t="shared" si="560"/>
        <v>146.061428571429</v>
      </c>
      <c r="U4953">
        <f t="shared" si="557"/>
        <v>333.2</v>
      </c>
      <c r="V4953">
        <f t="shared" si="561"/>
        <v>27.7666666666667</v>
      </c>
      <c r="W4953">
        <f t="shared" si="564"/>
        <v>1011.24666666667</v>
      </c>
      <c r="X4953">
        <f t="shared" si="562"/>
        <v>0.522330647447058</v>
      </c>
      <c r="AH4953" t="str">
        <f t="shared" si="565"/>
        <v>3rd Quality</v>
      </c>
      <c r="AJ4953">
        <f>((T4953-X4953)*2)/40.5</f>
        <v>7.18711594686331</v>
      </c>
      <c r="AK4953">
        <f t="shared" si="563"/>
        <v>75367.6971428571</v>
      </c>
    </row>
    <row r="4954" spans="1:37">
      <c r="A4954" t="s">
        <v>5020</v>
      </c>
      <c r="B4954">
        <v>20</v>
      </c>
      <c r="C4954" t="s">
        <v>44</v>
      </c>
      <c r="D4954" t="s">
        <v>60</v>
      </c>
      <c r="E4954">
        <v>804</v>
      </c>
      <c r="F4954">
        <v>84</v>
      </c>
      <c r="G4954">
        <v>9</v>
      </c>
      <c r="H4954">
        <v>1331.83</v>
      </c>
      <c r="I4954">
        <v>11863.49</v>
      </c>
      <c r="J4954">
        <v>40</v>
      </c>
      <c r="K4954">
        <v>1</v>
      </c>
      <c r="L4954">
        <v>30.2</v>
      </c>
      <c r="M4954">
        <v>47.3</v>
      </c>
      <c r="N4954" t="s">
        <v>52</v>
      </c>
      <c r="O4954" t="s">
        <v>47</v>
      </c>
      <c r="P4954" t="s">
        <v>58</v>
      </c>
      <c r="R4954">
        <f>SUMIF(A4954:A9953,"C04953",I4954:I9953)</f>
        <v>11863.49</v>
      </c>
      <c r="S4954" s="1">
        <v>13534.38</v>
      </c>
      <c r="T4954">
        <f t="shared" si="560"/>
        <v>296.58725</v>
      </c>
      <c r="U4954">
        <f t="shared" si="557"/>
        <v>1892</v>
      </c>
      <c r="V4954">
        <f>U4954*1</f>
        <v>1892</v>
      </c>
      <c r="W4954">
        <f t="shared" si="564"/>
        <v>4398.77333333333</v>
      </c>
      <c r="X4954">
        <f t="shared" ref="X4954:X4996" si="566">E4954/H4954</f>
        <v>0.603680649932799</v>
      </c>
      <c r="AH4954" t="str">
        <f t="shared" si="565"/>
        <v>3rd Quality</v>
      </c>
      <c r="AJ4954">
        <f>((T4954-X4954)*2)/30.2</f>
        <v>19.6015608841104</v>
      </c>
      <c r="AK4954">
        <f t="shared" si="563"/>
        <v>238456.149</v>
      </c>
    </row>
    <row r="4955" spans="1:37">
      <c r="A4955" t="s">
        <v>5021</v>
      </c>
      <c r="B4955">
        <v>33</v>
      </c>
      <c r="C4955" t="s">
        <v>50</v>
      </c>
      <c r="D4955" t="s">
        <v>51</v>
      </c>
      <c r="E4955">
        <v>1430</v>
      </c>
      <c r="F4955">
        <v>182</v>
      </c>
      <c r="G4955">
        <v>1</v>
      </c>
      <c r="H4955">
        <v>1560.65</v>
      </c>
      <c r="I4955">
        <v>1593.72</v>
      </c>
      <c r="J4955">
        <v>13</v>
      </c>
      <c r="K4955">
        <v>0</v>
      </c>
      <c r="L4955">
        <v>27.6</v>
      </c>
      <c r="M4955">
        <v>6.9</v>
      </c>
      <c r="N4955" t="s">
        <v>46</v>
      </c>
      <c r="O4955" t="s">
        <v>75</v>
      </c>
      <c r="P4955" t="s">
        <v>58</v>
      </c>
      <c r="R4955">
        <f>SUMIF(A4955:A9954,"C04954",I4955:I9954)</f>
        <v>1593.72</v>
      </c>
      <c r="S4955" s="1">
        <v>14993.55</v>
      </c>
      <c r="T4955">
        <f t="shared" si="560"/>
        <v>122.593846153846</v>
      </c>
      <c r="U4955">
        <f t="shared" si="557"/>
        <v>89.7</v>
      </c>
      <c r="V4955">
        <f t="shared" si="561"/>
        <v>7.475</v>
      </c>
      <c r="W4955">
        <f t="shared" si="564"/>
        <v>1051.79</v>
      </c>
      <c r="X4955">
        <f t="shared" si="566"/>
        <v>0.916284881299459</v>
      </c>
      <c r="AH4955" t="str">
        <f t="shared" si="565"/>
        <v>3rd Quality</v>
      </c>
      <c r="AJ4955">
        <f>((T4955-X4955)*2)/27.6</f>
        <v>8.81721458496714</v>
      </c>
      <c r="AK4955">
        <f t="shared" si="563"/>
        <v>175309.2</v>
      </c>
    </row>
    <row r="4956" spans="1:37">
      <c r="A4956" t="s">
        <v>5022</v>
      </c>
      <c r="B4956">
        <v>18</v>
      </c>
      <c r="C4956" t="s">
        <v>44</v>
      </c>
      <c r="D4956" t="s">
        <v>45</v>
      </c>
      <c r="E4956">
        <v>1393</v>
      </c>
      <c r="F4956">
        <v>26</v>
      </c>
      <c r="G4956">
        <v>7</v>
      </c>
      <c r="H4956">
        <v>778.5</v>
      </c>
      <c r="I4956">
        <v>5501.95</v>
      </c>
      <c r="J4956">
        <v>33</v>
      </c>
      <c r="K4956">
        <v>0</v>
      </c>
      <c r="L4956">
        <v>26.2</v>
      </c>
      <c r="M4956">
        <v>10.2</v>
      </c>
      <c r="N4956" t="s">
        <v>63</v>
      </c>
      <c r="O4956" t="s">
        <v>75</v>
      </c>
      <c r="P4956" t="s">
        <v>58</v>
      </c>
      <c r="R4956">
        <f>SUMIF(A4956:A9955,"C04955",I4956:I9955)</f>
        <v>5501.95</v>
      </c>
      <c r="S4956" s="1">
        <v>4437.31</v>
      </c>
      <c r="T4956">
        <f t="shared" si="560"/>
        <v>166.725757575758</v>
      </c>
      <c r="U4956">
        <f t="shared" si="557"/>
        <v>336.6</v>
      </c>
      <c r="V4956">
        <f t="shared" si="561"/>
        <v>28.05</v>
      </c>
      <c r="W4956">
        <f t="shared" si="564"/>
        <v>2093.81666666667</v>
      </c>
      <c r="X4956">
        <f t="shared" si="566"/>
        <v>1.7893384714194</v>
      </c>
      <c r="AH4956" t="str">
        <f t="shared" si="565"/>
        <v>3rd Quality</v>
      </c>
      <c r="AJ4956">
        <f>((T4956-X4956)*2)/26.2</f>
        <v>12.5905663438426</v>
      </c>
      <c r="AK4956">
        <f t="shared" si="563"/>
        <v>232248.98030303</v>
      </c>
    </row>
    <row r="4957" spans="1:37">
      <c r="A4957" t="s">
        <v>5023</v>
      </c>
      <c r="B4957">
        <v>18</v>
      </c>
      <c r="C4957" t="s">
        <v>44</v>
      </c>
      <c r="D4957" t="s">
        <v>45</v>
      </c>
      <c r="E4957">
        <v>375</v>
      </c>
      <c r="F4957">
        <v>12</v>
      </c>
      <c r="G4957">
        <v>8</v>
      </c>
      <c r="H4957">
        <v>835.98</v>
      </c>
      <c r="I4957">
        <v>6658.8</v>
      </c>
      <c r="J4957">
        <v>43</v>
      </c>
      <c r="K4957">
        <v>0</v>
      </c>
      <c r="L4957">
        <v>18.2</v>
      </c>
      <c r="M4957">
        <v>2.9</v>
      </c>
      <c r="N4957" t="s">
        <v>46</v>
      </c>
      <c r="O4957" t="s">
        <v>47</v>
      </c>
      <c r="P4957" t="s">
        <v>68</v>
      </c>
      <c r="R4957">
        <f>SUMIF(A4957:A9956,"C04956",I4957:I9956)</f>
        <v>6658.8</v>
      </c>
      <c r="S4957" s="1">
        <v>89065.95</v>
      </c>
      <c r="T4957">
        <f t="shared" si="560"/>
        <v>154.855813953488</v>
      </c>
      <c r="U4957">
        <f t="shared" si="557"/>
        <v>124.7</v>
      </c>
      <c r="V4957">
        <f t="shared" si="561"/>
        <v>10.3916666666667</v>
      </c>
      <c r="W4957">
        <f t="shared" si="564"/>
        <v>2498.59333333333</v>
      </c>
      <c r="X4957">
        <f t="shared" si="566"/>
        <v>0.448575324768535</v>
      </c>
      <c r="AH4957" t="str">
        <f t="shared" si="565"/>
        <v>3rd Quality</v>
      </c>
      <c r="AJ4957">
        <f>((T4957-X4957)*2)/18.2</f>
        <v>16.9678284207384</v>
      </c>
      <c r="AK4957">
        <f t="shared" si="563"/>
        <v>58070.9302325581</v>
      </c>
    </row>
    <row r="4958" spans="1:37">
      <c r="A4958" t="s">
        <v>5024</v>
      </c>
      <c r="B4958">
        <v>38</v>
      </c>
      <c r="C4958" t="s">
        <v>50</v>
      </c>
      <c r="D4958" t="s">
        <v>51</v>
      </c>
      <c r="E4958">
        <v>383</v>
      </c>
      <c r="F4958">
        <v>30</v>
      </c>
      <c r="G4958">
        <v>3</v>
      </c>
      <c r="H4958">
        <v>909.77</v>
      </c>
      <c r="I4958">
        <v>2927.68</v>
      </c>
      <c r="J4958">
        <v>20</v>
      </c>
      <c r="K4958">
        <v>1</v>
      </c>
      <c r="L4958">
        <v>33.1</v>
      </c>
      <c r="M4958">
        <v>38.4</v>
      </c>
      <c r="N4958" t="s">
        <v>81</v>
      </c>
      <c r="O4958" t="s">
        <v>75</v>
      </c>
      <c r="P4958" t="s">
        <v>58</v>
      </c>
      <c r="R4958">
        <f>SUMIF(A4958:A9957,"C04957",I4958:I9957)</f>
        <v>2927.68</v>
      </c>
      <c r="S4958" s="1">
        <v>67845.88</v>
      </c>
      <c r="T4958">
        <f t="shared" si="560"/>
        <v>146.384</v>
      </c>
      <c r="U4958">
        <f t="shared" si="557"/>
        <v>768</v>
      </c>
      <c r="V4958">
        <f>U4958*1</f>
        <v>768</v>
      </c>
      <c r="W4958">
        <f t="shared" si="564"/>
        <v>1279.48333333333</v>
      </c>
      <c r="X4958">
        <f t="shared" si="566"/>
        <v>0.420985523813711</v>
      </c>
      <c r="AH4958" t="str">
        <f t="shared" si="565"/>
        <v>3rd Quality</v>
      </c>
      <c r="AJ4958">
        <f>((T4958-X4958)*2)/33.1</f>
        <v>8.81951749100823</v>
      </c>
      <c r="AK4958">
        <f t="shared" si="563"/>
        <v>56065.072</v>
      </c>
    </row>
    <row r="4959" spans="1:37">
      <c r="A4959" t="s">
        <v>5025</v>
      </c>
      <c r="B4959">
        <v>28</v>
      </c>
      <c r="C4959" t="s">
        <v>44</v>
      </c>
      <c r="D4959" t="s">
        <v>60</v>
      </c>
      <c r="E4959">
        <v>701</v>
      </c>
      <c r="F4959">
        <v>59</v>
      </c>
      <c r="G4959">
        <v>9</v>
      </c>
      <c r="H4959">
        <v>1378.07</v>
      </c>
      <c r="I4959">
        <v>13534.38</v>
      </c>
      <c r="J4959">
        <v>51</v>
      </c>
      <c r="K4959">
        <v>0</v>
      </c>
      <c r="L4959">
        <v>33.9</v>
      </c>
      <c r="M4959">
        <v>37.2</v>
      </c>
      <c r="N4959" t="s">
        <v>63</v>
      </c>
      <c r="O4959" t="s">
        <v>75</v>
      </c>
      <c r="P4959" t="s">
        <v>58</v>
      </c>
      <c r="R4959">
        <f>SUMIF(A4959:A9958,"C04958",I4959:I9958)</f>
        <v>13534.38</v>
      </c>
      <c r="S4959" s="1">
        <v>24408.5</v>
      </c>
      <c r="T4959">
        <f t="shared" si="560"/>
        <v>265.38</v>
      </c>
      <c r="U4959">
        <f t="shared" si="557"/>
        <v>1897.2</v>
      </c>
      <c r="V4959">
        <f>U4959/12</f>
        <v>158.1</v>
      </c>
      <c r="W4959">
        <f t="shared" si="564"/>
        <v>4971.15</v>
      </c>
      <c r="X4959">
        <f t="shared" si="566"/>
        <v>0.508682432677585</v>
      </c>
      <c r="AH4959" t="str">
        <f t="shared" si="565"/>
        <v>3rd Quality</v>
      </c>
      <c r="AJ4959">
        <f>((T4959-X4959)*2)/33.9</f>
        <v>15.6266264051518</v>
      </c>
      <c r="AK4959">
        <f t="shared" si="563"/>
        <v>186031.38</v>
      </c>
    </row>
    <row r="4960" spans="1:37">
      <c r="A4960" t="s">
        <v>5026</v>
      </c>
      <c r="B4960">
        <v>26</v>
      </c>
      <c r="C4960" t="s">
        <v>44</v>
      </c>
      <c r="D4960" t="s">
        <v>60</v>
      </c>
      <c r="E4960">
        <v>528</v>
      </c>
      <c r="F4960">
        <v>37</v>
      </c>
      <c r="G4960">
        <v>11</v>
      </c>
      <c r="H4960">
        <v>1448</v>
      </c>
      <c r="I4960">
        <v>14993.55</v>
      </c>
      <c r="J4960">
        <v>61</v>
      </c>
      <c r="K4960">
        <v>0</v>
      </c>
      <c r="L4960">
        <v>26.2</v>
      </c>
      <c r="M4960">
        <v>29.8</v>
      </c>
      <c r="N4960" t="s">
        <v>57</v>
      </c>
      <c r="O4960" t="s">
        <v>75</v>
      </c>
      <c r="P4960" t="s">
        <v>68</v>
      </c>
      <c r="R4960">
        <f>SUMIF(A4960:A9959,"C04959",I4960:I9959)</f>
        <v>14993.55</v>
      </c>
      <c r="S4960" s="1">
        <v>12058.63</v>
      </c>
      <c r="T4960">
        <f t="shared" si="560"/>
        <v>245.795901639344</v>
      </c>
      <c r="U4960">
        <f t="shared" si="557"/>
        <v>1817.8</v>
      </c>
      <c r="V4960">
        <f>U4960/12</f>
        <v>151.483333333333</v>
      </c>
      <c r="W4960">
        <f t="shared" si="564"/>
        <v>5480.85</v>
      </c>
      <c r="X4960">
        <f t="shared" si="566"/>
        <v>0.364640883977901</v>
      </c>
      <c r="AH4960" t="str">
        <f t="shared" si="565"/>
        <v>3rd Quality</v>
      </c>
      <c r="AJ4960">
        <f>((T4960-X4960)*2)/26.2</f>
        <v>18.7352107446844</v>
      </c>
      <c r="AK4960">
        <f t="shared" si="563"/>
        <v>129780.236065574</v>
      </c>
    </row>
    <row r="4961" spans="1:37">
      <c r="A4961" t="s">
        <v>5027</v>
      </c>
      <c r="B4961">
        <v>43</v>
      </c>
      <c r="C4961" t="s">
        <v>44</v>
      </c>
      <c r="D4961" t="s">
        <v>60</v>
      </c>
      <c r="E4961">
        <v>1245</v>
      </c>
      <c r="F4961">
        <v>9</v>
      </c>
      <c r="G4961">
        <v>4</v>
      </c>
      <c r="H4961">
        <v>1215.56</v>
      </c>
      <c r="I4961">
        <v>4437.31</v>
      </c>
      <c r="J4961">
        <v>32</v>
      </c>
      <c r="K4961">
        <v>0</v>
      </c>
      <c r="L4961">
        <v>23.2</v>
      </c>
      <c r="M4961">
        <v>26.7</v>
      </c>
      <c r="N4961" t="s">
        <v>57</v>
      </c>
      <c r="O4961" t="s">
        <v>75</v>
      </c>
      <c r="P4961" t="s">
        <v>66</v>
      </c>
      <c r="R4961">
        <f>SUMIF(A4961:A9960,"C04960",I4961:I9960)</f>
        <v>4437.31</v>
      </c>
      <c r="S4961" s="1">
        <v>8430.27</v>
      </c>
      <c r="T4961">
        <f t="shared" si="560"/>
        <v>138.6659375</v>
      </c>
      <c r="U4961">
        <f t="shared" si="557"/>
        <v>854.4</v>
      </c>
      <c r="V4961">
        <f>U4961/12</f>
        <v>71.2</v>
      </c>
      <c r="W4961">
        <f t="shared" si="564"/>
        <v>1884.62333333333</v>
      </c>
      <c r="X4961">
        <f t="shared" si="566"/>
        <v>1.02421928987463</v>
      </c>
      <c r="AH4961" t="str">
        <f t="shared" si="565"/>
        <v>3rd Quality</v>
      </c>
      <c r="AJ4961">
        <f>((T4961-X4961)*2)/23.2</f>
        <v>11.8656653629418</v>
      </c>
      <c r="AK4961">
        <f t="shared" si="563"/>
        <v>172639.0921875</v>
      </c>
    </row>
    <row r="4962" spans="1:37">
      <c r="A4962" t="s">
        <v>5028</v>
      </c>
      <c r="B4962">
        <v>36</v>
      </c>
      <c r="C4962" t="s">
        <v>50</v>
      </c>
      <c r="D4962" t="s">
        <v>51</v>
      </c>
      <c r="E4962">
        <v>533</v>
      </c>
      <c r="F4962">
        <v>20</v>
      </c>
      <c r="G4962">
        <v>25</v>
      </c>
      <c r="H4962">
        <v>3315.03</v>
      </c>
      <c r="I4962">
        <v>89065.95</v>
      </c>
      <c r="J4962">
        <v>60</v>
      </c>
      <c r="K4962">
        <v>4</v>
      </c>
      <c r="L4962">
        <v>9.5</v>
      </c>
      <c r="M4962">
        <v>64.7</v>
      </c>
      <c r="N4962" t="s">
        <v>81</v>
      </c>
      <c r="O4962" t="s">
        <v>75</v>
      </c>
      <c r="P4962" t="s">
        <v>58</v>
      </c>
      <c r="R4962">
        <f>SUMIF(A4962:A9961,"C04961",I4962:I9961)</f>
        <v>89065.95</v>
      </c>
      <c r="S4962" s="1">
        <v>75290.36</v>
      </c>
      <c r="T4962">
        <f t="shared" si="560"/>
        <v>1484.4325</v>
      </c>
      <c r="U4962">
        <f t="shared" ref="U4962:U4996" si="567">J4962*M4962</f>
        <v>3882</v>
      </c>
      <c r="V4962">
        <f>U4962*4</f>
        <v>15528</v>
      </c>
      <c r="W4962">
        <f t="shared" si="564"/>
        <v>30793.9933333333</v>
      </c>
      <c r="X4962">
        <f t="shared" si="566"/>
        <v>0.160782858676995</v>
      </c>
      <c r="AH4962" t="str">
        <f t="shared" si="565"/>
        <v>2nd Quality</v>
      </c>
      <c r="AJ4962">
        <f>((T4962-X4962)*2)/9.5</f>
        <v>312.478256240278</v>
      </c>
      <c r="AK4962">
        <f t="shared" si="563"/>
        <v>791202.5225</v>
      </c>
    </row>
    <row r="4963" spans="1:37">
      <c r="A4963" t="s">
        <v>5029</v>
      </c>
      <c r="B4963">
        <v>21</v>
      </c>
      <c r="C4963" t="s">
        <v>44</v>
      </c>
      <c r="D4963" t="s">
        <v>51</v>
      </c>
      <c r="E4963">
        <v>468</v>
      </c>
      <c r="F4963">
        <v>22</v>
      </c>
      <c r="G4963">
        <v>26</v>
      </c>
      <c r="H4963">
        <v>2803.29</v>
      </c>
      <c r="I4963">
        <v>67845.88</v>
      </c>
      <c r="J4963">
        <v>91</v>
      </c>
      <c r="K4963">
        <v>2</v>
      </c>
      <c r="L4963">
        <v>14.3</v>
      </c>
      <c r="M4963">
        <v>6.9</v>
      </c>
      <c r="N4963" t="s">
        <v>81</v>
      </c>
      <c r="O4963" t="s">
        <v>47</v>
      </c>
      <c r="P4963" t="s">
        <v>68</v>
      </c>
      <c r="R4963">
        <f>SUMIF(A4963:A9962,"C04962",I4963:I9962)</f>
        <v>67845.88</v>
      </c>
      <c r="S4963" s="1">
        <v>14240.93</v>
      </c>
      <c r="T4963">
        <f t="shared" si="560"/>
        <v>745.559120879121</v>
      </c>
      <c r="U4963">
        <f t="shared" si="567"/>
        <v>627.9</v>
      </c>
      <c r="V4963">
        <f>U4963*2</f>
        <v>1255.8</v>
      </c>
      <c r="W4963">
        <f t="shared" si="564"/>
        <v>23550.0566666667</v>
      </c>
      <c r="X4963">
        <f t="shared" si="566"/>
        <v>0.166946694776495</v>
      </c>
      <c r="AH4963" t="str">
        <f t="shared" si="565"/>
        <v>2nd Quality</v>
      </c>
      <c r="AJ4963">
        <f>((T4963-X4963)*2)/14.3</f>
        <v>104.250653732076</v>
      </c>
      <c r="AK4963">
        <f t="shared" si="563"/>
        <v>348921.668571429</v>
      </c>
    </row>
    <row r="4964" spans="1:37">
      <c r="A4964" t="s">
        <v>5030</v>
      </c>
      <c r="B4964">
        <v>37</v>
      </c>
      <c r="C4964" t="s">
        <v>50</v>
      </c>
      <c r="D4964" t="s">
        <v>60</v>
      </c>
      <c r="E4964">
        <v>616</v>
      </c>
      <c r="F4964">
        <v>29</v>
      </c>
      <c r="G4964">
        <v>18</v>
      </c>
      <c r="H4964">
        <v>1246.47</v>
      </c>
      <c r="I4964">
        <v>24408.5</v>
      </c>
      <c r="J4964">
        <v>128</v>
      </c>
      <c r="K4964">
        <v>4</v>
      </c>
      <c r="L4964">
        <v>23.2</v>
      </c>
      <c r="M4964">
        <v>36.7</v>
      </c>
      <c r="N4964" t="s">
        <v>63</v>
      </c>
      <c r="O4964" t="s">
        <v>47</v>
      </c>
      <c r="P4964" t="s">
        <v>68</v>
      </c>
      <c r="R4964">
        <f>SUMIF(A4964:A9963,"C04963",I4964:I9963)</f>
        <v>24408.5</v>
      </c>
      <c r="S4964" s="1">
        <v>14163.89</v>
      </c>
      <c r="T4964">
        <f t="shared" si="560"/>
        <v>190.69140625</v>
      </c>
      <c r="U4964">
        <f t="shared" si="567"/>
        <v>4697.6</v>
      </c>
      <c r="V4964">
        <f>U4964*4</f>
        <v>18790.4</v>
      </c>
      <c r="W4964">
        <f t="shared" si="564"/>
        <v>8551.99</v>
      </c>
      <c r="X4964">
        <f t="shared" si="566"/>
        <v>0.494195608398116</v>
      </c>
      <c r="AH4964" t="str">
        <f t="shared" si="565"/>
        <v>2nd Quality</v>
      </c>
      <c r="AJ4964">
        <f>((T4964-X4964)*2)/23.2</f>
        <v>16.3963112622071</v>
      </c>
      <c r="AK4964">
        <f t="shared" si="563"/>
        <v>117465.90625</v>
      </c>
    </row>
    <row r="4965" spans="1:37">
      <c r="A4965" t="s">
        <v>5031</v>
      </c>
      <c r="B4965">
        <v>47</v>
      </c>
      <c r="C4965" t="s">
        <v>50</v>
      </c>
      <c r="D4965" t="s">
        <v>60</v>
      </c>
      <c r="E4965">
        <v>1011</v>
      </c>
      <c r="F4965">
        <v>34</v>
      </c>
      <c r="G4965">
        <v>9</v>
      </c>
      <c r="H4965">
        <v>1481.11</v>
      </c>
      <c r="I4965">
        <v>12058.63</v>
      </c>
      <c r="J4965">
        <v>37</v>
      </c>
      <c r="K4965">
        <v>2</v>
      </c>
      <c r="L4965">
        <v>27.3</v>
      </c>
      <c r="M4965">
        <v>15</v>
      </c>
      <c r="N4965" t="s">
        <v>61</v>
      </c>
      <c r="O4965" t="s">
        <v>53</v>
      </c>
      <c r="P4965" t="s">
        <v>68</v>
      </c>
      <c r="R4965">
        <f>SUMIF(A4965:A9964,"C04964",I4965:I9964)</f>
        <v>12058.63</v>
      </c>
      <c r="S4965" s="1">
        <v>54922.15</v>
      </c>
      <c r="T4965">
        <f t="shared" si="560"/>
        <v>325.908918918919</v>
      </c>
      <c r="U4965">
        <f t="shared" si="567"/>
        <v>555</v>
      </c>
      <c r="V4965">
        <f>U4965*2</f>
        <v>1110</v>
      </c>
      <c r="W4965">
        <f t="shared" si="564"/>
        <v>4513.58</v>
      </c>
      <c r="X4965">
        <f t="shared" si="566"/>
        <v>0.682596160987368</v>
      </c>
      <c r="AH4965" t="str">
        <f t="shared" si="565"/>
        <v>3rd Quality</v>
      </c>
      <c r="AJ4965">
        <f>((T4965-X4965)*2)/27.3</f>
        <v>23.8261042313503</v>
      </c>
      <c r="AK4965">
        <f t="shared" si="563"/>
        <v>329493.917027027</v>
      </c>
    </row>
    <row r="4966" spans="1:37">
      <c r="A4966" t="s">
        <v>5032</v>
      </c>
      <c r="B4966">
        <v>45</v>
      </c>
      <c r="C4966" t="s">
        <v>50</v>
      </c>
      <c r="D4966" t="s">
        <v>45</v>
      </c>
      <c r="E4966">
        <v>550</v>
      </c>
      <c r="F4966">
        <v>90</v>
      </c>
      <c r="G4966">
        <v>8</v>
      </c>
      <c r="H4966">
        <v>1168.48</v>
      </c>
      <c r="I4966">
        <v>8430.27</v>
      </c>
      <c r="J4966">
        <v>39</v>
      </c>
      <c r="K4966">
        <v>1</v>
      </c>
      <c r="L4966">
        <v>17.7</v>
      </c>
      <c r="M4966">
        <v>24.9</v>
      </c>
      <c r="N4966" t="s">
        <v>46</v>
      </c>
      <c r="O4966" t="s">
        <v>47</v>
      </c>
      <c r="P4966" t="s">
        <v>58</v>
      </c>
      <c r="R4966">
        <f>SUMIF(A4966:A9965,"C04965",I4966:I9965)</f>
        <v>8430.27</v>
      </c>
      <c r="S4966" s="1">
        <v>94560.65</v>
      </c>
      <c r="T4966">
        <f t="shared" si="560"/>
        <v>216.160769230769</v>
      </c>
      <c r="U4966">
        <f t="shared" si="567"/>
        <v>971.1</v>
      </c>
      <c r="V4966">
        <f>U4966*1</f>
        <v>971.1</v>
      </c>
      <c r="W4966">
        <f t="shared" si="564"/>
        <v>3199.91666666667</v>
      </c>
      <c r="X4966">
        <f t="shared" si="566"/>
        <v>0.470696973846364</v>
      </c>
      <c r="AH4966" t="str">
        <f t="shared" si="565"/>
        <v>3rd Quality</v>
      </c>
      <c r="AJ4966">
        <f>((T4966-X4966)*2)/17.7</f>
        <v>24.3717595770534</v>
      </c>
      <c r="AK4966">
        <f t="shared" si="563"/>
        <v>118888.423076923</v>
      </c>
    </row>
    <row r="4967" spans="1:37">
      <c r="A4967" t="s">
        <v>5033</v>
      </c>
      <c r="B4967">
        <v>45</v>
      </c>
      <c r="C4967" t="s">
        <v>44</v>
      </c>
      <c r="D4967" t="s">
        <v>45</v>
      </c>
      <c r="E4967">
        <v>687</v>
      </c>
      <c r="F4967">
        <v>8</v>
      </c>
      <c r="G4967">
        <v>17</v>
      </c>
      <c r="H4967">
        <v>4795.22</v>
      </c>
      <c r="I4967">
        <v>75290.36</v>
      </c>
      <c r="J4967">
        <v>43</v>
      </c>
      <c r="K4967">
        <v>2</v>
      </c>
      <c r="L4967">
        <v>7.5</v>
      </c>
      <c r="M4967">
        <v>24.7</v>
      </c>
      <c r="N4967" t="s">
        <v>78</v>
      </c>
      <c r="O4967" t="s">
        <v>47</v>
      </c>
      <c r="P4967" t="s">
        <v>68</v>
      </c>
      <c r="R4967">
        <f>SUMIF(A4967:A9966,"C04966",I4967:I9966)</f>
        <v>75290.36</v>
      </c>
      <c r="S4967" s="1">
        <v>47648.61</v>
      </c>
      <c r="T4967">
        <f t="shared" si="560"/>
        <v>1750.93860465116</v>
      </c>
      <c r="U4967">
        <f t="shared" si="567"/>
        <v>1062.1</v>
      </c>
      <c r="V4967">
        <f>U4967*2</f>
        <v>2124.2</v>
      </c>
      <c r="W4967">
        <f t="shared" si="564"/>
        <v>26695.5266666667</v>
      </c>
      <c r="X4967">
        <f t="shared" si="566"/>
        <v>0.143267670722094</v>
      </c>
      <c r="AH4967" t="str">
        <f t="shared" si="565"/>
        <v>3rd Quality</v>
      </c>
      <c r="AJ4967">
        <f>((T4967-X4967)*2)/7.5</f>
        <v>466.878756528117</v>
      </c>
      <c r="AK4967">
        <f t="shared" si="563"/>
        <v>1202894.82139535</v>
      </c>
    </row>
    <row r="4968" spans="1:37">
      <c r="A4968" t="s">
        <v>5034</v>
      </c>
      <c r="B4968">
        <v>34</v>
      </c>
      <c r="C4968" t="s">
        <v>44</v>
      </c>
      <c r="D4968" t="s">
        <v>60</v>
      </c>
      <c r="E4968">
        <v>918</v>
      </c>
      <c r="F4968">
        <v>6</v>
      </c>
      <c r="G4968">
        <v>12</v>
      </c>
      <c r="H4968">
        <v>1344.23</v>
      </c>
      <c r="I4968">
        <v>14240.93</v>
      </c>
      <c r="J4968">
        <v>79</v>
      </c>
      <c r="K4968">
        <v>1</v>
      </c>
      <c r="L4968">
        <v>24.4</v>
      </c>
      <c r="M4968">
        <v>29</v>
      </c>
      <c r="N4968" t="s">
        <v>52</v>
      </c>
      <c r="O4968" t="s">
        <v>47</v>
      </c>
      <c r="P4968" t="s">
        <v>68</v>
      </c>
      <c r="R4968">
        <f>SUMIF(A4968:A9967,"C04967",I4968:I9967)</f>
        <v>14240.93</v>
      </c>
      <c r="S4968" s="1">
        <v>53977.13</v>
      </c>
      <c r="T4968">
        <f t="shared" si="560"/>
        <v>180.264936708861</v>
      </c>
      <c r="U4968">
        <f t="shared" si="567"/>
        <v>2291</v>
      </c>
      <c r="V4968">
        <f>U4968*1</f>
        <v>2291</v>
      </c>
      <c r="W4968">
        <f t="shared" si="564"/>
        <v>5195.38666666667</v>
      </c>
      <c r="X4968">
        <f t="shared" si="566"/>
        <v>0.682918845733245</v>
      </c>
      <c r="AH4968" t="str">
        <f t="shared" si="565"/>
        <v>3rd Quality</v>
      </c>
      <c r="AJ4968">
        <f>((T4968-X4968)*2)/24.4</f>
        <v>14.7198375297646</v>
      </c>
      <c r="AK4968">
        <f t="shared" si="563"/>
        <v>165483.211898734</v>
      </c>
    </row>
    <row r="4969" spans="1:37">
      <c r="A4969" t="s">
        <v>5035</v>
      </c>
      <c r="B4969">
        <v>29</v>
      </c>
      <c r="C4969" t="s">
        <v>50</v>
      </c>
      <c r="D4969" t="s">
        <v>45</v>
      </c>
      <c r="E4969">
        <v>1423</v>
      </c>
      <c r="F4969">
        <v>59</v>
      </c>
      <c r="G4969">
        <v>9</v>
      </c>
      <c r="H4969">
        <v>1485.48</v>
      </c>
      <c r="I4969">
        <v>14163.89</v>
      </c>
      <c r="J4969">
        <v>51</v>
      </c>
      <c r="K4969">
        <v>0</v>
      </c>
      <c r="L4969">
        <v>24.7</v>
      </c>
      <c r="M4969">
        <v>10.6</v>
      </c>
      <c r="N4969" t="s">
        <v>57</v>
      </c>
      <c r="O4969" t="s">
        <v>47</v>
      </c>
      <c r="P4969" t="s">
        <v>58</v>
      </c>
      <c r="R4969">
        <f>SUMIF(A4969:A9968,"C04968",I4969:I9968)</f>
        <v>14163.89</v>
      </c>
      <c r="S4969" s="1">
        <v>11488.73</v>
      </c>
      <c r="T4969">
        <f t="shared" si="560"/>
        <v>277.723333333333</v>
      </c>
      <c r="U4969">
        <f t="shared" si="567"/>
        <v>540.6</v>
      </c>
      <c r="V4969">
        <f>U4969/12</f>
        <v>45.05</v>
      </c>
      <c r="W4969">
        <f t="shared" ref="W4969:W4996" si="568">(H4969+I4969+1)/3</f>
        <v>5216.79</v>
      </c>
      <c r="X4969">
        <f t="shared" si="566"/>
        <v>0.957939521232194</v>
      </c>
      <c r="AH4969" t="str">
        <f t="shared" si="565"/>
        <v>3rd Quality</v>
      </c>
      <c r="AJ4969">
        <f>((T4969-X4969)*2)/24.7</f>
        <v>22.4101533451094</v>
      </c>
      <c r="AK4969">
        <f t="shared" si="563"/>
        <v>395200.303333333</v>
      </c>
    </row>
    <row r="4970" spans="1:37">
      <c r="A4970" t="s">
        <v>5036</v>
      </c>
      <c r="B4970">
        <v>44</v>
      </c>
      <c r="C4970" t="s">
        <v>50</v>
      </c>
      <c r="D4970" t="s">
        <v>45</v>
      </c>
      <c r="E4970">
        <v>1314</v>
      </c>
      <c r="F4970">
        <v>21</v>
      </c>
      <c r="G4970">
        <v>24</v>
      </c>
      <c r="H4970">
        <v>2346.34</v>
      </c>
      <c r="I4970">
        <v>54922.15</v>
      </c>
      <c r="J4970">
        <v>126</v>
      </c>
      <c r="K4970">
        <v>1</v>
      </c>
      <c r="L4970">
        <v>4.6</v>
      </c>
      <c r="M4970">
        <v>38.7</v>
      </c>
      <c r="N4970" t="s">
        <v>81</v>
      </c>
      <c r="O4970" t="s">
        <v>53</v>
      </c>
      <c r="P4970" t="s">
        <v>58</v>
      </c>
      <c r="R4970">
        <f>SUMIF(A4970:A9969,"C04969",I4970:I9969)</f>
        <v>54922.15</v>
      </c>
      <c r="S4970" s="1">
        <v>1563.06</v>
      </c>
      <c r="T4970">
        <f t="shared" si="560"/>
        <v>435.890079365079</v>
      </c>
      <c r="U4970">
        <f t="shared" si="567"/>
        <v>4876.2</v>
      </c>
      <c r="V4970">
        <f>U4970*1</f>
        <v>4876.2</v>
      </c>
      <c r="W4970">
        <f t="shared" si="568"/>
        <v>19089.83</v>
      </c>
      <c r="X4970">
        <f t="shared" si="566"/>
        <v>0.560021139306324</v>
      </c>
      <c r="AH4970" t="str">
        <f t="shared" si="565"/>
        <v>3rd Quality</v>
      </c>
      <c r="AJ4970">
        <f>((T4970-X4970)*2)/4.6</f>
        <v>189.273938359032</v>
      </c>
      <c r="AK4970">
        <f t="shared" si="563"/>
        <v>572759.564285714</v>
      </c>
    </row>
    <row r="4971" spans="1:37">
      <c r="A4971" t="s">
        <v>5037</v>
      </c>
      <c r="B4971">
        <v>54</v>
      </c>
      <c r="C4971" t="s">
        <v>44</v>
      </c>
      <c r="D4971" t="s">
        <v>45</v>
      </c>
      <c r="E4971">
        <v>608</v>
      </c>
      <c r="F4971">
        <v>32</v>
      </c>
      <c r="G4971">
        <v>6</v>
      </c>
      <c r="H4971">
        <v>14238.43</v>
      </c>
      <c r="I4971">
        <v>94560.65</v>
      </c>
      <c r="J4971">
        <v>44</v>
      </c>
      <c r="K4971">
        <v>1</v>
      </c>
      <c r="L4971">
        <v>0</v>
      </c>
      <c r="M4971">
        <v>23.8</v>
      </c>
      <c r="N4971" t="s">
        <v>61</v>
      </c>
      <c r="O4971" t="s">
        <v>75</v>
      </c>
      <c r="P4971" t="s">
        <v>58</v>
      </c>
      <c r="R4971">
        <f>SUMIF(A4971:A9970,"C04970",I4971:I9970)</f>
        <v>94560.65</v>
      </c>
      <c r="S4971" s="1">
        <v>34740.05</v>
      </c>
      <c r="T4971">
        <f t="shared" ref="T4971:T4996" si="569">I4971/J4971</f>
        <v>2149.10568181818</v>
      </c>
      <c r="U4971">
        <f t="shared" si="567"/>
        <v>1047.2</v>
      </c>
      <c r="V4971">
        <f>U4971*1</f>
        <v>1047.2</v>
      </c>
      <c r="W4971">
        <f t="shared" si="568"/>
        <v>36266.6933333333</v>
      </c>
      <c r="X4971">
        <f t="shared" si="566"/>
        <v>0.0427013371558522</v>
      </c>
      <c r="AH4971" t="str">
        <f t="shared" si="565"/>
        <v>3rd Quality</v>
      </c>
      <c r="AJ4971">
        <f>((T4971-X4971)*2)</f>
        <v>4298.12596096205</v>
      </c>
      <c r="AK4971">
        <f t="shared" si="563"/>
        <v>1306656.25454545</v>
      </c>
    </row>
    <row r="4972" spans="1:37">
      <c r="A4972" t="s">
        <v>5038</v>
      </c>
      <c r="B4972">
        <v>31</v>
      </c>
      <c r="C4972" t="s">
        <v>50</v>
      </c>
      <c r="D4972" t="s">
        <v>51</v>
      </c>
      <c r="E4972">
        <v>686</v>
      </c>
      <c r="F4972">
        <v>12</v>
      </c>
      <c r="G4972">
        <v>3</v>
      </c>
      <c r="H4972">
        <v>16413.41</v>
      </c>
      <c r="I4972">
        <v>47648.61</v>
      </c>
      <c r="J4972">
        <v>17</v>
      </c>
      <c r="K4972">
        <v>0</v>
      </c>
      <c r="L4972">
        <v>0</v>
      </c>
      <c r="M4972">
        <v>38</v>
      </c>
      <c r="N4972" t="s">
        <v>61</v>
      </c>
      <c r="O4972" t="s">
        <v>47</v>
      </c>
      <c r="P4972" t="s">
        <v>58</v>
      </c>
      <c r="R4972">
        <f>SUMIF(A4972:A9971,"C04971",I4972:I9971)</f>
        <v>47648.61</v>
      </c>
      <c r="S4972" s="1">
        <v>9382.5</v>
      </c>
      <c r="T4972">
        <f t="shared" si="569"/>
        <v>2802.85941176471</v>
      </c>
      <c r="U4972">
        <f t="shared" si="567"/>
        <v>646</v>
      </c>
      <c r="V4972">
        <f>U4972/12</f>
        <v>53.8333333333333</v>
      </c>
      <c r="W4972">
        <f t="shared" si="568"/>
        <v>21354.34</v>
      </c>
      <c r="X4972">
        <f t="shared" si="566"/>
        <v>0.0417950931585819</v>
      </c>
      <c r="AH4972" t="str">
        <f t="shared" si="565"/>
        <v>2nd Quality</v>
      </c>
      <c r="AJ4972">
        <f>((T4972-X4972)*2)</f>
        <v>5605.6352333431</v>
      </c>
      <c r="AK4972">
        <f t="shared" si="563"/>
        <v>1922761.55647059</v>
      </c>
    </row>
    <row r="4973" spans="1:37">
      <c r="A4973" t="s">
        <v>5039</v>
      </c>
      <c r="B4973">
        <v>28</v>
      </c>
      <c r="C4973" t="s">
        <v>50</v>
      </c>
      <c r="D4973" t="s">
        <v>60</v>
      </c>
      <c r="E4973">
        <v>447</v>
      </c>
      <c r="F4973">
        <v>24</v>
      </c>
      <c r="G4973">
        <v>27</v>
      </c>
      <c r="H4973">
        <v>1906.28</v>
      </c>
      <c r="I4973">
        <v>53977.13</v>
      </c>
      <c r="J4973">
        <v>225</v>
      </c>
      <c r="K4973">
        <v>4</v>
      </c>
      <c r="L4973">
        <v>8.7</v>
      </c>
      <c r="M4973">
        <v>41.7</v>
      </c>
      <c r="N4973" t="s">
        <v>63</v>
      </c>
      <c r="O4973" t="s">
        <v>47</v>
      </c>
      <c r="P4973" t="s">
        <v>58</v>
      </c>
      <c r="R4973">
        <f>SUMIF(A4973:A9972,"C04972",I4973:I9972)</f>
        <v>53977.13</v>
      </c>
      <c r="S4973" s="1">
        <v>5260.86</v>
      </c>
      <c r="T4973">
        <f t="shared" si="569"/>
        <v>239.898355555556</v>
      </c>
      <c r="U4973">
        <f t="shared" si="567"/>
        <v>9382.5</v>
      </c>
      <c r="V4973">
        <f>U4973*4</f>
        <v>37530</v>
      </c>
      <c r="W4973">
        <f t="shared" si="568"/>
        <v>18628.1366666667</v>
      </c>
      <c r="X4973">
        <f t="shared" si="566"/>
        <v>0.23448811297396</v>
      </c>
      <c r="AH4973" t="str">
        <f t="shared" si="565"/>
        <v>3rd Quality</v>
      </c>
      <c r="AJ4973">
        <f>((T4973-X4973)*2)/8.7</f>
        <v>55.0951419408235</v>
      </c>
      <c r="AK4973">
        <f t="shared" si="563"/>
        <v>107234.564933333</v>
      </c>
    </row>
    <row r="4974" spans="1:37">
      <c r="A4974" t="s">
        <v>5040</v>
      </c>
      <c r="B4974">
        <v>52</v>
      </c>
      <c r="C4974" t="s">
        <v>50</v>
      </c>
      <c r="D4974" t="s">
        <v>45</v>
      </c>
      <c r="E4974">
        <v>692</v>
      </c>
      <c r="F4974">
        <v>25</v>
      </c>
      <c r="G4974">
        <v>7</v>
      </c>
      <c r="H4974">
        <v>1572.15</v>
      </c>
      <c r="I4974">
        <v>11488.73</v>
      </c>
      <c r="J4974">
        <v>67</v>
      </c>
      <c r="K4974">
        <v>0</v>
      </c>
      <c r="L4974">
        <v>23.3</v>
      </c>
      <c r="M4974">
        <v>8.6</v>
      </c>
      <c r="N4974" t="s">
        <v>63</v>
      </c>
      <c r="O4974" t="s">
        <v>47</v>
      </c>
      <c r="P4974" t="s">
        <v>58</v>
      </c>
      <c r="R4974">
        <f>SUMIF(A4974:A9973,"C04973",I4974:I9973)</f>
        <v>11488.73</v>
      </c>
      <c r="S4974" s="1">
        <v>145819.32</v>
      </c>
      <c r="T4974">
        <f t="shared" si="569"/>
        <v>171.473582089552</v>
      </c>
      <c r="U4974">
        <f t="shared" si="567"/>
        <v>576.2</v>
      </c>
      <c r="V4974">
        <f>U4974/12</f>
        <v>48.0166666666667</v>
      </c>
      <c r="W4974">
        <f t="shared" si="568"/>
        <v>4353.96</v>
      </c>
      <c r="X4974">
        <f t="shared" si="566"/>
        <v>0.440161562191903</v>
      </c>
      <c r="AH4974" t="str">
        <f t="shared" si="565"/>
        <v>3rd Quality</v>
      </c>
      <c r="AJ4974">
        <f>((T4974-X4974)*2)/23.3</f>
        <v>14.6809803027777</v>
      </c>
      <c r="AK4974">
        <f t="shared" si="563"/>
        <v>118659.71880597</v>
      </c>
    </row>
    <row r="4975" spans="1:37">
      <c r="A4975" t="s">
        <v>5041</v>
      </c>
      <c r="B4975">
        <v>32</v>
      </c>
      <c r="C4975" t="s">
        <v>44</v>
      </c>
      <c r="D4975" t="s">
        <v>60</v>
      </c>
      <c r="E4975">
        <v>1039</v>
      </c>
      <c r="F4975">
        <v>101</v>
      </c>
      <c r="G4975">
        <v>1</v>
      </c>
      <c r="H4975">
        <v>1631.7</v>
      </c>
      <c r="I4975">
        <v>1563.06</v>
      </c>
      <c r="J4975">
        <v>16</v>
      </c>
      <c r="K4975">
        <v>0</v>
      </c>
      <c r="L4975">
        <v>15.6</v>
      </c>
      <c r="M4975">
        <v>26.1</v>
      </c>
      <c r="N4975" t="s">
        <v>46</v>
      </c>
      <c r="O4975" t="s">
        <v>47</v>
      </c>
      <c r="P4975" t="s">
        <v>58</v>
      </c>
      <c r="R4975">
        <f>SUMIF(A4975:A9974,"C04974",I4975:I9974)</f>
        <v>1563.06</v>
      </c>
      <c r="S4975" s="1">
        <v>25541</v>
      </c>
      <c r="T4975">
        <f t="shared" si="569"/>
        <v>97.69125</v>
      </c>
      <c r="U4975">
        <f t="shared" si="567"/>
        <v>417.6</v>
      </c>
      <c r="V4975">
        <f>U4975/12</f>
        <v>34.8</v>
      </c>
      <c r="W4975">
        <f t="shared" si="568"/>
        <v>1065.25333333333</v>
      </c>
      <c r="X4975">
        <f t="shared" si="566"/>
        <v>0.63675920818778</v>
      </c>
      <c r="AH4975" t="str">
        <f t="shared" si="565"/>
        <v>3rd Quality</v>
      </c>
      <c r="AJ4975">
        <f>((T4975-X4975)*2)/15.6</f>
        <v>12.4428834348477</v>
      </c>
      <c r="AK4975">
        <f t="shared" si="563"/>
        <v>101501.20875</v>
      </c>
    </row>
    <row r="4976" spans="1:37">
      <c r="A4976" t="s">
        <v>5042</v>
      </c>
      <c r="B4976">
        <v>29</v>
      </c>
      <c r="C4976" t="s">
        <v>50</v>
      </c>
      <c r="D4976" t="s">
        <v>51</v>
      </c>
      <c r="E4976">
        <v>934</v>
      </c>
      <c r="F4976">
        <v>32</v>
      </c>
      <c r="G4976">
        <v>3</v>
      </c>
      <c r="H4976">
        <v>10582.75</v>
      </c>
      <c r="I4976">
        <v>34740.05</v>
      </c>
      <c r="J4976">
        <v>30</v>
      </c>
      <c r="K4976">
        <v>0</v>
      </c>
      <c r="L4976">
        <v>6.2</v>
      </c>
      <c r="M4976">
        <v>43.9</v>
      </c>
      <c r="N4976" t="s">
        <v>63</v>
      </c>
      <c r="O4976" t="s">
        <v>47</v>
      </c>
      <c r="P4976" t="s">
        <v>66</v>
      </c>
      <c r="R4976">
        <f>SUMIF(A4976:A9975,"C04975",I4976:I9975)</f>
        <v>34740.05</v>
      </c>
      <c r="S4976" s="1">
        <v>2418.21</v>
      </c>
      <c r="T4976">
        <f t="shared" si="569"/>
        <v>1158.00166666667</v>
      </c>
      <c r="U4976">
        <f t="shared" si="567"/>
        <v>1317</v>
      </c>
      <c r="V4976">
        <f>U4976/12</f>
        <v>109.75</v>
      </c>
      <c r="W4976">
        <f t="shared" si="568"/>
        <v>15107.9333333333</v>
      </c>
      <c r="X4976">
        <f t="shared" si="566"/>
        <v>0.0882568330537904</v>
      </c>
      <c r="AH4976" t="str">
        <f t="shared" si="565"/>
        <v>1st Quality</v>
      </c>
      <c r="AJ4976">
        <f>((T4976-X4976)*2)/6.2</f>
        <v>373.520454785037</v>
      </c>
      <c r="AK4976">
        <f t="shared" si="563"/>
        <v>1081573.55666667</v>
      </c>
    </row>
    <row r="4977" spans="1:37">
      <c r="A4977" t="s">
        <v>5043</v>
      </c>
      <c r="B4977">
        <v>28</v>
      </c>
      <c r="C4977" t="s">
        <v>44</v>
      </c>
      <c r="D4977" t="s">
        <v>60</v>
      </c>
      <c r="E4977">
        <v>780</v>
      </c>
      <c r="F4977">
        <v>29</v>
      </c>
      <c r="G4977">
        <v>6</v>
      </c>
      <c r="H4977">
        <v>1603.04</v>
      </c>
      <c r="I4977">
        <v>9382.5</v>
      </c>
      <c r="J4977">
        <v>46</v>
      </c>
      <c r="K4977">
        <v>1</v>
      </c>
      <c r="L4977">
        <v>33.2</v>
      </c>
      <c r="M4977">
        <v>2.1</v>
      </c>
      <c r="N4977" t="s">
        <v>81</v>
      </c>
      <c r="O4977" t="s">
        <v>47</v>
      </c>
      <c r="P4977" t="s">
        <v>48</v>
      </c>
      <c r="R4977">
        <f>SUMIF(A4977:A9976,"C04976",I4977:I9976)</f>
        <v>9382.5</v>
      </c>
      <c r="S4977" s="1">
        <v>2266.41</v>
      </c>
      <c r="T4977">
        <f t="shared" si="569"/>
        <v>203.967391304348</v>
      </c>
      <c r="U4977">
        <f t="shared" si="567"/>
        <v>96.6</v>
      </c>
      <c r="V4977">
        <f>U4977*1</f>
        <v>96.6</v>
      </c>
      <c r="W4977">
        <f t="shared" si="568"/>
        <v>3662.18</v>
      </c>
      <c r="X4977">
        <f t="shared" si="566"/>
        <v>0.486575506537579</v>
      </c>
      <c r="AH4977" t="str">
        <f t="shared" si="565"/>
        <v>3rd Quality</v>
      </c>
      <c r="AJ4977">
        <f>((T4977-X4977)*2)/33.2</f>
        <v>12.2578804697476</v>
      </c>
      <c r="AK4977">
        <f t="shared" si="563"/>
        <v>159094.565217391</v>
      </c>
    </row>
    <row r="4978" spans="1:37">
      <c r="A4978" t="s">
        <v>5044</v>
      </c>
      <c r="B4978">
        <v>40</v>
      </c>
      <c r="C4978" t="s">
        <v>44</v>
      </c>
      <c r="D4978" t="s">
        <v>51</v>
      </c>
      <c r="E4978">
        <v>390</v>
      </c>
      <c r="F4978">
        <v>55</v>
      </c>
      <c r="G4978">
        <v>9</v>
      </c>
      <c r="H4978">
        <v>577.42</v>
      </c>
      <c r="I4978">
        <v>5260.86</v>
      </c>
      <c r="J4978">
        <v>77</v>
      </c>
      <c r="K4978">
        <v>1</v>
      </c>
      <c r="L4978">
        <v>18.5</v>
      </c>
      <c r="M4978">
        <v>17.6</v>
      </c>
      <c r="N4978" t="s">
        <v>57</v>
      </c>
      <c r="O4978" t="s">
        <v>47</v>
      </c>
      <c r="P4978" t="s">
        <v>58</v>
      </c>
      <c r="R4978">
        <f>SUMIF(A4978:A9977,"C04977",I4978:I9977)</f>
        <v>5260.86</v>
      </c>
      <c r="S4978" s="1">
        <v>16255.36</v>
      </c>
      <c r="T4978">
        <f t="shared" si="569"/>
        <v>68.3228571428571</v>
      </c>
      <c r="U4978">
        <f t="shared" si="567"/>
        <v>1355.2</v>
      </c>
      <c r="V4978">
        <f>U4978*1</f>
        <v>1355.2</v>
      </c>
      <c r="W4978">
        <f t="shared" si="568"/>
        <v>1946.42666666667</v>
      </c>
      <c r="X4978">
        <f t="shared" si="566"/>
        <v>0.675418239756157</v>
      </c>
      <c r="AH4978" t="str">
        <f t="shared" si="565"/>
        <v>3rd Quality</v>
      </c>
      <c r="AJ4978">
        <f>((T4978-X4978)*2)/18.5</f>
        <v>7.31323663817308</v>
      </c>
      <c r="AK4978">
        <f t="shared" si="563"/>
        <v>26645.9142857143</v>
      </c>
    </row>
    <row r="4979" spans="1:37">
      <c r="A4979" t="s">
        <v>5045</v>
      </c>
      <c r="B4979">
        <v>33</v>
      </c>
      <c r="C4979" t="s">
        <v>50</v>
      </c>
      <c r="D4979" t="s">
        <v>45</v>
      </c>
      <c r="E4979">
        <v>1356</v>
      </c>
      <c r="F4979">
        <v>38</v>
      </c>
      <c r="G4979">
        <v>35</v>
      </c>
      <c r="H4979">
        <v>4270.61</v>
      </c>
      <c r="I4979">
        <v>145819.32</v>
      </c>
      <c r="J4979">
        <v>184</v>
      </c>
      <c r="K4979">
        <v>2</v>
      </c>
      <c r="L4979">
        <v>11.6</v>
      </c>
      <c r="M4979">
        <v>57.6</v>
      </c>
      <c r="N4979" t="s">
        <v>63</v>
      </c>
      <c r="O4979" t="s">
        <v>47</v>
      </c>
      <c r="P4979" t="s">
        <v>58</v>
      </c>
      <c r="R4979">
        <f>SUMIF(A4979:A9978,"C04978",I4979:I9978)</f>
        <v>145819.32</v>
      </c>
      <c r="S4979" s="1">
        <v>7125.07</v>
      </c>
      <c r="T4979">
        <f t="shared" si="569"/>
        <v>792.496304347826</v>
      </c>
      <c r="U4979">
        <f t="shared" si="567"/>
        <v>10598.4</v>
      </c>
      <c r="V4979">
        <f>U4979*2</f>
        <v>21196.8</v>
      </c>
      <c r="W4979">
        <f t="shared" si="568"/>
        <v>50030.31</v>
      </c>
      <c r="X4979">
        <f t="shared" si="566"/>
        <v>0.317519042947026</v>
      </c>
      <c r="AH4979" t="str">
        <f t="shared" si="565"/>
        <v>1st Quality</v>
      </c>
      <c r="AJ4979">
        <f>((T4979-X4979)*2)/11.6</f>
        <v>136.582549190496</v>
      </c>
      <c r="AK4979">
        <f t="shared" si="563"/>
        <v>1074624.98869565</v>
      </c>
    </row>
    <row r="4980" spans="1:37">
      <c r="A4980" t="s">
        <v>5046</v>
      </c>
      <c r="B4980">
        <v>29</v>
      </c>
      <c r="C4980" t="s">
        <v>50</v>
      </c>
      <c r="D4980" t="s">
        <v>60</v>
      </c>
      <c r="E4980">
        <v>795</v>
      </c>
      <c r="F4980">
        <v>43</v>
      </c>
      <c r="G4980">
        <v>2</v>
      </c>
      <c r="H4980">
        <v>1297.18</v>
      </c>
      <c r="I4980">
        <v>25541</v>
      </c>
      <c r="J4980">
        <v>22</v>
      </c>
      <c r="K4980">
        <v>0</v>
      </c>
      <c r="L4980">
        <v>40.8</v>
      </c>
      <c r="M4980">
        <v>13.8</v>
      </c>
      <c r="N4980" t="s">
        <v>57</v>
      </c>
      <c r="O4980" t="s">
        <v>47</v>
      </c>
      <c r="P4980" t="s">
        <v>48</v>
      </c>
      <c r="R4980">
        <f>SUMIF(A4980:A9979,"C04979",I4980:I9979)</f>
        <v>25541</v>
      </c>
      <c r="S4980" s="1">
        <v>55655.67</v>
      </c>
      <c r="T4980">
        <f t="shared" si="569"/>
        <v>1160.95454545455</v>
      </c>
      <c r="U4980">
        <f t="shared" si="567"/>
        <v>303.6</v>
      </c>
      <c r="V4980">
        <f>U4980/12</f>
        <v>25.3</v>
      </c>
      <c r="W4980">
        <f t="shared" si="568"/>
        <v>8946.39333333333</v>
      </c>
      <c r="X4980">
        <f t="shared" si="566"/>
        <v>0.612867913473843</v>
      </c>
      <c r="AH4980" t="str">
        <f t="shared" si="565"/>
        <v>2nd Quality</v>
      </c>
      <c r="AJ4980">
        <f>((T4980-X4980)*2)/40.8</f>
        <v>56.8794939971116</v>
      </c>
      <c r="AK4980">
        <f t="shared" si="563"/>
        <v>922958.863636364</v>
      </c>
    </row>
    <row r="4981" spans="1:37">
      <c r="A4981" t="s">
        <v>5047</v>
      </c>
      <c r="B4981">
        <v>33</v>
      </c>
      <c r="C4981" t="s">
        <v>56</v>
      </c>
      <c r="D4981" t="s">
        <v>51</v>
      </c>
      <c r="E4981">
        <v>1368</v>
      </c>
      <c r="F4981">
        <v>363</v>
      </c>
      <c r="G4981">
        <v>1</v>
      </c>
      <c r="H4981">
        <v>2707.58</v>
      </c>
      <c r="I4981">
        <v>2418.21</v>
      </c>
      <c r="J4981">
        <v>16</v>
      </c>
      <c r="K4981">
        <v>0</v>
      </c>
      <c r="L4981">
        <v>9.7</v>
      </c>
      <c r="M4981">
        <v>10</v>
      </c>
      <c r="N4981" t="s">
        <v>61</v>
      </c>
      <c r="O4981" t="s">
        <v>53</v>
      </c>
      <c r="P4981" t="s">
        <v>48</v>
      </c>
      <c r="R4981">
        <f>SUMIF(A4981:A9980,"C04980",I4981:I9980)</f>
        <v>2418.21</v>
      </c>
      <c r="S4981" s="1">
        <v>12329.73</v>
      </c>
      <c r="T4981">
        <f t="shared" si="569"/>
        <v>151.138125</v>
      </c>
      <c r="U4981">
        <f t="shared" si="567"/>
        <v>160</v>
      </c>
      <c r="V4981">
        <f>U4981/12</f>
        <v>13.3333333333333</v>
      </c>
      <c r="W4981">
        <f t="shared" si="568"/>
        <v>1708.93</v>
      </c>
      <c r="X4981">
        <f t="shared" si="566"/>
        <v>0.505248229045864</v>
      </c>
      <c r="AH4981" t="str">
        <f t="shared" si="565"/>
        <v>3rd Quality</v>
      </c>
      <c r="AJ4981">
        <f>((T4981-X4981)*2)/9.7</f>
        <v>31.0583251074132</v>
      </c>
      <c r="AK4981">
        <f t="shared" si="563"/>
        <v>206756.955</v>
      </c>
    </row>
    <row r="4982" spans="1:37">
      <c r="A4982" t="s">
        <v>5048</v>
      </c>
      <c r="B4982">
        <v>31</v>
      </c>
      <c r="C4982" t="s">
        <v>50</v>
      </c>
      <c r="D4982" t="s">
        <v>60</v>
      </c>
      <c r="E4982">
        <v>1172</v>
      </c>
      <c r="F4982">
        <v>164</v>
      </c>
      <c r="G4982">
        <v>2</v>
      </c>
      <c r="H4982">
        <v>1187.29</v>
      </c>
      <c r="I4982">
        <v>2266.41</v>
      </c>
      <c r="J4982">
        <v>18</v>
      </c>
      <c r="K4982">
        <v>1</v>
      </c>
      <c r="L4982">
        <v>29.4</v>
      </c>
      <c r="M4982">
        <v>17.9</v>
      </c>
      <c r="N4982" t="s">
        <v>78</v>
      </c>
      <c r="O4982" t="s">
        <v>75</v>
      </c>
      <c r="P4982" t="s">
        <v>68</v>
      </c>
      <c r="R4982">
        <f>SUMIF(A4982:A9981,"C04981",I4982:I9981)</f>
        <v>2266.41</v>
      </c>
      <c r="S4982" s="1">
        <v>10197.63</v>
      </c>
      <c r="T4982">
        <f t="shared" si="569"/>
        <v>125.911666666667</v>
      </c>
      <c r="U4982">
        <f t="shared" si="567"/>
        <v>322.2</v>
      </c>
      <c r="V4982">
        <f>U4982*1</f>
        <v>322.2</v>
      </c>
      <c r="W4982">
        <f t="shared" si="568"/>
        <v>1151.56666666667</v>
      </c>
      <c r="X4982">
        <f t="shared" si="566"/>
        <v>0.987121933141861</v>
      </c>
      <c r="AH4982" t="str">
        <f t="shared" si="565"/>
        <v>3rd Quality</v>
      </c>
      <c r="AJ4982">
        <f>((T4982-X4982)*2)/29.4</f>
        <v>8.4982683492194</v>
      </c>
      <c r="AK4982">
        <f t="shared" si="563"/>
        <v>147568.473333333</v>
      </c>
    </row>
    <row r="4983" spans="1:37">
      <c r="A4983" t="s">
        <v>5049</v>
      </c>
      <c r="B4983">
        <v>28</v>
      </c>
      <c r="C4983" t="s">
        <v>44</v>
      </c>
      <c r="D4983" t="s">
        <v>45</v>
      </c>
      <c r="E4983">
        <v>1237</v>
      </c>
      <c r="F4983">
        <v>55</v>
      </c>
      <c r="G4983">
        <v>11</v>
      </c>
      <c r="H4983">
        <v>1334.2</v>
      </c>
      <c r="I4983">
        <v>16255.36</v>
      </c>
      <c r="J4983">
        <v>63</v>
      </c>
      <c r="K4983">
        <v>1</v>
      </c>
      <c r="L4983">
        <v>28.8</v>
      </c>
      <c r="M4983">
        <v>5.9</v>
      </c>
      <c r="N4983" t="s">
        <v>52</v>
      </c>
      <c r="O4983" t="s">
        <v>47</v>
      </c>
      <c r="P4983" t="s">
        <v>58</v>
      </c>
      <c r="R4983">
        <f>SUMIF(A4983:A9982,"C04982",I4983:I9982)</f>
        <v>16255.36</v>
      </c>
      <c r="S4983" s="1">
        <v>354592</v>
      </c>
      <c r="T4983">
        <f t="shared" si="569"/>
        <v>258.021587301587</v>
      </c>
      <c r="U4983">
        <f t="shared" si="567"/>
        <v>371.7</v>
      </c>
      <c r="V4983">
        <f>U4983*1</f>
        <v>371.7</v>
      </c>
      <c r="W4983">
        <f t="shared" si="568"/>
        <v>5863.52</v>
      </c>
      <c r="X4983">
        <f t="shared" si="566"/>
        <v>0.927147354219757</v>
      </c>
      <c r="AH4983" t="str">
        <f t="shared" si="565"/>
        <v>3rd Quality</v>
      </c>
      <c r="AJ4983">
        <f>((T4983-X4983)*2)/28.8</f>
        <v>17.8537805519005</v>
      </c>
      <c r="AK4983">
        <f t="shared" si="563"/>
        <v>319172.703492064</v>
      </c>
    </row>
    <row r="4984" spans="1:37">
      <c r="A4984" t="s">
        <v>5050</v>
      </c>
      <c r="B4984">
        <v>38</v>
      </c>
      <c r="C4984" t="s">
        <v>50</v>
      </c>
      <c r="D4984" t="s">
        <v>51</v>
      </c>
      <c r="E4984">
        <v>829</v>
      </c>
      <c r="F4984">
        <v>39</v>
      </c>
      <c r="G4984">
        <v>6</v>
      </c>
      <c r="H4984">
        <v>1100.01</v>
      </c>
      <c r="I4984">
        <v>7125.07</v>
      </c>
      <c r="J4984">
        <v>26</v>
      </c>
      <c r="K4984">
        <v>0</v>
      </c>
      <c r="L4984">
        <v>19.8</v>
      </c>
      <c r="M4984">
        <v>30.2</v>
      </c>
      <c r="N4984" t="s">
        <v>81</v>
      </c>
      <c r="O4984" t="s">
        <v>47</v>
      </c>
      <c r="P4984" t="s">
        <v>66</v>
      </c>
      <c r="R4984">
        <f>SUMIF(A4984:A9983,"C04983",I4984:I9983)</f>
        <v>7125.07</v>
      </c>
      <c r="S4984" s="1">
        <v>43428.83</v>
      </c>
      <c r="T4984">
        <f t="shared" si="569"/>
        <v>274.041153846154</v>
      </c>
      <c r="U4984">
        <f t="shared" si="567"/>
        <v>785.2</v>
      </c>
      <c r="V4984">
        <f>U4984/12</f>
        <v>65.4333333333333</v>
      </c>
      <c r="W4984">
        <f t="shared" si="568"/>
        <v>2742.02666666667</v>
      </c>
      <c r="X4984">
        <f t="shared" si="566"/>
        <v>0.753629512458978</v>
      </c>
      <c r="AH4984" t="str">
        <f t="shared" si="565"/>
        <v>3rd Quality</v>
      </c>
      <c r="AJ4984">
        <f>((T4984-X4984)*2)/19.8</f>
        <v>27.604800437747</v>
      </c>
      <c r="AK4984">
        <f t="shared" si="563"/>
        <v>227180.116538462</v>
      </c>
    </row>
    <row r="4985" spans="1:37">
      <c r="A4985" t="s">
        <v>5051</v>
      </c>
      <c r="B4985">
        <v>35</v>
      </c>
      <c r="C4985" t="s">
        <v>50</v>
      </c>
      <c r="D4985" t="s">
        <v>60</v>
      </c>
      <c r="E4985">
        <v>510</v>
      </c>
      <c r="F4985">
        <v>6</v>
      </c>
      <c r="G4985">
        <v>33</v>
      </c>
      <c r="H4985">
        <v>1545.52</v>
      </c>
      <c r="I4985">
        <v>55655.67</v>
      </c>
      <c r="J4985">
        <v>242</v>
      </c>
      <c r="K4985">
        <v>4</v>
      </c>
      <c r="L4985">
        <v>0</v>
      </c>
      <c r="M4985">
        <v>61.6</v>
      </c>
      <c r="N4985" t="s">
        <v>57</v>
      </c>
      <c r="O4985" t="s">
        <v>47</v>
      </c>
      <c r="P4985" t="s">
        <v>68</v>
      </c>
      <c r="R4985">
        <f>SUMIF(A4985:A9984,"C04984",I4985:I9984)</f>
        <v>55655.67</v>
      </c>
      <c r="S4985" s="1">
        <v>1288.6</v>
      </c>
      <c r="T4985">
        <f t="shared" si="569"/>
        <v>229.982107438017</v>
      </c>
      <c r="U4985">
        <f t="shared" si="567"/>
        <v>14907.2</v>
      </c>
      <c r="V4985">
        <f>U4985*4</f>
        <v>59628.8</v>
      </c>
      <c r="W4985">
        <f t="shared" si="568"/>
        <v>19067.3966666667</v>
      </c>
      <c r="X4985">
        <f t="shared" si="566"/>
        <v>0.329986024121331</v>
      </c>
      <c r="AH4985" t="str">
        <f t="shared" si="565"/>
        <v>2nd Quality</v>
      </c>
      <c r="AJ4985">
        <f>((T4985-X4985)*2)</f>
        <v>459.304242827791</v>
      </c>
      <c r="AK4985">
        <f t="shared" si="563"/>
        <v>117290.874793388</v>
      </c>
    </row>
    <row r="4986" spans="1:37">
      <c r="A4986" t="s">
        <v>5052</v>
      </c>
      <c r="B4986">
        <v>37</v>
      </c>
      <c r="C4986" t="s">
        <v>50</v>
      </c>
      <c r="D4986" t="s">
        <v>60</v>
      </c>
      <c r="E4986">
        <v>614</v>
      </c>
      <c r="F4986">
        <v>63</v>
      </c>
      <c r="G4986">
        <v>11</v>
      </c>
      <c r="H4986">
        <v>1066.41</v>
      </c>
      <c r="I4986">
        <v>12329.73</v>
      </c>
      <c r="J4986">
        <v>38</v>
      </c>
      <c r="K4986">
        <v>0</v>
      </c>
      <c r="L4986">
        <v>31.7</v>
      </c>
      <c r="M4986">
        <v>13.7</v>
      </c>
      <c r="N4986" t="s">
        <v>61</v>
      </c>
      <c r="O4986" t="s">
        <v>47</v>
      </c>
      <c r="P4986" t="s">
        <v>58</v>
      </c>
      <c r="R4986">
        <f>SUMIF(A4986:A9985,"C04985",I4986:I9985)</f>
        <v>12329.73</v>
      </c>
      <c r="S4986" s="1">
        <v>72052.55</v>
      </c>
      <c r="T4986">
        <f t="shared" si="569"/>
        <v>324.466578947368</v>
      </c>
      <c r="U4986">
        <f t="shared" si="567"/>
        <v>520.6</v>
      </c>
      <c r="V4986">
        <f>U4986/12</f>
        <v>43.3833333333333</v>
      </c>
      <c r="W4986">
        <f t="shared" si="568"/>
        <v>4465.71333333333</v>
      </c>
      <c r="X4986">
        <f t="shared" si="566"/>
        <v>0.575763543102559</v>
      </c>
      <c r="AH4986" t="str">
        <f t="shared" si="565"/>
        <v>3rd Quality</v>
      </c>
      <c r="AJ4986">
        <f>((T4986-X4986)*2)/31.7</f>
        <v>20.4347517605215</v>
      </c>
      <c r="AK4986">
        <f t="shared" si="563"/>
        <v>199222.479473684</v>
      </c>
    </row>
    <row r="4987" spans="1:37">
      <c r="A4987" t="s">
        <v>5053</v>
      </c>
      <c r="B4987">
        <v>45</v>
      </c>
      <c r="C4987" t="s">
        <v>44</v>
      </c>
      <c r="D4987" t="s">
        <v>51</v>
      </c>
      <c r="E4987">
        <v>1087</v>
      </c>
      <c r="F4987">
        <v>26</v>
      </c>
      <c r="G4987">
        <v>11</v>
      </c>
      <c r="H4987">
        <v>894.17</v>
      </c>
      <c r="I4987">
        <v>10197.63</v>
      </c>
      <c r="J4987">
        <v>53</v>
      </c>
      <c r="K4987">
        <v>0</v>
      </c>
      <c r="L4987">
        <v>34.4</v>
      </c>
      <c r="M4987">
        <v>2</v>
      </c>
      <c r="N4987" t="s">
        <v>63</v>
      </c>
      <c r="O4987" t="s">
        <v>75</v>
      </c>
      <c r="P4987" t="s">
        <v>58</v>
      </c>
      <c r="R4987">
        <f>SUMIF(A4987:A9986,"C04986",I4987:I9986)</f>
        <v>10197.63</v>
      </c>
      <c r="S4987" s="1">
        <v>70214.66</v>
      </c>
      <c r="T4987">
        <f t="shared" si="569"/>
        <v>192.408113207547</v>
      </c>
      <c r="U4987">
        <f t="shared" si="567"/>
        <v>106</v>
      </c>
      <c r="V4987">
        <f>U4987/12</f>
        <v>8.83333333333333</v>
      </c>
      <c r="W4987">
        <f t="shared" si="568"/>
        <v>3697.6</v>
      </c>
      <c r="X4987">
        <f t="shared" si="566"/>
        <v>1.2156525045573</v>
      </c>
      <c r="AH4987" t="str">
        <f t="shared" si="565"/>
        <v>3rd Quality</v>
      </c>
      <c r="AJ4987">
        <f>((T4987-X4987)*2)/34.4</f>
        <v>11.1158407385459</v>
      </c>
      <c r="AK4987">
        <f t="shared" si="563"/>
        <v>209147.619056604</v>
      </c>
    </row>
    <row r="4988" spans="1:37">
      <c r="A4988" t="s">
        <v>5054</v>
      </c>
      <c r="B4988">
        <v>20</v>
      </c>
      <c r="C4988" t="s">
        <v>50</v>
      </c>
      <c r="D4988" t="s">
        <v>60</v>
      </c>
      <c r="E4988">
        <v>1008</v>
      </c>
      <c r="F4988">
        <v>14</v>
      </c>
      <c r="G4988">
        <v>3</v>
      </c>
      <c r="H4988">
        <v>10787.76</v>
      </c>
      <c r="I4988">
        <v>354592</v>
      </c>
      <c r="J4988">
        <v>30</v>
      </c>
      <c r="K4988">
        <v>0</v>
      </c>
      <c r="L4988">
        <v>1.1</v>
      </c>
      <c r="M4988">
        <v>42.9</v>
      </c>
      <c r="N4988" t="s">
        <v>61</v>
      </c>
      <c r="O4988" t="s">
        <v>75</v>
      </c>
      <c r="P4988" t="s">
        <v>66</v>
      </c>
      <c r="R4988">
        <f>SUMIF(A4988:A9987,"C04987",I4988:I9987)</f>
        <v>354592</v>
      </c>
      <c r="S4988" s="1">
        <v>2425.93</v>
      </c>
      <c r="T4988">
        <f t="shared" si="569"/>
        <v>11819.7333333333</v>
      </c>
      <c r="U4988">
        <f t="shared" si="567"/>
        <v>1287</v>
      </c>
      <c r="V4988">
        <f>U4988/12</f>
        <v>107.25</v>
      </c>
      <c r="W4988">
        <f t="shared" si="568"/>
        <v>121793.586666667</v>
      </c>
      <c r="X4988">
        <f t="shared" si="566"/>
        <v>0.0934392311286124</v>
      </c>
      <c r="AH4988" t="str">
        <f t="shared" si="565"/>
        <v>1st Quality</v>
      </c>
      <c r="AJ4988">
        <f>((T4988-X4988)*2)/1.1</f>
        <v>21490.254352913</v>
      </c>
      <c r="AK4988">
        <f t="shared" si="563"/>
        <v>11914291.2</v>
      </c>
    </row>
    <row r="4989" spans="1:37">
      <c r="A4989" t="s">
        <v>5055</v>
      </c>
      <c r="B4989">
        <v>18</v>
      </c>
      <c r="C4989" t="s">
        <v>44</v>
      </c>
      <c r="D4989" t="s">
        <v>60</v>
      </c>
      <c r="E4989">
        <v>470</v>
      </c>
      <c r="F4989">
        <v>17</v>
      </c>
      <c r="G4989">
        <v>25</v>
      </c>
      <c r="H4989">
        <v>1721.51</v>
      </c>
      <c r="I4989">
        <v>43428.83</v>
      </c>
      <c r="J4989">
        <v>105</v>
      </c>
      <c r="K4989">
        <v>1</v>
      </c>
      <c r="L4989">
        <v>21.8</v>
      </c>
      <c r="M4989">
        <v>48.7</v>
      </c>
      <c r="N4989" t="s">
        <v>52</v>
      </c>
      <c r="O4989" t="s">
        <v>75</v>
      </c>
      <c r="P4989" t="s">
        <v>68</v>
      </c>
      <c r="R4989">
        <f>SUMIF(A4989:A9988,"C04988",I4989:I9988)</f>
        <v>43428.83</v>
      </c>
      <c r="S4989" s="1">
        <v>3374.68</v>
      </c>
      <c r="T4989">
        <f t="shared" si="569"/>
        <v>413.607904761905</v>
      </c>
      <c r="U4989">
        <f t="shared" si="567"/>
        <v>5113.5</v>
      </c>
      <c r="V4989">
        <f>U4989*1</f>
        <v>5113.5</v>
      </c>
      <c r="W4989">
        <f t="shared" si="568"/>
        <v>15050.4466666667</v>
      </c>
      <c r="X4989">
        <f t="shared" si="566"/>
        <v>0.273016131187155</v>
      </c>
      <c r="AH4989" t="str">
        <f t="shared" si="565"/>
        <v>2nd Quality</v>
      </c>
      <c r="AJ4989">
        <f>((T4989-X4989)*2)/21.8</f>
        <v>37.9206319844695</v>
      </c>
      <c r="AK4989">
        <f t="shared" si="563"/>
        <v>194395.715238095</v>
      </c>
    </row>
    <row r="4990" spans="1:37">
      <c r="A4990" t="s">
        <v>5056</v>
      </c>
      <c r="B4990">
        <v>24</v>
      </c>
      <c r="C4990" t="s">
        <v>44</v>
      </c>
      <c r="D4990" t="s">
        <v>45</v>
      </c>
      <c r="E4990">
        <v>1309</v>
      </c>
      <c r="F4990">
        <v>103</v>
      </c>
      <c r="G4990">
        <v>1</v>
      </c>
      <c r="H4990">
        <v>1171.63</v>
      </c>
      <c r="I4990">
        <v>1288.6</v>
      </c>
      <c r="J4990">
        <v>16</v>
      </c>
      <c r="K4990">
        <v>0</v>
      </c>
      <c r="L4990">
        <v>5.2</v>
      </c>
      <c r="M4990">
        <v>34.3</v>
      </c>
      <c r="N4990" t="s">
        <v>63</v>
      </c>
      <c r="O4990" t="s">
        <v>53</v>
      </c>
      <c r="P4990" t="s">
        <v>54</v>
      </c>
      <c r="R4990">
        <f>SUMIF(A4990:A9989,"C04989",I4990:I9989)</f>
        <v>1288.6</v>
      </c>
      <c r="S4990" s="1">
        <v>10153.52</v>
      </c>
      <c r="T4990">
        <f t="shared" si="569"/>
        <v>80.5375</v>
      </c>
      <c r="U4990">
        <f t="shared" si="567"/>
        <v>548.8</v>
      </c>
      <c r="V4990">
        <f t="shared" ref="V4989:V4996" si="570">U4990/12</f>
        <v>45.7333333333333</v>
      </c>
      <c r="W4990">
        <f t="shared" si="568"/>
        <v>820.41</v>
      </c>
      <c r="X4990">
        <f t="shared" si="566"/>
        <v>1.11724691242116</v>
      </c>
      <c r="AH4990" t="str">
        <f t="shared" si="565"/>
        <v>3rd Quality</v>
      </c>
      <c r="AJ4990">
        <f>((T4990-X4990)*2)/5.2</f>
        <v>30.5462511875303</v>
      </c>
      <c r="AK4990">
        <f t="shared" si="563"/>
        <v>105423.5875</v>
      </c>
    </row>
    <row r="4991" spans="1:37">
      <c r="A4991" t="s">
        <v>5057</v>
      </c>
      <c r="B4991">
        <v>33</v>
      </c>
      <c r="C4991" t="s">
        <v>50</v>
      </c>
      <c r="D4991" t="s">
        <v>45</v>
      </c>
      <c r="E4991">
        <v>397</v>
      </c>
      <c r="F4991">
        <v>16</v>
      </c>
      <c r="G4991">
        <v>28</v>
      </c>
      <c r="H4991">
        <v>2626.77</v>
      </c>
      <c r="I4991">
        <v>72052.55</v>
      </c>
      <c r="J4991">
        <v>231</v>
      </c>
      <c r="K4991">
        <v>8</v>
      </c>
      <c r="L4991">
        <v>11</v>
      </c>
      <c r="M4991">
        <v>62.6</v>
      </c>
      <c r="N4991" t="s">
        <v>46</v>
      </c>
      <c r="O4991" t="s">
        <v>47</v>
      </c>
      <c r="P4991" t="s">
        <v>66</v>
      </c>
      <c r="R4991">
        <f>SUMIF(A4991:A9990,"C04990",I4991:I9990)</f>
        <v>72052.55</v>
      </c>
      <c r="S4991" s="1">
        <v>56650.09</v>
      </c>
      <c r="T4991">
        <f t="shared" si="569"/>
        <v>311.915800865801</v>
      </c>
      <c r="U4991">
        <f t="shared" si="567"/>
        <v>14460.6</v>
      </c>
      <c r="V4991">
        <f>U4991*8</f>
        <v>115684.8</v>
      </c>
      <c r="W4991">
        <f t="shared" si="568"/>
        <v>24893.44</v>
      </c>
      <c r="X4991">
        <f t="shared" si="566"/>
        <v>0.151136186266784</v>
      </c>
      <c r="AH4991" t="str">
        <f t="shared" si="565"/>
        <v>3rd Quality</v>
      </c>
      <c r="AJ4991">
        <f>((T4991-X4991)*2)/11</f>
        <v>56.684484487188</v>
      </c>
      <c r="AK4991">
        <f t="shared" si="563"/>
        <v>123830.572943723</v>
      </c>
    </row>
    <row r="4992" spans="1:37">
      <c r="A4992" t="s">
        <v>5058</v>
      </c>
      <c r="B4992">
        <v>35</v>
      </c>
      <c r="C4992" t="s">
        <v>50</v>
      </c>
      <c r="D4992" t="s">
        <v>60</v>
      </c>
      <c r="E4992">
        <v>883</v>
      </c>
      <c r="F4992">
        <v>10</v>
      </c>
      <c r="G4992">
        <v>16</v>
      </c>
      <c r="H4992">
        <v>4287.96</v>
      </c>
      <c r="I4992">
        <v>70214.66</v>
      </c>
      <c r="J4992">
        <v>138</v>
      </c>
      <c r="K4992">
        <v>0</v>
      </c>
      <c r="L4992">
        <v>7.8</v>
      </c>
      <c r="M4992">
        <v>45.7</v>
      </c>
      <c r="N4992" t="s">
        <v>61</v>
      </c>
      <c r="O4992" t="s">
        <v>47</v>
      </c>
      <c r="P4992" t="s">
        <v>58</v>
      </c>
      <c r="R4992">
        <f>SUMIF(A4992:A9991,"C04991",I4992:I9991)</f>
        <v>70214.66</v>
      </c>
      <c r="S4992" s="1">
        <v>7097.42</v>
      </c>
      <c r="T4992">
        <f t="shared" si="569"/>
        <v>508.801884057971</v>
      </c>
      <c r="U4992">
        <f t="shared" si="567"/>
        <v>6306.6</v>
      </c>
      <c r="V4992">
        <f t="shared" si="570"/>
        <v>525.55</v>
      </c>
      <c r="W4992">
        <f t="shared" si="568"/>
        <v>24834.54</v>
      </c>
      <c r="X4992">
        <f t="shared" si="566"/>
        <v>0.205925428408847</v>
      </c>
      <c r="AH4992" t="str">
        <f t="shared" si="565"/>
        <v>2nd Quality</v>
      </c>
      <c r="AJ4992">
        <f>((T4992-X4992)*2)/7.8</f>
        <v>130.409220161426</v>
      </c>
      <c r="AK4992">
        <f t="shared" si="563"/>
        <v>449272.063623188</v>
      </c>
    </row>
    <row r="4993" spans="1:37">
      <c r="A4993" t="s">
        <v>5059</v>
      </c>
      <c r="B4993">
        <v>26</v>
      </c>
      <c r="C4993" t="s">
        <v>50</v>
      </c>
      <c r="D4993" t="s">
        <v>60</v>
      </c>
      <c r="E4993">
        <v>585</v>
      </c>
      <c r="F4993">
        <v>100</v>
      </c>
      <c r="G4993">
        <v>1</v>
      </c>
      <c r="H4993">
        <v>2442.53</v>
      </c>
      <c r="I4993">
        <v>2425.93</v>
      </c>
      <c r="J4993">
        <v>17</v>
      </c>
      <c r="K4993">
        <v>0</v>
      </c>
      <c r="L4993">
        <v>19.6</v>
      </c>
      <c r="M4993">
        <v>47.7</v>
      </c>
      <c r="N4993" t="s">
        <v>78</v>
      </c>
      <c r="O4993" t="s">
        <v>47</v>
      </c>
      <c r="P4993" t="s">
        <v>54</v>
      </c>
      <c r="R4993">
        <f>SUMIF(A4993:A9992,"C04992",I4993:I9992)</f>
        <v>2425.93</v>
      </c>
      <c r="S4993" s="1">
        <v>46168.26</v>
      </c>
      <c r="T4993">
        <f t="shared" si="569"/>
        <v>142.701764705882</v>
      </c>
      <c r="U4993">
        <f t="shared" si="567"/>
        <v>810.9</v>
      </c>
      <c r="V4993">
        <f t="shared" si="570"/>
        <v>67.575</v>
      </c>
      <c r="W4993">
        <f t="shared" si="568"/>
        <v>1623.15333333333</v>
      </c>
      <c r="X4993">
        <f t="shared" si="566"/>
        <v>0.23950575837349</v>
      </c>
      <c r="AH4993" t="str">
        <f t="shared" si="565"/>
        <v>3rd Quality</v>
      </c>
      <c r="AJ4993">
        <f>((T4993-X4993)*2)/19.6</f>
        <v>14.5369651987254</v>
      </c>
      <c r="AK4993">
        <f t="shared" si="563"/>
        <v>83480.5323529412</v>
      </c>
    </row>
    <row r="4994" spans="1:37">
      <c r="A4994" t="s">
        <v>5060</v>
      </c>
      <c r="B4994">
        <v>33</v>
      </c>
      <c r="C4994" t="s">
        <v>44</v>
      </c>
      <c r="D4994" t="s">
        <v>51</v>
      </c>
      <c r="E4994">
        <v>559</v>
      </c>
      <c r="F4994">
        <v>41</v>
      </c>
      <c r="G4994">
        <v>4</v>
      </c>
      <c r="H4994">
        <v>953.76</v>
      </c>
      <c r="I4994">
        <v>3374.68</v>
      </c>
      <c r="J4994">
        <v>23</v>
      </c>
      <c r="K4994">
        <v>0</v>
      </c>
      <c r="L4994">
        <v>27.3</v>
      </c>
      <c r="M4994">
        <v>38.3</v>
      </c>
      <c r="N4994" t="s">
        <v>46</v>
      </c>
      <c r="O4994" t="s">
        <v>47</v>
      </c>
      <c r="P4994" t="s">
        <v>48</v>
      </c>
      <c r="R4994">
        <f>SUMIF(A4994:A9993,"C04993",I4994:I9993)</f>
        <v>3374.68</v>
      </c>
      <c r="S4994" s="1">
        <v>31886.96</v>
      </c>
      <c r="T4994">
        <f t="shared" si="569"/>
        <v>146.725217391304</v>
      </c>
      <c r="U4994">
        <f t="shared" si="567"/>
        <v>880.9</v>
      </c>
      <c r="V4994">
        <f t="shared" si="570"/>
        <v>73.4083333333333</v>
      </c>
      <c r="W4994">
        <f t="shared" si="568"/>
        <v>1443.14666666667</v>
      </c>
      <c r="X4994">
        <f t="shared" si="566"/>
        <v>0.586101325280993</v>
      </c>
      <c r="AH4994" t="str">
        <f t="shared" si="565"/>
        <v>3rd Quality</v>
      </c>
      <c r="AJ4994">
        <f>((T4994-X4994)*2)/27.3</f>
        <v>10.7061623491592</v>
      </c>
      <c r="AK4994">
        <f t="shared" si="563"/>
        <v>82019.3965217391</v>
      </c>
    </row>
    <row r="4995" spans="1:37">
      <c r="A4995" t="s">
        <v>5061</v>
      </c>
      <c r="B4995">
        <v>25</v>
      </c>
      <c r="C4995" t="s">
        <v>44</v>
      </c>
      <c r="D4995" t="s">
        <v>45</v>
      </c>
      <c r="E4995">
        <v>909</v>
      </c>
      <c r="F4995">
        <v>39</v>
      </c>
      <c r="G4995">
        <v>12</v>
      </c>
      <c r="H4995">
        <v>91202</v>
      </c>
      <c r="I4995">
        <v>10153.52</v>
      </c>
      <c r="J4995">
        <v>89</v>
      </c>
      <c r="K4995">
        <v>1</v>
      </c>
      <c r="L4995">
        <v>21.8</v>
      </c>
      <c r="M4995">
        <v>23.5</v>
      </c>
      <c r="N4995" t="s">
        <v>57</v>
      </c>
      <c r="O4995" t="s">
        <v>53</v>
      </c>
      <c r="P4995" t="s">
        <v>66</v>
      </c>
      <c r="R4995">
        <f>SUMIF(A4995:A9994,"C04994",I4995:I9994)</f>
        <v>10153.52</v>
      </c>
      <c r="S4995" s="1">
        <v>6606.62</v>
      </c>
      <c r="T4995">
        <f t="shared" si="569"/>
        <v>114.084494382022</v>
      </c>
      <c r="U4995">
        <f t="shared" si="567"/>
        <v>2091.5</v>
      </c>
      <c r="V4995">
        <f>U4995*1</f>
        <v>2091.5</v>
      </c>
      <c r="W4995">
        <f t="shared" si="568"/>
        <v>33785.5066666667</v>
      </c>
      <c r="X4995">
        <f t="shared" si="566"/>
        <v>0.00996688669108134</v>
      </c>
      <c r="AH4995" t="str">
        <f t="shared" si="565"/>
        <v>2nd Quality</v>
      </c>
      <c r="AJ4995">
        <f>((T4995-X4995)*2)/21.8</f>
        <v>10.465552981223</v>
      </c>
      <c r="AK4995">
        <f>I4995/J4995*E4995</f>
        <v>103702.805393258</v>
      </c>
    </row>
    <row r="4996" spans="1:37">
      <c r="A4996" t="s">
        <v>5062</v>
      </c>
      <c r="B4996">
        <v>18</v>
      </c>
      <c r="C4996" t="s">
        <v>44</v>
      </c>
      <c r="D4996" t="s">
        <v>51</v>
      </c>
      <c r="E4996">
        <v>726</v>
      </c>
      <c r="F4996">
        <v>20</v>
      </c>
      <c r="G4996">
        <v>7</v>
      </c>
      <c r="H4996">
        <v>7339.23</v>
      </c>
      <c r="I4996">
        <v>56650.09</v>
      </c>
      <c r="J4996">
        <v>53</v>
      </c>
      <c r="K4996">
        <v>2</v>
      </c>
      <c r="L4996">
        <v>0</v>
      </c>
      <c r="M4996">
        <v>62.3</v>
      </c>
      <c r="N4996" t="s">
        <v>52</v>
      </c>
      <c r="O4996" t="s">
        <v>47</v>
      </c>
      <c r="P4996" t="s">
        <v>58</v>
      </c>
      <c r="R4996">
        <f>SUMIF(A4996:A9995,"C04995",I4996:I9995)</f>
        <v>56650.09</v>
      </c>
      <c r="T4996">
        <f t="shared" si="569"/>
        <v>1068.86962264151</v>
      </c>
      <c r="U4996">
        <f t="shared" si="567"/>
        <v>3301.9</v>
      </c>
      <c r="V4996">
        <f>U4996*2</f>
        <v>6603.8</v>
      </c>
      <c r="W4996">
        <f t="shared" si="568"/>
        <v>21330.1066666667</v>
      </c>
      <c r="X4996">
        <f t="shared" si="566"/>
        <v>0.0989204589582286</v>
      </c>
      <c r="AH4996" t="str">
        <f t="shared" si="565"/>
        <v>2nd Quality</v>
      </c>
      <c r="AJ4996">
        <f>((T4996-X4996)*2)</f>
        <v>2137.5414043651</v>
      </c>
      <c r="AK4996">
        <f>I4996/J4996*E4996</f>
        <v>775999.346037736</v>
      </c>
    </row>
    <row r="4997" hidden="1" spans="1:37">
      <c r="A4997" t="s">
        <v>5063</v>
      </c>
      <c r="B4997">
        <v>19</v>
      </c>
      <c r="C4997" t="s">
        <v>44</v>
      </c>
      <c r="D4997" t="s">
        <v>60</v>
      </c>
      <c r="E4997">
        <v>862</v>
      </c>
      <c r="F4997">
        <v>93</v>
      </c>
      <c r="G4997">
        <v>4</v>
      </c>
      <c r="H4997">
        <v>1733.54</v>
      </c>
      <c r="I4997">
        <v>7097.42</v>
      </c>
      <c r="J4997">
        <v>38</v>
      </c>
      <c r="K4997">
        <v>0</v>
      </c>
      <c r="L4997">
        <v>26.7</v>
      </c>
      <c r="M4997">
        <v>40.7</v>
      </c>
      <c r="N4997" t="s">
        <v>46</v>
      </c>
      <c r="O4997" t="s">
        <v>53</v>
      </c>
      <c r="P4997" t="s">
        <v>58</v>
      </c>
      <c r="R4997">
        <f>SUMIF(A4997:A9996,"C04996",I4997:I9996)</f>
        <v>7097.42</v>
      </c>
      <c r="S4997"/>
    </row>
    <row r="4998" hidden="1" spans="1:37">
      <c r="A4998" t="s">
        <v>5064</v>
      </c>
      <c r="B4998">
        <v>40</v>
      </c>
      <c r="C4998" t="s">
        <v>50</v>
      </c>
      <c r="D4998" t="s">
        <v>60</v>
      </c>
      <c r="E4998">
        <v>1401</v>
      </c>
      <c r="F4998">
        <v>3</v>
      </c>
      <c r="G4998">
        <v>27</v>
      </c>
      <c r="H4998">
        <v>1918.74</v>
      </c>
      <c r="I4998">
        <v>46168.26</v>
      </c>
      <c r="J4998">
        <v>200</v>
      </c>
      <c r="K4998">
        <v>0</v>
      </c>
      <c r="L4998">
        <v>4.2</v>
      </c>
      <c r="M4998">
        <v>41.3</v>
      </c>
      <c r="N4998" t="s">
        <v>57</v>
      </c>
      <c r="O4998" t="s">
        <v>75</v>
      </c>
      <c r="P4998" t="s">
        <v>58</v>
      </c>
      <c r="R4998">
        <f>SUMIF(A4998:A9997,"C04997",I4998:I9997)</f>
        <v>46168.26</v>
      </c>
      <c r="S4998"/>
    </row>
    <row r="4999" hidden="1" spans="1:37">
      <c r="A4999" t="s">
        <v>5065</v>
      </c>
      <c r="B4999">
        <v>18</v>
      </c>
      <c r="C4999" t="s">
        <v>44</v>
      </c>
      <c r="D4999" t="s">
        <v>60</v>
      </c>
      <c r="E4999">
        <v>1216</v>
      </c>
      <c r="F4999">
        <v>73</v>
      </c>
      <c r="G4999">
        <v>14</v>
      </c>
      <c r="H4999">
        <v>2047.99</v>
      </c>
      <c r="I4999">
        <v>31886.96</v>
      </c>
      <c r="J4999">
        <v>58</v>
      </c>
      <c r="K4999">
        <v>0</v>
      </c>
      <c r="L4999">
        <v>19.5</v>
      </c>
      <c r="M4999">
        <v>6.6</v>
      </c>
      <c r="N4999" t="s">
        <v>81</v>
      </c>
      <c r="O4999" t="s">
        <v>53</v>
      </c>
      <c r="P4999" t="s">
        <v>58</v>
      </c>
      <c r="R4999">
        <f>SUMIF(A4999:A9998,"C04998",I4999:I9998)</f>
        <v>31886.96</v>
      </c>
      <c r="S4999"/>
    </row>
    <row r="5000" hidden="1" spans="1:37">
      <c r="A5000" t="s">
        <v>5066</v>
      </c>
      <c r="B5000">
        <v>45</v>
      </c>
      <c r="C5000" t="s">
        <v>44</v>
      </c>
      <c r="D5000" t="s">
        <v>51</v>
      </c>
      <c r="E5000">
        <v>725</v>
      </c>
      <c r="F5000">
        <v>77</v>
      </c>
      <c r="G5000">
        <v>4</v>
      </c>
      <c r="H5000">
        <v>1497.8</v>
      </c>
      <c r="I5000">
        <v>6606.62</v>
      </c>
      <c r="J5000">
        <v>31</v>
      </c>
      <c r="K5000">
        <v>0</v>
      </c>
      <c r="L5000">
        <v>32.1</v>
      </c>
      <c r="M5000">
        <v>32.1</v>
      </c>
      <c r="N5000" t="s">
        <v>78</v>
      </c>
      <c r="O5000" t="s">
        <v>47</v>
      </c>
      <c r="P5000" t="s">
        <v>58</v>
      </c>
      <c r="R5000">
        <f>SUMIF(A5000:A9999,"C04999",I5000:I9999)</f>
        <v>6606.62</v>
      </c>
      <c r="S5000"/>
    </row>
    <row r="5001" hidden="1" spans="1:37">
      <c r="A5001" t="s">
        <v>5067</v>
      </c>
      <c r="B5001">
        <v>34</v>
      </c>
      <c r="C5001" t="s">
        <v>50</v>
      </c>
      <c r="D5001" t="s">
        <v>45</v>
      </c>
      <c r="E5001">
        <v>941</v>
      </c>
      <c r="F5001">
        <v>40</v>
      </c>
      <c r="G5001">
        <v>2</v>
      </c>
      <c r="H5001">
        <v>9059.05</v>
      </c>
      <c r="I5001">
        <v>19039.91</v>
      </c>
      <c r="J5001">
        <v>20</v>
      </c>
      <c r="K5001">
        <v>0</v>
      </c>
      <c r="L5001">
        <v>1.4</v>
      </c>
      <c r="M5001">
        <v>29.8</v>
      </c>
      <c r="N5001" t="s">
        <v>81</v>
      </c>
      <c r="O5001" t="s">
        <v>53</v>
      </c>
      <c r="P5001" t="s">
        <v>58</v>
      </c>
      <c r="R5001">
        <f>SUMIF(A5001:A10000,"C05000",I5001:I10000)</f>
        <v>19039.91</v>
      </c>
      <c r="S500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ecommerce_customer_segmentation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Rumanty Debnath</cp:lastModifiedBy>
  <dcterms:created xsi:type="dcterms:W3CDTF">2026-09-24T13:03:00Z</dcterms:created>
  <dcterms:modified xsi:type="dcterms:W3CDTF">2026-10-05T16:19:23Z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7D7800D69980431A9737512B20287456_13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