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showInkAnnotation="0" autoCompressPictures="0"/>
  <mc:AlternateContent xmlns:mc="http://schemas.openxmlformats.org/markup-compatibility/2006">
    <mc:Choice Requires="x15">
      <x15ac:absPath xmlns:x15ac="http://schemas.microsoft.com/office/spreadsheetml/2010/11/ac" url="C:\Users\TSP Ulysse\Desktop\"/>
    </mc:Choice>
  </mc:AlternateContent>
  <bookViews>
    <workbookView xWindow="0" yWindow="0" windowWidth="19200" windowHeight="7350"/>
  </bookViews>
  <sheets>
    <sheet name="Sources" sheetId="48" r:id="rId1"/>
    <sheet name="Hypothesis" sheetId="47" r:id="rId2"/>
    <sheet name=" 1  Expected Updated" sheetId="37" r:id="rId3"/>
    <sheet name="2 Higher Growth Higher EE" sheetId="32" r:id="rId4"/>
    <sheet name="3  Superior Growth Peaked EE" sheetId="36" r:id="rId5"/>
    <sheet name="4  Sobriety" sheetId="40" r:id="rId6"/>
    <sheet name="DATA 1" sheetId="44" r:id="rId7"/>
    <sheet name="DATA 2" sheetId="34" r:id="rId8"/>
    <sheet name="DATA 3" sheetId="45" r:id="rId9"/>
    <sheet name="DATA 4" sheetId="46" r:id="rId10"/>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5" i="40" l="1"/>
  <c r="D85" i="40"/>
  <c r="E85" i="40"/>
  <c r="F85" i="40"/>
  <c r="G85" i="40"/>
  <c r="H85" i="40"/>
  <c r="I85" i="40"/>
  <c r="C83" i="40"/>
  <c r="D83" i="40"/>
  <c r="E83" i="40"/>
  <c r="F83" i="40"/>
  <c r="G83" i="40"/>
  <c r="H83" i="40"/>
  <c r="I83" i="40"/>
  <c r="B83" i="40"/>
  <c r="B85" i="40"/>
  <c r="C85" i="36"/>
  <c r="D85" i="36"/>
  <c r="E85" i="36"/>
  <c r="F85" i="36"/>
  <c r="G85" i="36"/>
  <c r="H85" i="36"/>
  <c r="I85" i="36"/>
  <c r="C83" i="36"/>
  <c r="D83" i="36"/>
  <c r="E83" i="36"/>
  <c r="F83" i="36"/>
  <c r="G83" i="36"/>
  <c r="H83" i="36"/>
  <c r="I83" i="36"/>
  <c r="B85" i="36"/>
  <c r="B83" i="36"/>
  <c r="C85" i="32"/>
  <c r="D85" i="32"/>
  <c r="E85" i="32"/>
  <c r="F85" i="32"/>
  <c r="G85" i="32"/>
  <c r="H85" i="32"/>
  <c r="I85" i="32"/>
  <c r="C83" i="32"/>
  <c r="D83" i="32"/>
  <c r="E83" i="32"/>
  <c r="F83" i="32"/>
  <c r="G83" i="32"/>
  <c r="H83" i="32"/>
  <c r="I83" i="32"/>
  <c r="B85" i="32"/>
  <c r="B83" i="32"/>
  <c r="D12" i="46" l="1"/>
  <c r="C12" i="46"/>
  <c r="B12" i="46"/>
  <c r="F11" i="46"/>
  <c r="G11" i="46" s="1"/>
  <c r="E11" i="46"/>
  <c r="E12" i="46" s="1"/>
  <c r="G10" i="46"/>
  <c r="D10" i="46"/>
  <c r="C10" i="46"/>
  <c r="B10" i="46"/>
  <c r="E9" i="46"/>
  <c r="F9" i="46" s="1"/>
  <c r="F10" i="46" s="1"/>
  <c r="F8" i="46"/>
  <c r="G8" i="46" s="1"/>
  <c r="H8" i="46" s="1"/>
  <c r="I8" i="46" s="1"/>
  <c r="D12" i="45"/>
  <c r="C12" i="45"/>
  <c r="B12" i="45"/>
  <c r="F11" i="45"/>
  <c r="G11" i="45" s="1"/>
  <c r="E11" i="45"/>
  <c r="E12" i="45" s="1"/>
  <c r="G10" i="45"/>
  <c r="E10" i="45"/>
  <c r="D10" i="45"/>
  <c r="C10" i="45"/>
  <c r="B10" i="45"/>
  <c r="F9" i="45"/>
  <c r="F10" i="45" s="1"/>
  <c r="E9" i="45"/>
  <c r="G8" i="45"/>
  <c r="H8" i="45" s="1"/>
  <c r="I8" i="45" s="1"/>
  <c r="F8" i="45"/>
  <c r="D12" i="34"/>
  <c r="C12" i="34"/>
  <c r="B12" i="34"/>
  <c r="E11" i="34"/>
  <c r="F11" i="34" s="1"/>
  <c r="G10" i="34"/>
  <c r="D10" i="34"/>
  <c r="C10" i="34"/>
  <c r="B10" i="34"/>
  <c r="E9" i="34"/>
  <c r="E10" i="34" s="1"/>
  <c r="F8" i="34"/>
  <c r="G8" i="34" s="1"/>
  <c r="H8" i="34" s="1"/>
  <c r="I8" i="34" s="1"/>
  <c r="E10" i="46" l="1"/>
  <c r="H11" i="46"/>
  <c r="G12" i="46"/>
  <c r="F12" i="46"/>
  <c r="H11" i="45"/>
  <c r="G12" i="45"/>
  <c r="F12" i="45"/>
  <c r="G11" i="34"/>
  <c r="F12" i="34"/>
  <c r="E12" i="34"/>
  <c r="F9" i="34"/>
  <c r="F10" i="34" s="1"/>
  <c r="I73" i="40"/>
  <c r="I36" i="40" s="1"/>
  <c r="H73" i="40"/>
  <c r="G73" i="40"/>
  <c r="G36" i="40" s="1"/>
  <c r="F73" i="40"/>
  <c r="F36" i="40" s="1"/>
  <c r="E73" i="40"/>
  <c r="E36" i="40" s="1"/>
  <c r="D73" i="40"/>
  <c r="D81" i="40" s="1"/>
  <c r="I72" i="40"/>
  <c r="H72" i="40"/>
  <c r="G72" i="40"/>
  <c r="F72" i="40"/>
  <c r="E72" i="40"/>
  <c r="D72" i="40"/>
  <c r="C72" i="40"/>
  <c r="B72" i="40"/>
  <c r="I71" i="40"/>
  <c r="H71" i="40"/>
  <c r="G71" i="40"/>
  <c r="F71" i="40"/>
  <c r="E71" i="40"/>
  <c r="D71" i="40"/>
  <c r="C71" i="40"/>
  <c r="B71" i="40"/>
  <c r="I70" i="40"/>
  <c r="I35" i="40" s="1"/>
  <c r="H70" i="40"/>
  <c r="G70" i="40"/>
  <c r="F70" i="40"/>
  <c r="E70" i="40"/>
  <c r="D70" i="40"/>
  <c r="C70" i="40"/>
  <c r="C80" i="40" s="1"/>
  <c r="B70" i="40"/>
  <c r="I66" i="40"/>
  <c r="H66" i="40"/>
  <c r="G66" i="40"/>
  <c r="F66" i="40"/>
  <c r="E66" i="40"/>
  <c r="D66" i="40"/>
  <c r="C66" i="40"/>
  <c r="I64" i="40"/>
  <c r="H64" i="40"/>
  <c r="G64" i="40"/>
  <c r="F64" i="40"/>
  <c r="E64" i="40"/>
  <c r="D64" i="40"/>
  <c r="C64" i="40"/>
  <c r="G63" i="40"/>
  <c r="I62" i="40"/>
  <c r="H62" i="40"/>
  <c r="G62" i="40"/>
  <c r="F62" i="40"/>
  <c r="E62" i="40"/>
  <c r="D62" i="40"/>
  <c r="C62" i="40"/>
  <c r="I61" i="40"/>
  <c r="H61" i="40"/>
  <c r="G61" i="40"/>
  <c r="F61" i="40"/>
  <c r="E61" i="40"/>
  <c r="D61" i="40"/>
  <c r="C61" i="40"/>
  <c r="B66" i="40"/>
  <c r="B64" i="40"/>
  <c r="B62" i="40"/>
  <c r="B61" i="40"/>
  <c r="I56" i="40"/>
  <c r="H56" i="40"/>
  <c r="I55" i="40"/>
  <c r="H55" i="40"/>
  <c r="I54" i="40"/>
  <c r="H54" i="40"/>
  <c r="I53" i="40"/>
  <c r="H53" i="40"/>
  <c r="I52" i="40"/>
  <c r="H52" i="40"/>
  <c r="I51" i="40"/>
  <c r="H51" i="40"/>
  <c r="G46" i="40"/>
  <c r="G56" i="40" s="1"/>
  <c r="E46" i="40"/>
  <c r="F46" i="40" s="1"/>
  <c r="F56" i="40" s="1"/>
  <c r="D46" i="40"/>
  <c r="D56" i="40" s="1"/>
  <c r="C46" i="40"/>
  <c r="C56" i="40" s="1"/>
  <c r="B46" i="40"/>
  <c r="B56" i="40" s="1"/>
  <c r="G45" i="40"/>
  <c r="G55" i="40" s="1"/>
  <c r="E45" i="40"/>
  <c r="F45" i="40" s="1"/>
  <c r="F55" i="40" s="1"/>
  <c r="D45" i="40"/>
  <c r="D55" i="40" s="1"/>
  <c r="C45" i="40"/>
  <c r="C55" i="40" s="1"/>
  <c r="B45" i="40"/>
  <c r="B55" i="40" s="1"/>
  <c r="G44" i="40"/>
  <c r="G54" i="40" s="1"/>
  <c r="E44" i="40"/>
  <c r="E54" i="40" s="1"/>
  <c r="D44" i="40"/>
  <c r="D54" i="40" s="1"/>
  <c r="C44" i="40"/>
  <c r="C54" i="40" s="1"/>
  <c r="B44" i="40"/>
  <c r="B54" i="40" s="1"/>
  <c r="G43" i="40"/>
  <c r="G53" i="40" s="1"/>
  <c r="E43" i="40"/>
  <c r="E53" i="40" s="1"/>
  <c r="D43" i="40"/>
  <c r="D53" i="40" s="1"/>
  <c r="C43" i="40"/>
  <c r="C53" i="40" s="1"/>
  <c r="B43" i="40"/>
  <c r="B53" i="40" s="1"/>
  <c r="G42" i="40"/>
  <c r="G52" i="40" s="1"/>
  <c r="E42" i="40"/>
  <c r="F42" i="40" s="1"/>
  <c r="F52" i="40" s="1"/>
  <c r="D42" i="40"/>
  <c r="D52" i="40" s="1"/>
  <c r="C42" i="40"/>
  <c r="C52" i="40" s="1"/>
  <c r="B42" i="40"/>
  <c r="B52" i="40" s="1"/>
  <c r="G41" i="40"/>
  <c r="G51" i="40" s="1"/>
  <c r="E41" i="40"/>
  <c r="F41" i="40" s="1"/>
  <c r="F51" i="40" s="1"/>
  <c r="C41" i="40"/>
  <c r="C51" i="40" s="1"/>
  <c r="B41" i="40"/>
  <c r="B51" i="40" s="1"/>
  <c r="I18" i="40"/>
  <c r="I34" i="40" s="1"/>
  <c r="H18" i="40"/>
  <c r="H34" i="40" s="1"/>
  <c r="G18" i="40"/>
  <c r="G34" i="40" s="1"/>
  <c r="F18" i="40"/>
  <c r="F34" i="40" s="1"/>
  <c r="E18" i="40"/>
  <c r="E34" i="40" s="1"/>
  <c r="D18" i="40"/>
  <c r="D34" i="40" s="1"/>
  <c r="C18" i="40"/>
  <c r="C34" i="40" s="1"/>
  <c r="I17" i="40"/>
  <c r="I33" i="40" s="1"/>
  <c r="H17" i="40"/>
  <c r="H33" i="40" s="1"/>
  <c r="G17" i="40"/>
  <c r="G33" i="40" s="1"/>
  <c r="F17" i="40"/>
  <c r="F33" i="40" s="1"/>
  <c r="E17" i="40"/>
  <c r="E33" i="40" s="1"/>
  <c r="D17" i="40"/>
  <c r="D33" i="40" s="1"/>
  <c r="C17" i="40"/>
  <c r="C33" i="40" s="1"/>
  <c r="I16" i="40"/>
  <c r="I32" i="40" s="1"/>
  <c r="H16" i="40"/>
  <c r="H32" i="40" s="1"/>
  <c r="G16" i="40"/>
  <c r="G32" i="40" s="1"/>
  <c r="F16" i="40"/>
  <c r="F32" i="40" s="1"/>
  <c r="E16" i="40"/>
  <c r="E32" i="40" s="1"/>
  <c r="D16" i="40"/>
  <c r="D32" i="40" s="1"/>
  <c r="C16" i="40"/>
  <c r="C32" i="40" s="1"/>
  <c r="I15" i="40"/>
  <c r="I31" i="40" s="1"/>
  <c r="H15" i="40"/>
  <c r="H31" i="40" s="1"/>
  <c r="G15" i="40"/>
  <c r="G31" i="40" s="1"/>
  <c r="F15" i="40"/>
  <c r="F31" i="40" s="1"/>
  <c r="E15" i="40"/>
  <c r="E31" i="40" s="1"/>
  <c r="D15" i="40"/>
  <c r="D31" i="40" s="1"/>
  <c r="C15" i="40"/>
  <c r="C31" i="40" s="1"/>
  <c r="I14" i="40"/>
  <c r="I30" i="40" s="1"/>
  <c r="H14" i="40"/>
  <c r="H30" i="40" s="1"/>
  <c r="G14" i="40"/>
  <c r="G30" i="40" s="1"/>
  <c r="F14" i="40"/>
  <c r="F30" i="40" s="1"/>
  <c r="E14" i="40"/>
  <c r="E30" i="40" s="1"/>
  <c r="D14" i="40"/>
  <c r="D30" i="40" s="1"/>
  <c r="C14" i="40"/>
  <c r="I13" i="40"/>
  <c r="I29" i="40" s="1"/>
  <c r="H13" i="40"/>
  <c r="H29" i="40" s="1"/>
  <c r="G13" i="40"/>
  <c r="G29" i="40" s="1"/>
  <c r="F13" i="40"/>
  <c r="F29" i="40" s="1"/>
  <c r="E13" i="40"/>
  <c r="E29" i="40" s="1"/>
  <c r="D13" i="40"/>
  <c r="D29" i="40" s="1"/>
  <c r="C13" i="40"/>
  <c r="C29" i="40" s="1"/>
  <c r="I12" i="40"/>
  <c r="I28" i="40" s="1"/>
  <c r="H12" i="40"/>
  <c r="H28" i="40" s="1"/>
  <c r="G12" i="40"/>
  <c r="G28" i="40" s="1"/>
  <c r="F12" i="40"/>
  <c r="F28" i="40" s="1"/>
  <c r="E12" i="40"/>
  <c r="E28" i="40" s="1"/>
  <c r="D12" i="40"/>
  <c r="D28" i="40" s="1"/>
  <c r="C12" i="40"/>
  <c r="C28" i="40" s="1"/>
  <c r="I11" i="40"/>
  <c r="I27" i="40" s="1"/>
  <c r="H11" i="40"/>
  <c r="H27" i="40" s="1"/>
  <c r="G11" i="40"/>
  <c r="G27" i="40" s="1"/>
  <c r="F11" i="40"/>
  <c r="F27" i="40" s="1"/>
  <c r="E11" i="40"/>
  <c r="E27" i="40" s="1"/>
  <c r="D11" i="40"/>
  <c r="D27" i="40" s="1"/>
  <c r="C11" i="40"/>
  <c r="C27" i="40" s="1"/>
  <c r="I10" i="40"/>
  <c r="I26" i="40" s="1"/>
  <c r="H10" i="40"/>
  <c r="H26" i="40" s="1"/>
  <c r="G10" i="40"/>
  <c r="G26" i="40" s="1"/>
  <c r="F10" i="40"/>
  <c r="F26" i="40" s="1"/>
  <c r="E10" i="40"/>
  <c r="E26" i="40" s="1"/>
  <c r="D10" i="40"/>
  <c r="D26" i="40" s="1"/>
  <c r="C10" i="40"/>
  <c r="I9" i="40"/>
  <c r="I25" i="40" s="1"/>
  <c r="H9" i="40"/>
  <c r="H25" i="40" s="1"/>
  <c r="G9" i="40"/>
  <c r="G25" i="40" s="1"/>
  <c r="F9" i="40"/>
  <c r="F25" i="40" s="1"/>
  <c r="E9" i="40"/>
  <c r="E25" i="40" s="1"/>
  <c r="D9" i="40"/>
  <c r="D25" i="40" s="1"/>
  <c r="C9" i="40"/>
  <c r="I8" i="40"/>
  <c r="I24" i="40" s="1"/>
  <c r="H8" i="40"/>
  <c r="H24" i="40" s="1"/>
  <c r="G8" i="40"/>
  <c r="G24" i="40" s="1"/>
  <c r="F8" i="40"/>
  <c r="F24" i="40" s="1"/>
  <c r="E8" i="40"/>
  <c r="E24" i="40" s="1"/>
  <c r="D8" i="40"/>
  <c r="D24" i="40" s="1"/>
  <c r="C8" i="40"/>
  <c r="C24" i="40" s="1"/>
  <c r="I7" i="40"/>
  <c r="I23" i="40" s="1"/>
  <c r="H7" i="40"/>
  <c r="H23" i="40" s="1"/>
  <c r="G7" i="40"/>
  <c r="G23" i="40" s="1"/>
  <c r="F7" i="40"/>
  <c r="F23" i="40" s="1"/>
  <c r="E7" i="40"/>
  <c r="E23" i="40" s="1"/>
  <c r="D7" i="40"/>
  <c r="D23" i="40" s="1"/>
  <c r="C7" i="40"/>
  <c r="C23" i="40" s="1"/>
  <c r="I6" i="40"/>
  <c r="I22" i="40" s="1"/>
  <c r="H6" i="40"/>
  <c r="H22" i="40" s="1"/>
  <c r="G6" i="40"/>
  <c r="G22" i="40" s="1"/>
  <c r="F6" i="40"/>
  <c r="F22" i="40" s="1"/>
  <c r="E6" i="40"/>
  <c r="E22" i="40" s="1"/>
  <c r="D6" i="40"/>
  <c r="D22" i="40" s="1"/>
  <c r="C6" i="40"/>
  <c r="C22" i="40" s="1"/>
  <c r="B18" i="40"/>
  <c r="B34" i="40" s="1"/>
  <c r="B17" i="40"/>
  <c r="B33" i="40" s="1"/>
  <c r="B16" i="40"/>
  <c r="B32" i="40" s="1"/>
  <c r="B15" i="40"/>
  <c r="B31" i="40" s="1"/>
  <c r="B14" i="40"/>
  <c r="B13" i="40"/>
  <c r="B29" i="40" s="1"/>
  <c r="B12" i="40"/>
  <c r="B28" i="40" s="1"/>
  <c r="B11" i="40"/>
  <c r="B27" i="40" s="1"/>
  <c r="B10" i="40"/>
  <c r="B9" i="40"/>
  <c r="B8" i="40"/>
  <c r="B24" i="40" s="1"/>
  <c r="B7" i="40"/>
  <c r="B23" i="40" s="1"/>
  <c r="B6" i="40"/>
  <c r="B22" i="40" s="1"/>
  <c r="H81" i="40"/>
  <c r="H47" i="40"/>
  <c r="F47" i="40"/>
  <c r="H36" i="40"/>
  <c r="D36" i="40"/>
  <c r="G35" i="40" l="1"/>
  <c r="I11" i="46"/>
  <c r="I12" i="46" s="1"/>
  <c r="H12" i="46"/>
  <c r="I11" i="45"/>
  <c r="I12" i="45" s="1"/>
  <c r="H12" i="45"/>
  <c r="G12" i="34"/>
  <c r="H11" i="34"/>
  <c r="H35" i="40"/>
  <c r="H37" i="40" s="1"/>
  <c r="H84" i="40" s="1"/>
  <c r="G81" i="40"/>
  <c r="D35" i="40"/>
  <c r="D80" i="40"/>
  <c r="H80" i="40"/>
  <c r="E35" i="40"/>
  <c r="E37" i="40" s="1"/>
  <c r="E84" i="40" s="1"/>
  <c r="D41" i="40"/>
  <c r="D51" i="40" s="1"/>
  <c r="D57" i="40" s="1"/>
  <c r="D79" i="40" s="1"/>
  <c r="E51" i="40"/>
  <c r="E55" i="40"/>
  <c r="G80" i="40"/>
  <c r="F43" i="40"/>
  <c r="F53" i="40" s="1"/>
  <c r="E52" i="40"/>
  <c r="E56" i="40"/>
  <c r="B35" i="40"/>
  <c r="F44" i="40"/>
  <c r="F54" i="40" s="1"/>
  <c r="C35" i="40"/>
  <c r="H57" i="40"/>
  <c r="H79" i="40" s="1"/>
  <c r="H82" i="40" s="1"/>
  <c r="I57" i="40"/>
  <c r="I79" i="40" s="1"/>
  <c r="B57" i="40"/>
  <c r="B79" i="40" s="1"/>
  <c r="G37" i="40"/>
  <c r="G84" i="40" s="1"/>
  <c r="D37" i="40"/>
  <c r="D84" i="40" s="1"/>
  <c r="I37" i="40"/>
  <c r="I84" i="40" s="1"/>
  <c r="I81" i="40"/>
  <c r="F35" i="40"/>
  <c r="F37" i="40" s="1"/>
  <c r="F84" i="40" s="1"/>
  <c r="B80" i="40"/>
  <c r="G57" i="40"/>
  <c r="G79" i="40" s="1"/>
  <c r="E80" i="40"/>
  <c r="E81" i="40"/>
  <c r="I80" i="40"/>
  <c r="C57" i="40"/>
  <c r="C79" i="40" s="1"/>
  <c r="F80" i="40"/>
  <c r="F81" i="40"/>
  <c r="G73" i="36"/>
  <c r="G81" i="36" s="1"/>
  <c r="F73" i="36"/>
  <c r="F36" i="36" s="1"/>
  <c r="E73" i="36"/>
  <c r="E81" i="36" s="1"/>
  <c r="D73" i="36"/>
  <c r="D81" i="36" s="1"/>
  <c r="F72" i="36"/>
  <c r="E72" i="36"/>
  <c r="D72" i="36"/>
  <c r="C72" i="36"/>
  <c r="B72" i="36"/>
  <c r="F71" i="36"/>
  <c r="E71" i="36"/>
  <c r="D71" i="36"/>
  <c r="C71" i="36"/>
  <c r="F70" i="36"/>
  <c r="E70" i="36"/>
  <c r="D70" i="36"/>
  <c r="C70" i="36"/>
  <c r="B71" i="36"/>
  <c r="B70" i="36"/>
  <c r="B61" i="36"/>
  <c r="C61" i="36"/>
  <c r="D61" i="36"/>
  <c r="E61" i="36"/>
  <c r="F61" i="36"/>
  <c r="G61" i="36"/>
  <c r="H61" i="36"/>
  <c r="I61" i="36"/>
  <c r="B62" i="36"/>
  <c r="C62" i="36"/>
  <c r="D62" i="36"/>
  <c r="E62" i="36"/>
  <c r="F62" i="36"/>
  <c r="G62" i="36"/>
  <c r="H62" i="36"/>
  <c r="I62" i="36"/>
  <c r="G63" i="36"/>
  <c r="B64" i="36"/>
  <c r="C64" i="36"/>
  <c r="D64" i="36"/>
  <c r="E64" i="36"/>
  <c r="F64" i="36"/>
  <c r="G64" i="36"/>
  <c r="H64" i="36"/>
  <c r="I64" i="36"/>
  <c r="B66" i="36"/>
  <c r="C66" i="36"/>
  <c r="D66" i="36"/>
  <c r="E66" i="36"/>
  <c r="F66" i="36"/>
  <c r="G66" i="36"/>
  <c r="H66" i="36"/>
  <c r="I66" i="36"/>
  <c r="I56" i="36"/>
  <c r="H56" i="36"/>
  <c r="I55" i="36"/>
  <c r="H55" i="36"/>
  <c r="I54" i="36"/>
  <c r="H54" i="36"/>
  <c r="I53" i="36"/>
  <c r="H53" i="36"/>
  <c r="I52" i="36"/>
  <c r="H52" i="36"/>
  <c r="I51" i="36"/>
  <c r="H51" i="36"/>
  <c r="B54" i="36"/>
  <c r="G46" i="36"/>
  <c r="G56" i="36" s="1"/>
  <c r="E46" i="36"/>
  <c r="F46" i="36" s="1"/>
  <c r="F56" i="36" s="1"/>
  <c r="D46" i="36"/>
  <c r="D56" i="36" s="1"/>
  <c r="C46" i="36"/>
  <c r="C56" i="36" s="1"/>
  <c r="B46" i="36"/>
  <c r="B56" i="36" s="1"/>
  <c r="G45" i="36"/>
  <c r="G55" i="36" s="1"/>
  <c r="E45" i="36"/>
  <c r="F45" i="36" s="1"/>
  <c r="F55" i="36" s="1"/>
  <c r="D45" i="36"/>
  <c r="D55" i="36" s="1"/>
  <c r="C45" i="36"/>
  <c r="C55" i="36" s="1"/>
  <c r="B45" i="36"/>
  <c r="B55" i="36" s="1"/>
  <c r="G44" i="36"/>
  <c r="G54" i="36" s="1"/>
  <c r="E44" i="36"/>
  <c r="E54" i="36" s="1"/>
  <c r="D44" i="36"/>
  <c r="D54" i="36" s="1"/>
  <c r="C44" i="36"/>
  <c r="C54" i="36" s="1"/>
  <c r="B44" i="36"/>
  <c r="G43" i="36"/>
  <c r="G53" i="36" s="1"/>
  <c r="E43" i="36"/>
  <c r="E53" i="36" s="1"/>
  <c r="D43" i="36"/>
  <c r="D53" i="36" s="1"/>
  <c r="C43" i="36"/>
  <c r="C53" i="36" s="1"/>
  <c r="B43" i="36"/>
  <c r="B53" i="36" s="1"/>
  <c r="G42" i="36"/>
  <c r="G52" i="36" s="1"/>
  <c r="E42" i="36"/>
  <c r="F42" i="36" s="1"/>
  <c r="F52" i="36" s="1"/>
  <c r="D42" i="36"/>
  <c r="D52" i="36" s="1"/>
  <c r="C42" i="36"/>
  <c r="C52" i="36" s="1"/>
  <c r="B42" i="36"/>
  <c r="B52" i="36" s="1"/>
  <c r="G41" i="36"/>
  <c r="G51" i="36" s="1"/>
  <c r="E41" i="36"/>
  <c r="D41" i="36" s="1"/>
  <c r="D51" i="36" s="1"/>
  <c r="C41" i="36"/>
  <c r="C51" i="36" s="1"/>
  <c r="B41" i="36"/>
  <c r="B51" i="36" s="1"/>
  <c r="B6" i="36"/>
  <c r="B22" i="36" s="1"/>
  <c r="C6" i="36"/>
  <c r="C22" i="36" s="1"/>
  <c r="D6" i="36"/>
  <c r="D22" i="36" s="1"/>
  <c r="E6" i="36"/>
  <c r="E22" i="36" s="1"/>
  <c r="F6" i="36"/>
  <c r="F22" i="36" s="1"/>
  <c r="G6" i="36"/>
  <c r="G22" i="36" s="1"/>
  <c r="H6" i="36"/>
  <c r="H22" i="36" s="1"/>
  <c r="I6" i="36"/>
  <c r="I22" i="36" s="1"/>
  <c r="B7" i="36"/>
  <c r="B23" i="36" s="1"/>
  <c r="C7" i="36"/>
  <c r="C23" i="36" s="1"/>
  <c r="D7" i="36"/>
  <c r="D23" i="36" s="1"/>
  <c r="E7" i="36"/>
  <c r="E23" i="36" s="1"/>
  <c r="F7" i="36"/>
  <c r="F23" i="36" s="1"/>
  <c r="G7" i="36"/>
  <c r="G23" i="36" s="1"/>
  <c r="H7" i="36"/>
  <c r="H23" i="36" s="1"/>
  <c r="I7" i="36"/>
  <c r="I23" i="36" s="1"/>
  <c r="B8" i="36"/>
  <c r="B24" i="36" s="1"/>
  <c r="C8" i="36"/>
  <c r="C24" i="36" s="1"/>
  <c r="D8" i="36"/>
  <c r="D24" i="36" s="1"/>
  <c r="E8" i="36"/>
  <c r="E24" i="36" s="1"/>
  <c r="F8" i="36"/>
  <c r="F24" i="36" s="1"/>
  <c r="G8" i="36"/>
  <c r="G24" i="36" s="1"/>
  <c r="H8" i="36"/>
  <c r="H24" i="36" s="1"/>
  <c r="I8" i="36"/>
  <c r="I24" i="36" s="1"/>
  <c r="B9" i="36"/>
  <c r="C9" i="36"/>
  <c r="D9" i="36"/>
  <c r="D25" i="36" s="1"/>
  <c r="E9" i="36"/>
  <c r="E25" i="36" s="1"/>
  <c r="F9" i="36"/>
  <c r="F25" i="36" s="1"/>
  <c r="G9" i="36"/>
  <c r="H9" i="36"/>
  <c r="H25" i="36" s="1"/>
  <c r="I9" i="36"/>
  <c r="I25" i="36" s="1"/>
  <c r="B10" i="36"/>
  <c r="C10" i="36"/>
  <c r="D10" i="36"/>
  <c r="D26" i="36" s="1"/>
  <c r="E10" i="36"/>
  <c r="E26" i="36" s="1"/>
  <c r="F10" i="36"/>
  <c r="F26" i="36" s="1"/>
  <c r="G10" i="36"/>
  <c r="G26" i="36" s="1"/>
  <c r="H10" i="36"/>
  <c r="H26" i="36" s="1"/>
  <c r="I10" i="36"/>
  <c r="I26" i="36" s="1"/>
  <c r="B11" i="36"/>
  <c r="B27" i="36" s="1"/>
  <c r="C11" i="36"/>
  <c r="C27" i="36" s="1"/>
  <c r="D11" i="36"/>
  <c r="D27" i="36" s="1"/>
  <c r="E11" i="36"/>
  <c r="E27" i="36" s="1"/>
  <c r="F11" i="36"/>
  <c r="F27" i="36" s="1"/>
  <c r="G11" i="36"/>
  <c r="G27" i="36" s="1"/>
  <c r="H11" i="36"/>
  <c r="H27" i="36" s="1"/>
  <c r="I11" i="36"/>
  <c r="I27" i="36" s="1"/>
  <c r="B12" i="36"/>
  <c r="B28" i="36" s="1"/>
  <c r="C12" i="36"/>
  <c r="C28" i="36" s="1"/>
  <c r="D12" i="36"/>
  <c r="D28" i="36" s="1"/>
  <c r="E12" i="36"/>
  <c r="E28" i="36" s="1"/>
  <c r="F12" i="36"/>
  <c r="F28" i="36" s="1"/>
  <c r="G12" i="36"/>
  <c r="G28" i="36" s="1"/>
  <c r="H12" i="36"/>
  <c r="H28" i="36" s="1"/>
  <c r="I12" i="36"/>
  <c r="I28" i="36" s="1"/>
  <c r="B13" i="36"/>
  <c r="B29" i="36" s="1"/>
  <c r="C13" i="36"/>
  <c r="C29" i="36" s="1"/>
  <c r="D13" i="36"/>
  <c r="D29" i="36" s="1"/>
  <c r="E13" i="36"/>
  <c r="E29" i="36" s="1"/>
  <c r="F13" i="36"/>
  <c r="F29" i="36" s="1"/>
  <c r="G13" i="36"/>
  <c r="G29" i="36" s="1"/>
  <c r="H13" i="36"/>
  <c r="H29" i="36" s="1"/>
  <c r="I13" i="36"/>
  <c r="I29" i="36" s="1"/>
  <c r="B14" i="36"/>
  <c r="C14" i="36"/>
  <c r="D14" i="36"/>
  <c r="D30" i="36" s="1"/>
  <c r="E14" i="36"/>
  <c r="E30" i="36" s="1"/>
  <c r="F14" i="36"/>
  <c r="F30" i="36" s="1"/>
  <c r="G14" i="36"/>
  <c r="H14" i="36"/>
  <c r="I14" i="36"/>
  <c r="B15" i="36"/>
  <c r="B31" i="36" s="1"/>
  <c r="C15" i="36"/>
  <c r="C31" i="36" s="1"/>
  <c r="D15" i="36"/>
  <c r="D31" i="36" s="1"/>
  <c r="E15" i="36"/>
  <c r="E31" i="36" s="1"/>
  <c r="F15" i="36"/>
  <c r="F31" i="36" s="1"/>
  <c r="G15" i="36"/>
  <c r="G31" i="36" s="1"/>
  <c r="H15" i="36"/>
  <c r="H31" i="36" s="1"/>
  <c r="I15" i="36"/>
  <c r="I31" i="36" s="1"/>
  <c r="B16" i="36"/>
  <c r="B32" i="36" s="1"/>
  <c r="C16" i="36"/>
  <c r="C32" i="36" s="1"/>
  <c r="D16" i="36"/>
  <c r="D32" i="36" s="1"/>
  <c r="E16" i="36"/>
  <c r="E32" i="36" s="1"/>
  <c r="F16" i="36"/>
  <c r="F32" i="36" s="1"/>
  <c r="G16" i="36"/>
  <c r="G32" i="36" s="1"/>
  <c r="H16" i="36"/>
  <c r="H32" i="36" s="1"/>
  <c r="I16" i="36"/>
  <c r="I32" i="36" s="1"/>
  <c r="B17" i="36"/>
  <c r="B33" i="36" s="1"/>
  <c r="C17" i="36"/>
  <c r="C33" i="36" s="1"/>
  <c r="D17" i="36"/>
  <c r="D33" i="36" s="1"/>
  <c r="E17" i="36"/>
  <c r="E33" i="36" s="1"/>
  <c r="F17" i="36"/>
  <c r="F33" i="36" s="1"/>
  <c r="G17" i="36"/>
  <c r="G33" i="36" s="1"/>
  <c r="H17" i="36"/>
  <c r="H33" i="36" s="1"/>
  <c r="I17" i="36"/>
  <c r="I33" i="36" s="1"/>
  <c r="B18" i="36"/>
  <c r="B34" i="36" s="1"/>
  <c r="C18" i="36"/>
  <c r="C34" i="36" s="1"/>
  <c r="D18" i="36"/>
  <c r="D34" i="36" s="1"/>
  <c r="E18" i="36"/>
  <c r="E34" i="36" s="1"/>
  <c r="F18" i="36"/>
  <c r="F34" i="36" s="1"/>
  <c r="G18" i="36"/>
  <c r="G34" i="36" s="1"/>
  <c r="H18" i="36"/>
  <c r="H34" i="36" s="1"/>
  <c r="I18" i="36"/>
  <c r="I34" i="36" s="1"/>
  <c r="H72" i="45"/>
  <c r="I72" i="45" s="1"/>
  <c r="I73" i="36" s="1"/>
  <c r="I81" i="36" s="1"/>
  <c r="I71" i="45"/>
  <c r="I72" i="36" s="1"/>
  <c r="H71" i="45"/>
  <c r="H72" i="36" s="1"/>
  <c r="H47" i="36"/>
  <c r="F47" i="36"/>
  <c r="G66" i="37"/>
  <c r="G72" i="37" s="1"/>
  <c r="G80" i="37" s="1"/>
  <c r="F66" i="37"/>
  <c r="F72" i="37" s="1"/>
  <c r="F80" i="37" s="1"/>
  <c r="E66" i="37"/>
  <c r="E72" i="37" s="1"/>
  <c r="E80" i="37" s="1"/>
  <c r="D66" i="37"/>
  <c r="D72" i="37" s="1"/>
  <c r="D80" i="37" s="1"/>
  <c r="C66" i="37"/>
  <c r="G64" i="37"/>
  <c r="F64" i="37"/>
  <c r="F71" i="37" s="1"/>
  <c r="E64" i="37"/>
  <c r="E71" i="37" s="1"/>
  <c r="D64" i="37"/>
  <c r="D71" i="37" s="1"/>
  <c r="C64" i="37"/>
  <c r="C71" i="37" s="1"/>
  <c r="I62" i="37"/>
  <c r="H62" i="37"/>
  <c r="G62" i="37"/>
  <c r="F62" i="37"/>
  <c r="F70" i="37" s="1"/>
  <c r="E62" i="37"/>
  <c r="E70" i="37" s="1"/>
  <c r="D62" i="37"/>
  <c r="D70" i="37" s="1"/>
  <c r="C62" i="37"/>
  <c r="C70" i="37" s="1"/>
  <c r="G61" i="37"/>
  <c r="F61" i="37"/>
  <c r="F69" i="37" s="1"/>
  <c r="E61" i="37"/>
  <c r="E69" i="37" s="1"/>
  <c r="D61" i="37"/>
  <c r="D69" i="37" s="1"/>
  <c r="C61" i="37"/>
  <c r="C69" i="37" s="1"/>
  <c r="B66" i="37"/>
  <c r="B64" i="37"/>
  <c r="B71" i="37" s="1"/>
  <c r="B62" i="37"/>
  <c r="B70" i="37" s="1"/>
  <c r="B61" i="37"/>
  <c r="B69" i="37" s="1"/>
  <c r="I47" i="37"/>
  <c r="G47" i="37"/>
  <c r="E47" i="37"/>
  <c r="D47" i="37"/>
  <c r="C47" i="37"/>
  <c r="I46" i="37"/>
  <c r="I56" i="37" s="1"/>
  <c r="H46" i="37"/>
  <c r="H56" i="37" s="1"/>
  <c r="I45" i="37"/>
  <c r="I55" i="37" s="1"/>
  <c r="H45" i="37"/>
  <c r="H55" i="37" s="1"/>
  <c r="I44" i="37"/>
  <c r="I54" i="37" s="1"/>
  <c r="H44" i="37"/>
  <c r="H54" i="37" s="1"/>
  <c r="I43" i="37"/>
  <c r="I53" i="37" s="1"/>
  <c r="H43" i="37"/>
  <c r="H53" i="37" s="1"/>
  <c r="I42" i="37"/>
  <c r="I52" i="37" s="1"/>
  <c r="H42" i="37"/>
  <c r="H52" i="37" s="1"/>
  <c r="I41" i="37"/>
  <c r="I51" i="37" s="1"/>
  <c r="H41" i="37"/>
  <c r="H51" i="37" s="1"/>
  <c r="B47" i="37"/>
  <c r="B41" i="32"/>
  <c r="B41" i="37" s="1"/>
  <c r="B51" i="37" s="1"/>
  <c r="I34" i="37"/>
  <c r="H34" i="37"/>
  <c r="G34" i="37"/>
  <c r="F34" i="37"/>
  <c r="E34" i="37"/>
  <c r="D34" i="37"/>
  <c r="C34" i="37"/>
  <c r="I33" i="37"/>
  <c r="H33" i="37"/>
  <c r="G33" i="37"/>
  <c r="F33" i="37"/>
  <c r="E33" i="37"/>
  <c r="D33" i="37"/>
  <c r="C33" i="37"/>
  <c r="I32" i="37"/>
  <c r="H32" i="37"/>
  <c r="G32" i="37"/>
  <c r="F32" i="37"/>
  <c r="E32" i="37"/>
  <c r="D32" i="37"/>
  <c r="C32" i="37"/>
  <c r="I31" i="37"/>
  <c r="H31" i="37"/>
  <c r="G31" i="37"/>
  <c r="F31" i="37"/>
  <c r="E31" i="37"/>
  <c r="D31" i="37"/>
  <c r="C31" i="37"/>
  <c r="F30" i="37"/>
  <c r="E30" i="37"/>
  <c r="D30" i="37"/>
  <c r="I29" i="37"/>
  <c r="H29" i="37"/>
  <c r="G29" i="37"/>
  <c r="F29" i="37"/>
  <c r="E29" i="37"/>
  <c r="D29" i="37"/>
  <c r="C29" i="37"/>
  <c r="I28" i="37"/>
  <c r="H28" i="37"/>
  <c r="G28" i="37"/>
  <c r="F28" i="37"/>
  <c r="E28" i="37"/>
  <c r="D28" i="37"/>
  <c r="C28" i="37"/>
  <c r="I27" i="37"/>
  <c r="H27" i="37"/>
  <c r="G27" i="37"/>
  <c r="F27" i="37"/>
  <c r="E27" i="37"/>
  <c r="D27" i="37"/>
  <c r="C27" i="37"/>
  <c r="I26" i="37"/>
  <c r="H26" i="37"/>
  <c r="G26" i="37"/>
  <c r="F26" i="37"/>
  <c r="E26" i="37"/>
  <c r="D26" i="37"/>
  <c r="I25" i="37"/>
  <c r="H25" i="37"/>
  <c r="F25" i="37"/>
  <c r="E25" i="37"/>
  <c r="D25" i="37"/>
  <c r="I24" i="37"/>
  <c r="H24" i="37"/>
  <c r="G24" i="37"/>
  <c r="F24" i="37"/>
  <c r="E24" i="37"/>
  <c r="D24" i="37"/>
  <c r="C24" i="37"/>
  <c r="I23" i="37"/>
  <c r="H23" i="37"/>
  <c r="G23" i="37"/>
  <c r="F23" i="37"/>
  <c r="E23" i="37"/>
  <c r="D23" i="37"/>
  <c r="C23" i="37"/>
  <c r="I22" i="37"/>
  <c r="H22" i="37"/>
  <c r="G22" i="37"/>
  <c r="F22" i="37"/>
  <c r="E22" i="37"/>
  <c r="D22" i="37"/>
  <c r="C22" i="37"/>
  <c r="B34" i="37"/>
  <c r="B33" i="37"/>
  <c r="B32" i="37"/>
  <c r="B31" i="37"/>
  <c r="B29" i="37"/>
  <c r="B28" i="37"/>
  <c r="B27" i="37"/>
  <c r="B24" i="37"/>
  <c r="B23" i="37"/>
  <c r="B22" i="37"/>
  <c r="G62" i="44"/>
  <c r="G63" i="37" s="1"/>
  <c r="H65" i="44"/>
  <c r="I65" i="44" s="1"/>
  <c r="I66" i="37" s="1"/>
  <c r="I72" i="37" s="1"/>
  <c r="C72" i="46"/>
  <c r="G64" i="46"/>
  <c r="G65" i="40" s="1"/>
  <c r="F62" i="46"/>
  <c r="E62" i="46"/>
  <c r="D62" i="46"/>
  <c r="C62" i="46"/>
  <c r="B62" i="46"/>
  <c r="H62" i="46"/>
  <c r="H63" i="40" s="1"/>
  <c r="C43" i="46"/>
  <c r="B43" i="46" s="1"/>
  <c r="B30" i="40" s="1"/>
  <c r="C39" i="46"/>
  <c r="C26" i="40" s="1"/>
  <c r="C38" i="46"/>
  <c r="B38" i="46" s="1"/>
  <c r="B25" i="40" s="1"/>
  <c r="C72" i="45"/>
  <c r="B72" i="45" s="1"/>
  <c r="B73" i="36" s="1"/>
  <c r="B81" i="36" s="1"/>
  <c r="G71" i="45"/>
  <c r="G72" i="36" s="1"/>
  <c r="G70" i="45"/>
  <c r="H70" i="45" s="1"/>
  <c r="G69" i="45"/>
  <c r="G64" i="45"/>
  <c r="G65" i="36" s="1"/>
  <c r="F62" i="45"/>
  <c r="E62" i="45"/>
  <c r="E64" i="45" s="1"/>
  <c r="E65" i="36" s="1"/>
  <c r="D62" i="45"/>
  <c r="D64" i="45" s="1"/>
  <c r="D65" i="36" s="1"/>
  <c r="C62" i="45"/>
  <c r="B62" i="45"/>
  <c r="I62" i="45"/>
  <c r="I63" i="36" s="1"/>
  <c r="G43" i="45"/>
  <c r="H43" i="45" s="1"/>
  <c r="I43" i="45" s="1"/>
  <c r="C43" i="45"/>
  <c r="B43" i="45" s="1"/>
  <c r="C39" i="45"/>
  <c r="B39" i="45" s="1"/>
  <c r="G38" i="45"/>
  <c r="C38" i="45"/>
  <c r="B38" i="45" s="1"/>
  <c r="C72" i="44"/>
  <c r="B72" i="44" s="1"/>
  <c r="I71" i="44"/>
  <c r="H71" i="44"/>
  <c r="G71" i="44"/>
  <c r="G70" i="44"/>
  <c r="H70" i="44" s="1"/>
  <c r="I70" i="44" s="1"/>
  <c r="G69" i="44"/>
  <c r="H69" i="44" s="1"/>
  <c r="I69" i="44" s="1"/>
  <c r="G64" i="44"/>
  <c r="G65" i="37" s="1"/>
  <c r="H63" i="44"/>
  <c r="H64" i="37" s="1"/>
  <c r="F62" i="44"/>
  <c r="F64" i="44" s="1"/>
  <c r="F65" i="37" s="1"/>
  <c r="E62" i="44"/>
  <c r="E64" i="44" s="1"/>
  <c r="E65" i="37" s="1"/>
  <c r="D62" i="44"/>
  <c r="D64" i="44" s="1"/>
  <c r="D65" i="37" s="1"/>
  <c r="C62" i="44"/>
  <c r="C64" i="44" s="1"/>
  <c r="C65" i="37" s="1"/>
  <c r="B62" i="44"/>
  <c r="B64" i="44" s="1"/>
  <c r="B65" i="37" s="1"/>
  <c r="H60" i="44"/>
  <c r="H61" i="37" s="1"/>
  <c r="G43" i="44"/>
  <c r="H43" i="44" s="1"/>
  <c r="I43" i="44" s="1"/>
  <c r="I30" i="37" s="1"/>
  <c r="C43" i="44"/>
  <c r="B43" i="44" s="1"/>
  <c r="B30" i="37" s="1"/>
  <c r="C39" i="44"/>
  <c r="C26" i="37" s="1"/>
  <c r="G38" i="44"/>
  <c r="G25" i="37" s="1"/>
  <c r="C38" i="44"/>
  <c r="B38" i="44" s="1"/>
  <c r="B25" i="37" s="1"/>
  <c r="D12" i="44"/>
  <c r="C12" i="44"/>
  <c r="B12" i="44"/>
  <c r="E11" i="44"/>
  <c r="F11" i="44" s="1"/>
  <c r="G10" i="44"/>
  <c r="D10" i="44"/>
  <c r="C10" i="44"/>
  <c r="B10" i="44"/>
  <c r="E9" i="44"/>
  <c r="E10" i="44" s="1"/>
  <c r="F8" i="44"/>
  <c r="G8" i="44" s="1"/>
  <c r="H8" i="44" s="1"/>
  <c r="I8" i="44" s="1"/>
  <c r="H12" i="34" l="1"/>
  <c r="I11" i="34"/>
  <c r="I12" i="34" s="1"/>
  <c r="D82" i="40"/>
  <c r="C30" i="40"/>
  <c r="B39" i="46"/>
  <c r="B26" i="40" s="1"/>
  <c r="F64" i="46"/>
  <c r="F65" i="40" s="1"/>
  <c r="F63" i="40"/>
  <c r="C64" i="46"/>
  <c r="C65" i="40" s="1"/>
  <c r="C63" i="40"/>
  <c r="B64" i="46"/>
  <c r="B65" i="40" s="1"/>
  <c r="B63" i="40"/>
  <c r="D64" i="46"/>
  <c r="D65" i="40" s="1"/>
  <c r="D63" i="40"/>
  <c r="B72" i="46"/>
  <c r="B73" i="40" s="1"/>
  <c r="C73" i="40"/>
  <c r="C25" i="40"/>
  <c r="E64" i="46"/>
  <c r="E65" i="40" s="1"/>
  <c r="E63" i="40"/>
  <c r="C72" i="37"/>
  <c r="C80" i="37" s="1"/>
  <c r="G69" i="37"/>
  <c r="D63" i="37"/>
  <c r="H66" i="37"/>
  <c r="H72" i="37" s="1"/>
  <c r="H80" i="37" s="1"/>
  <c r="H71" i="37"/>
  <c r="H62" i="44"/>
  <c r="H63" i="37" s="1"/>
  <c r="C25" i="37"/>
  <c r="E63" i="37"/>
  <c r="H30" i="37"/>
  <c r="B72" i="37"/>
  <c r="B36" i="37" s="1"/>
  <c r="G71" i="37"/>
  <c r="G30" i="36"/>
  <c r="C30" i="36"/>
  <c r="C26" i="36"/>
  <c r="C25" i="36"/>
  <c r="E36" i="36"/>
  <c r="H30" i="36"/>
  <c r="E63" i="36"/>
  <c r="D80" i="36"/>
  <c r="G25" i="36"/>
  <c r="G71" i="36"/>
  <c r="D36" i="36"/>
  <c r="E89" i="40"/>
  <c r="G89" i="40"/>
  <c r="G82" i="40"/>
  <c r="I89" i="40"/>
  <c r="H89" i="40"/>
  <c r="F43" i="36"/>
  <c r="F53" i="36" s="1"/>
  <c r="E52" i="36"/>
  <c r="B80" i="36"/>
  <c r="E35" i="36"/>
  <c r="F41" i="36"/>
  <c r="F51" i="36" s="1"/>
  <c r="I30" i="36"/>
  <c r="E56" i="36"/>
  <c r="E51" i="36"/>
  <c r="E55" i="36"/>
  <c r="C79" i="37"/>
  <c r="I82" i="40"/>
  <c r="H86" i="40"/>
  <c r="H87" i="40" s="1"/>
  <c r="E57" i="40"/>
  <c r="E79" i="40" s="1"/>
  <c r="E82" i="40" s="1"/>
  <c r="F57" i="40"/>
  <c r="F79" i="40" s="1"/>
  <c r="F82" i="40" s="1"/>
  <c r="H88" i="40"/>
  <c r="D89" i="40"/>
  <c r="D88" i="40"/>
  <c r="D86" i="40"/>
  <c r="D87" i="40" s="1"/>
  <c r="F89" i="40"/>
  <c r="I62" i="46"/>
  <c r="B64" i="45"/>
  <c r="B65" i="36" s="1"/>
  <c r="B63" i="36"/>
  <c r="C64" i="45"/>
  <c r="C65" i="36" s="1"/>
  <c r="C63" i="36"/>
  <c r="E80" i="36"/>
  <c r="B30" i="36"/>
  <c r="B26" i="36"/>
  <c r="B25" i="36"/>
  <c r="F64" i="45"/>
  <c r="F65" i="36" s="1"/>
  <c r="F63" i="36"/>
  <c r="G70" i="36"/>
  <c r="H69" i="45"/>
  <c r="I70" i="45"/>
  <c r="I71" i="36" s="1"/>
  <c r="H71" i="36"/>
  <c r="D63" i="36"/>
  <c r="C73" i="36"/>
  <c r="C81" i="36" s="1"/>
  <c r="H73" i="36"/>
  <c r="H81" i="36" s="1"/>
  <c r="F35" i="36"/>
  <c r="F37" i="36" s="1"/>
  <c r="F84" i="36" s="1"/>
  <c r="C80" i="36"/>
  <c r="F44" i="36"/>
  <c r="F54" i="36" s="1"/>
  <c r="B57" i="36"/>
  <c r="B79" i="36" s="1"/>
  <c r="C35" i="36"/>
  <c r="D35" i="36"/>
  <c r="I36" i="36"/>
  <c r="G70" i="37"/>
  <c r="B63" i="37"/>
  <c r="H70" i="37"/>
  <c r="I63" i="44"/>
  <c r="I64" i="37" s="1"/>
  <c r="I71" i="37" s="1"/>
  <c r="H69" i="37"/>
  <c r="I70" i="37"/>
  <c r="F63" i="37"/>
  <c r="B39" i="44"/>
  <c r="B26" i="37" s="1"/>
  <c r="H64" i="44"/>
  <c r="H65" i="37" s="1"/>
  <c r="C30" i="37"/>
  <c r="G30" i="37"/>
  <c r="C63" i="37"/>
  <c r="G36" i="36"/>
  <c r="I64" i="45"/>
  <c r="I65" i="36" s="1"/>
  <c r="H62" i="45"/>
  <c r="I57" i="36"/>
  <c r="I79" i="36" s="1"/>
  <c r="H57" i="36"/>
  <c r="H79" i="36" s="1"/>
  <c r="C57" i="36"/>
  <c r="C79" i="36" s="1"/>
  <c r="G57" i="36"/>
  <c r="G79" i="36" s="1"/>
  <c r="F80" i="36"/>
  <c r="F81" i="36"/>
  <c r="B35" i="36"/>
  <c r="B36" i="36"/>
  <c r="D57" i="36"/>
  <c r="D79" i="36" s="1"/>
  <c r="D79" i="37"/>
  <c r="B79" i="37"/>
  <c r="E79" i="37"/>
  <c r="F79" i="37"/>
  <c r="B80" i="37"/>
  <c r="I80" i="37"/>
  <c r="F35" i="37"/>
  <c r="B35" i="37"/>
  <c r="E35" i="37"/>
  <c r="F36" i="37"/>
  <c r="G36" i="37"/>
  <c r="D36" i="37"/>
  <c r="D35" i="37"/>
  <c r="C35" i="37"/>
  <c r="E36" i="37"/>
  <c r="I36" i="37"/>
  <c r="H57" i="37"/>
  <c r="H78" i="37" s="1"/>
  <c r="I57" i="37"/>
  <c r="I78" i="37" s="1"/>
  <c r="H64" i="46"/>
  <c r="H65" i="40" s="1"/>
  <c r="F12" i="44"/>
  <c r="G11" i="44"/>
  <c r="E12" i="44"/>
  <c r="I60" i="44"/>
  <c r="F9" i="44"/>
  <c r="F10" i="44" s="1"/>
  <c r="B22" i="32"/>
  <c r="C22" i="32"/>
  <c r="D22" i="32"/>
  <c r="E22" i="32"/>
  <c r="F22" i="32"/>
  <c r="G22" i="32"/>
  <c r="H22" i="32"/>
  <c r="I22" i="32"/>
  <c r="B23" i="32"/>
  <c r="C23" i="32"/>
  <c r="D23" i="32"/>
  <c r="E23" i="32"/>
  <c r="F23" i="32"/>
  <c r="G23" i="32"/>
  <c r="H23" i="32"/>
  <c r="I23" i="32"/>
  <c r="B24" i="32"/>
  <c r="C24" i="32"/>
  <c r="D24" i="32"/>
  <c r="E24" i="32"/>
  <c r="F24" i="32"/>
  <c r="G24" i="32"/>
  <c r="H24" i="32"/>
  <c r="I24" i="32"/>
  <c r="D25" i="32"/>
  <c r="E25" i="32"/>
  <c r="F25" i="32"/>
  <c r="H25" i="32"/>
  <c r="I25" i="32"/>
  <c r="D26" i="32"/>
  <c r="E26" i="32"/>
  <c r="F26" i="32"/>
  <c r="G26" i="32"/>
  <c r="H26" i="32"/>
  <c r="I26" i="32"/>
  <c r="B27" i="32"/>
  <c r="C27" i="32"/>
  <c r="D27" i="32"/>
  <c r="E27" i="32"/>
  <c r="F27" i="32"/>
  <c r="G27" i="32"/>
  <c r="H27" i="32"/>
  <c r="I27" i="32"/>
  <c r="B28" i="32"/>
  <c r="C28" i="32"/>
  <c r="D28" i="32"/>
  <c r="E28" i="32"/>
  <c r="F28" i="32"/>
  <c r="G28" i="32"/>
  <c r="H28" i="32"/>
  <c r="I28" i="32"/>
  <c r="B29" i="32"/>
  <c r="C29" i="32"/>
  <c r="D29" i="32"/>
  <c r="E29" i="32"/>
  <c r="F29" i="32"/>
  <c r="G29" i="32"/>
  <c r="H29" i="32"/>
  <c r="I29" i="32"/>
  <c r="D30" i="32"/>
  <c r="E30" i="32"/>
  <c r="F30" i="32"/>
  <c r="B31" i="32"/>
  <c r="C31" i="32"/>
  <c r="D31" i="32"/>
  <c r="E31" i="32"/>
  <c r="F31" i="32"/>
  <c r="G31" i="32"/>
  <c r="H31" i="32"/>
  <c r="I31" i="32"/>
  <c r="B32" i="32"/>
  <c r="C32" i="32"/>
  <c r="D32" i="32"/>
  <c r="E32" i="32"/>
  <c r="F32" i="32"/>
  <c r="G32" i="32"/>
  <c r="H32" i="32"/>
  <c r="I32" i="32"/>
  <c r="B33" i="32"/>
  <c r="C33" i="32"/>
  <c r="D33" i="32"/>
  <c r="E33" i="32"/>
  <c r="F33" i="32"/>
  <c r="G33" i="32"/>
  <c r="H33" i="32"/>
  <c r="I33" i="32"/>
  <c r="B34" i="32"/>
  <c r="C34" i="32"/>
  <c r="D34" i="32"/>
  <c r="E34" i="32"/>
  <c r="F34" i="32"/>
  <c r="G34" i="32"/>
  <c r="H34" i="32"/>
  <c r="I34" i="32"/>
  <c r="B51" i="32"/>
  <c r="C41" i="32"/>
  <c r="E41" i="32"/>
  <c r="G41" i="32"/>
  <c r="G41" i="37" s="1"/>
  <c r="G51" i="37" s="1"/>
  <c r="B42" i="32"/>
  <c r="B42" i="37" s="1"/>
  <c r="B52" i="37" s="1"/>
  <c r="C42" i="32"/>
  <c r="D42" i="32"/>
  <c r="D42" i="37" s="1"/>
  <c r="D52" i="37" s="1"/>
  <c r="E42" i="32"/>
  <c r="E42" i="37" s="1"/>
  <c r="E52" i="37" s="1"/>
  <c r="G42" i="32"/>
  <c r="B43" i="32"/>
  <c r="B43" i="37" s="1"/>
  <c r="B53" i="37" s="1"/>
  <c r="C43" i="32"/>
  <c r="C43" i="37" s="1"/>
  <c r="C53" i="37" s="1"/>
  <c r="D43" i="32"/>
  <c r="E43" i="32"/>
  <c r="G43" i="32"/>
  <c r="G43" i="37" s="1"/>
  <c r="G53" i="37" s="1"/>
  <c r="B44" i="32"/>
  <c r="B44" i="37" s="1"/>
  <c r="B54" i="37" s="1"/>
  <c r="C44" i="32"/>
  <c r="D44" i="32"/>
  <c r="E44" i="32"/>
  <c r="E54" i="32" s="1"/>
  <c r="G44" i="32"/>
  <c r="B45" i="32"/>
  <c r="B45" i="37" s="1"/>
  <c r="B55" i="37" s="1"/>
  <c r="C45" i="32"/>
  <c r="C45" i="37" s="1"/>
  <c r="C55" i="37" s="1"/>
  <c r="D45" i="32"/>
  <c r="E45" i="32"/>
  <c r="G45" i="32"/>
  <c r="B46" i="32"/>
  <c r="B46" i="37" s="1"/>
  <c r="B56" i="37" s="1"/>
  <c r="C46" i="32"/>
  <c r="D46" i="32"/>
  <c r="E46" i="32"/>
  <c r="G46" i="32"/>
  <c r="F47" i="32"/>
  <c r="F47" i="37" s="1"/>
  <c r="H47" i="32"/>
  <c r="H47" i="37" s="1"/>
  <c r="I48" i="32"/>
  <c r="H51" i="32"/>
  <c r="I51" i="32"/>
  <c r="B52" i="32"/>
  <c r="E52" i="32"/>
  <c r="H52" i="32"/>
  <c r="I52" i="32"/>
  <c r="C53" i="32"/>
  <c r="H53" i="32"/>
  <c r="I53" i="32"/>
  <c r="H54" i="32"/>
  <c r="I54" i="32"/>
  <c r="B55" i="32"/>
  <c r="H55" i="32"/>
  <c r="I55" i="32"/>
  <c r="H56" i="32"/>
  <c r="I56" i="32"/>
  <c r="B61" i="32"/>
  <c r="C61" i="32"/>
  <c r="D61" i="32"/>
  <c r="E61" i="32"/>
  <c r="F61" i="32"/>
  <c r="G61" i="32"/>
  <c r="B62" i="32"/>
  <c r="C62" i="32"/>
  <c r="D62" i="32"/>
  <c r="E62" i="32"/>
  <c r="F62" i="32"/>
  <c r="G62" i="32"/>
  <c r="G63" i="32"/>
  <c r="B64" i="32"/>
  <c r="C64" i="32"/>
  <c r="D64" i="32"/>
  <c r="E64" i="32"/>
  <c r="F64" i="32"/>
  <c r="G64" i="32"/>
  <c r="B66" i="32"/>
  <c r="C66" i="32"/>
  <c r="D66" i="32"/>
  <c r="E66" i="32"/>
  <c r="F66" i="32"/>
  <c r="G66" i="32"/>
  <c r="B70" i="32"/>
  <c r="C70" i="32"/>
  <c r="D70" i="32"/>
  <c r="E70" i="32"/>
  <c r="F70" i="32"/>
  <c r="B71" i="32"/>
  <c r="C71" i="32"/>
  <c r="D71" i="32"/>
  <c r="E71" i="32"/>
  <c r="F71" i="32"/>
  <c r="B72" i="32"/>
  <c r="C72" i="32"/>
  <c r="D72" i="32"/>
  <c r="E72" i="32"/>
  <c r="F72" i="32"/>
  <c r="D73" i="32"/>
  <c r="D36" i="32" s="1"/>
  <c r="E73" i="32"/>
  <c r="E81" i="32" s="1"/>
  <c r="F73" i="32"/>
  <c r="F36" i="32" s="1"/>
  <c r="G73" i="32"/>
  <c r="G36" i="32" s="1"/>
  <c r="C39" i="34"/>
  <c r="C26" i="32" s="1"/>
  <c r="C38" i="34"/>
  <c r="B38" i="34" s="1"/>
  <c r="B25" i="32" s="1"/>
  <c r="G64" i="34"/>
  <c r="G65" i="32" s="1"/>
  <c r="B62" i="34"/>
  <c r="B64" i="34" s="1"/>
  <c r="B65" i="32" s="1"/>
  <c r="C62" i="34"/>
  <c r="C64" i="34" s="1"/>
  <c r="C65" i="32" s="1"/>
  <c r="D62" i="34"/>
  <c r="D64" i="34" s="1"/>
  <c r="D65" i="32" s="1"/>
  <c r="E62" i="34"/>
  <c r="E64" i="34" s="1"/>
  <c r="E65" i="32" s="1"/>
  <c r="F62" i="34"/>
  <c r="F64" i="34" s="1"/>
  <c r="F65" i="32" s="1"/>
  <c r="C72" i="34"/>
  <c r="B72" i="34" s="1"/>
  <c r="B73" i="32" s="1"/>
  <c r="I64" i="46" l="1"/>
  <c r="I65" i="40" s="1"/>
  <c r="I63" i="40"/>
  <c r="B36" i="40"/>
  <c r="B37" i="40" s="1"/>
  <c r="B84" i="40" s="1"/>
  <c r="B81" i="40"/>
  <c r="B82" i="40" s="1"/>
  <c r="C81" i="40"/>
  <c r="C82" i="40" s="1"/>
  <c r="C36" i="40"/>
  <c r="C37" i="40" s="1"/>
  <c r="C84" i="40" s="1"/>
  <c r="G80" i="36"/>
  <c r="E37" i="36"/>
  <c r="E84" i="36" s="1"/>
  <c r="C36" i="37"/>
  <c r="C37" i="37" s="1"/>
  <c r="C83" i="37" s="1"/>
  <c r="C84" i="37" s="1"/>
  <c r="H36" i="37"/>
  <c r="H35" i="37"/>
  <c r="G79" i="37"/>
  <c r="G35" i="37"/>
  <c r="G37" i="37" s="1"/>
  <c r="G83" i="37" s="1"/>
  <c r="D82" i="36"/>
  <c r="D37" i="36"/>
  <c r="D84" i="36" s="1"/>
  <c r="D89" i="36" s="1"/>
  <c r="C63" i="32"/>
  <c r="B63" i="32"/>
  <c r="C73" i="32"/>
  <c r="C36" i="32" s="1"/>
  <c r="F63" i="32"/>
  <c r="G86" i="40"/>
  <c r="G87" i="40" s="1"/>
  <c r="B82" i="36"/>
  <c r="B88" i="36" s="1"/>
  <c r="C36" i="36"/>
  <c r="C37" i="36" s="1"/>
  <c r="C84" i="36" s="1"/>
  <c r="G88" i="40"/>
  <c r="G90" i="40" s="1"/>
  <c r="G91" i="40" s="1"/>
  <c r="H90" i="40"/>
  <c r="H91" i="40" s="1"/>
  <c r="I88" i="40"/>
  <c r="I90" i="40" s="1"/>
  <c r="I91" i="40" s="1"/>
  <c r="E57" i="36"/>
  <c r="E79" i="36" s="1"/>
  <c r="E82" i="36" s="1"/>
  <c r="H36" i="36"/>
  <c r="G35" i="36"/>
  <c r="G37" i="36" s="1"/>
  <c r="G84" i="36" s="1"/>
  <c r="B54" i="32"/>
  <c r="D80" i="32"/>
  <c r="B53" i="32"/>
  <c r="D52" i="32"/>
  <c r="G51" i="32"/>
  <c r="F80" i="32"/>
  <c r="F42" i="32"/>
  <c r="F44" i="32" s="1"/>
  <c r="G53" i="32"/>
  <c r="C80" i="32"/>
  <c r="B80" i="32"/>
  <c r="G56" i="32"/>
  <c r="G46" i="37"/>
  <c r="G56" i="37" s="1"/>
  <c r="G52" i="32"/>
  <c r="G42" i="37"/>
  <c r="G52" i="37" s="1"/>
  <c r="F46" i="32"/>
  <c r="E46" i="37"/>
  <c r="E56" i="37" s="1"/>
  <c r="G55" i="32"/>
  <c r="G45" i="37"/>
  <c r="G55" i="37" s="1"/>
  <c r="C54" i="32"/>
  <c r="C44" i="37"/>
  <c r="C54" i="37" s="1"/>
  <c r="D53" i="32"/>
  <c r="D43" i="37"/>
  <c r="D53" i="37" s="1"/>
  <c r="F52" i="32"/>
  <c r="F42" i="37"/>
  <c r="F52" i="37" s="1"/>
  <c r="D54" i="32"/>
  <c r="D44" i="37"/>
  <c r="D54" i="37" s="1"/>
  <c r="C52" i="32"/>
  <c r="C42" i="37"/>
  <c r="C52" i="37" s="1"/>
  <c r="C55" i="32"/>
  <c r="I57" i="32"/>
  <c r="D56" i="32"/>
  <c r="D46" i="37"/>
  <c r="D56" i="37" s="1"/>
  <c r="F45" i="32"/>
  <c r="E45" i="37"/>
  <c r="E55" i="37" s="1"/>
  <c r="G54" i="32"/>
  <c r="G44" i="37"/>
  <c r="G54" i="37" s="1"/>
  <c r="F43" i="32"/>
  <c r="E43" i="37"/>
  <c r="E53" i="37" s="1"/>
  <c r="C51" i="32"/>
  <c r="C41" i="37"/>
  <c r="C51" i="37" s="1"/>
  <c r="B56" i="32"/>
  <c r="C56" i="32"/>
  <c r="C46" i="37"/>
  <c r="C56" i="37" s="1"/>
  <c r="D55" i="32"/>
  <c r="D45" i="37"/>
  <c r="D55" i="37" s="1"/>
  <c r="E44" i="37"/>
  <c r="E54" i="37" s="1"/>
  <c r="F41" i="32"/>
  <c r="E41" i="37"/>
  <c r="E51" i="37" s="1"/>
  <c r="H79" i="37"/>
  <c r="H81" i="37" s="1"/>
  <c r="B37" i="37"/>
  <c r="B83" i="37" s="1"/>
  <c r="I86" i="40"/>
  <c r="I87" i="40" s="1"/>
  <c r="D90" i="40"/>
  <c r="D91" i="40" s="1"/>
  <c r="F86" i="40"/>
  <c r="F87" i="40" s="1"/>
  <c r="F88" i="40"/>
  <c r="F90" i="40" s="1"/>
  <c r="F91" i="40" s="1"/>
  <c r="E88" i="40"/>
  <c r="E90" i="40" s="1"/>
  <c r="E91" i="40" s="1"/>
  <c r="E86" i="40"/>
  <c r="E87" i="40" s="1"/>
  <c r="H64" i="45"/>
  <c r="H65" i="36" s="1"/>
  <c r="H63" i="36"/>
  <c r="G82" i="36"/>
  <c r="C82" i="36"/>
  <c r="I69" i="45"/>
  <c r="I70" i="36" s="1"/>
  <c r="H70" i="36"/>
  <c r="F89" i="36"/>
  <c r="I61" i="37"/>
  <c r="I69" i="37" s="1"/>
  <c r="I62" i="44"/>
  <c r="I63" i="37" s="1"/>
  <c r="B36" i="32"/>
  <c r="B81" i="32"/>
  <c r="B39" i="34"/>
  <c r="B26" i="32" s="1"/>
  <c r="E63" i="32"/>
  <c r="C25" i="32"/>
  <c r="D63" i="32"/>
  <c r="H57" i="32"/>
  <c r="B37" i="36"/>
  <c r="B84" i="36" s="1"/>
  <c r="F57" i="36"/>
  <c r="F79" i="36" s="1"/>
  <c r="F82" i="36" s="1"/>
  <c r="F37" i="37"/>
  <c r="F83" i="37" s="1"/>
  <c r="F84" i="37" s="1"/>
  <c r="D37" i="37"/>
  <c r="D83" i="37" s="1"/>
  <c r="D84" i="37" s="1"/>
  <c r="E37" i="37"/>
  <c r="E83" i="37" s="1"/>
  <c r="E84" i="37" s="1"/>
  <c r="G12" i="44"/>
  <c r="H11" i="44"/>
  <c r="E80" i="32"/>
  <c r="C35" i="32"/>
  <c r="D35" i="32"/>
  <c r="D37" i="32" s="1"/>
  <c r="D84" i="32" s="1"/>
  <c r="E56" i="32"/>
  <c r="E36" i="32"/>
  <c r="D81" i="32"/>
  <c r="F35" i="32"/>
  <c r="F37" i="32" s="1"/>
  <c r="B35" i="32"/>
  <c r="E35" i="32"/>
  <c r="E37" i="32" s="1"/>
  <c r="E84" i="32" s="1"/>
  <c r="D41" i="32"/>
  <c r="F81" i="32"/>
  <c r="E55" i="32"/>
  <c r="E53" i="32"/>
  <c r="E51" i="32"/>
  <c r="I79" i="32"/>
  <c r="C43" i="34"/>
  <c r="B88" i="37" l="1"/>
  <c r="B84" i="37"/>
  <c r="H87" i="37"/>
  <c r="H82" i="37"/>
  <c r="G88" i="37"/>
  <c r="G84" i="37"/>
  <c r="C86" i="40"/>
  <c r="C87" i="40" s="1"/>
  <c r="B86" i="40"/>
  <c r="B87" i="40" s="1"/>
  <c r="B89" i="40"/>
  <c r="B88" i="40"/>
  <c r="C89" i="40"/>
  <c r="C88" i="40"/>
  <c r="E88" i="36"/>
  <c r="C81" i="32"/>
  <c r="E89" i="36"/>
  <c r="D86" i="36"/>
  <c r="D87" i="36" s="1"/>
  <c r="D88" i="36"/>
  <c r="D90" i="36" s="1"/>
  <c r="D91" i="36" s="1"/>
  <c r="H37" i="37"/>
  <c r="H83" i="37" s="1"/>
  <c r="I64" i="44"/>
  <c r="I65" i="37" s="1"/>
  <c r="E86" i="36"/>
  <c r="E87" i="36" s="1"/>
  <c r="G57" i="32"/>
  <c r="G89" i="36"/>
  <c r="C88" i="36"/>
  <c r="G88" i="36"/>
  <c r="B57" i="32"/>
  <c r="C57" i="32"/>
  <c r="F54" i="32"/>
  <c r="F44" i="37"/>
  <c r="F54" i="37" s="1"/>
  <c r="E57" i="37"/>
  <c r="E78" i="37" s="1"/>
  <c r="E81" i="37" s="1"/>
  <c r="F53" i="32"/>
  <c r="F43" i="37"/>
  <c r="F53" i="37" s="1"/>
  <c r="F55" i="32"/>
  <c r="F45" i="37"/>
  <c r="F55" i="37" s="1"/>
  <c r="F51" i="32"/>
  <c r="F41" i="37"/>
  <c r="F51" i="37" s="1"/>
  <c r="D51" i="32"/>
  <c r="D57" i="32" s="1"/>
  <c r="D41" i="37"/>
  <c r="D51" i="37" s="1"/>
  <c r="F56" i="32"/>
  <c r="F46" i="37"/>
  <c r="F56" i="37" s="1"/>
  <c r="B89" i="36"/>
  <c r="B90" i="36" s="1"/>
  <c r="B91" i="36" s="1"/>
  <c r="H80" i="36"/>
  <c r="H82" i="36" s="1"/>
  <c r="H35" i="36"/>
  <c r="H37" i="36" s="1"/>
  <c r="H84" i="36" s="1"/>
  <c r="I80" i="36"/>
  <c r="I82" i="36" s="1"/>
  <c r="I35" i="36"/>
  <c r="I37" i="36" s="1"/>
  <c r="I84" i="36" s="1"/>
  <c r="C89" i="36"/>
  <c r="G86" i="36"/>
  <c r="G87" i="36" s="1"/>
  <c r="C86" i="36"/>
  <c r="C87" i="36" s="1"/>
  <c r="B86" i="36"/>
  <c r="B87" i="36" s="1"/>
  <c r="I79" i="37"/>
  <c r="I81" i="37" s="1"/>
  <c r="I82" i="37" s="1"/>
  <c r="I35" i="37"/>
  <c r="I37" i="37" s="1"/>
  <c r="I83" i="37" s="1"/>
  <c r="I84" i="37" s="1"/>
  <c r="B43" i="34"/>
  <c r="B30" i="32" s="1"/>
  <c r="B37" i="32" s="1"/>
  <c r="B84" i="32" s="1"/>
  <c r="C30" i="32"/>
  <c r="C37" i="32" s="1"/>
  <c r="C84" i="32" s="1"/>
  <c r="E57" i="32"/>
  <c r="F88" i="36"/>
  <c r="F90" i="36" s="1"/>
  <c r="F91" i="36" s="1"/>
  <c r="F86" i="36"/>
  <c r="F87" i="36" s="1"/>
  <c r="F88" i="37"/>
  <c r="D88" i="37"/>
  <c r="C88" i="37"/>
  <c r="E88" i="37"/>
  <c r="I11" i="44"/>
  <c r="I12" i="44" s="1"/>
  <c r="H12" i="44"/>
  <c r="F84" i="32"/>
  <c r="E87" i="37" l="1"/>
  <c r="E82" i="37"/>
  <c r="H88" i="37"/>
  <c r="H89" i="37" s="1"/>
  <c r="H90" i="37" s="1"/>
  <c r="H84" i="37"/>
  <c r="C90" i="40"/>
  <c r="C91" i="40" s="1"/>
  <c r="B90" i="40"/>
  <c r="B91" i="40" s="1"/>
  <c r="E90" i="36"/>
  <c r="E91" i="36" s="1"/>
  <c r="H85" i="37"/>
  <c r="G90" i="36"/>
  <c r="G91" i="36" s="1"/>
  <c r="C90" i="36"/>
  <c r="C91" i="36" s="1"/>
  <c r="I86" i="36"/>
  <c r="I87" i="36" s="1"/>
  <c r="E85" i="37"/>
  <c r="E89" i="37"/>
  <c r="E90" i="37" s="1"/>
  <c r="F57" i="32"/>
  <c r="F57" i="37"/>
  <c r="F78" i="37" s="1"/>
  <c r="F81" i="37" s="1"/>
  <c r="F82" i="37" s="1"/>
  <c r="H88" i="36"/>
  <c r="H86" i="36"/>
  <c r="H87" i="36" s="1"/>
  <c r="I89" i="36"/>
  <c r="I88" i="36"/>
  <c r="H89" i="36"/>
  <c r="I87" i="37"/>
  <c r="I88" i="37"/>
  <c r="I85" i="37"/>
  <c r="H86" i="37" l="1"/>
  <c r="I86" i="37"/>
  <c r="E86" i="37"/>
  <c r="I90" i="36"/>
  <c r="I91" i="36" s="1"/>
  <c r="F85" i="37"/>
  <c r="F87" i="37"/>
  <c r="F89" i="37" s="1"/>
  <c r="F90" i="37" s="1"/>
  <c r="H90" i="36"/>
  <c r="H91" i="36" s="1"/>
  <c r="I89" i="37"/>
  <c r="I90" i="37" s="1"/>
  <c r="G71" i="34"/>
  <c r="G72" i="32" s="1"/>
  <c r="F86" i="37" l="1"/>
  <c r="I71" i="34"/>
  <c r="H71" i="34"/>
  <c r="D57" i="37" l="1"/>
  <c r="D78" i="37" s="1"/>
  <c r="D81" i="37" s="1"/>
  <c r="D82" i="37" s="1"/>
  <c r="D87" i="37" l="1"/>
  <c r="D89" i="37" s="1"/>
  <c r="D90" i="37" s="1"/>
  <c r="D85" i="37"/>
  <c r="B57" i="37"/>
  <c r="B78" i="37" s="1"/>
  <c r="B81" i="37" s="1"/>
  <c r="B82" i="37" s="1"/>
  <c r="G57" i="37"/>
  <c r="G78" i="37" s="1"/>
  <c r="G81" i="37" s="1"/>
  <c r="G82" i="37" s="1"/>
  <c r="C57" i="37"/>
  <c r="C78" i="37" s="1"/>
  <c r="C81" i="37" s="1"/>
  <c r="C82" i="37" s="1"/>
  <c r="D86" i="37" l="1"/>
  <c r="B87" i="37"/>
  <c r="B89" i="37" s="1"/>
  <c r="B90" i="37" s="1"/>
  <c r="B85" i="37"/>
  <c r="C85" i="37"/>
  <c r="C87" i="37"/>
  <c r="C89" i="37" s="1"/>
  <c r="C90" i="37" s="1"/>
  <c r="G87" i="37"/>
  <c r="G89" i="37" s="1"/>
  <c r="G90" i="37" s="1"/>
  <c r="G85" i="37"/>
  <c r="G86" i="37" l="1"/>
  <c r="B86" i="37"/>
  <c r="C86" i="37"/>
  <c r="G43" i="34"/>
  <c r="G30" i="32" s="1"/>
  <c r="G38" i="34"/>
  <c r="G25" i="32" s="1"/>
  <c r="H43" i="34" l="1"/>
  <c r="H30" i="32" s="1"/>
  <c r="I43" i="34" l="1"/>
  <c r="I30" i="32" s="1"/>
  <c r="G70" i="34" l="1"/>
  <c r="G71" i="32" s="1"/>
  <c r="G69" i="34"/>
  <c r="G70" i="32" s="1"/>
  <c r="H63" i="34"/>
  <c r="H61" i="34"/>
  <c r="H60" i="34"/>
  <c r="H65" i="34"/>
  <c r="H64" i="32" l="1"/>
  <c r="H72" i="32"/>
  <c r="H66" i="32"/>
  <c r="G80" i="32"/>
  <c r="G35" i="32"/>
  <c r="G37" i="32" s="1"/>
  <c r="H61" i="32"/>
  <c r="H62" i="32"/>
  <c r="H70" i="34"/>
  <c r="I70" i="34" s="1"/>
  <c r="I65" i="34"/>
  <c r="H69" i="34"/>
  <c r="I69" i="34" s="1"/>
  <c r="I60" i="34"/>
  <c r="I61" i="34"/>
  <c r="I63" i="34"/>
  <c r="H62" i="34"/>
  <c r="H63" i="32" s="1"/>
  <c r="H71" i="32" l="1"/>
  <c r="H70" i="32"/>
  <c r="I70" i="32"/>
  <c r="I61" i="32"/>
  <c r="I64" i="32"/>
  <c r="I72" i="32"/>
  <c r="I66" i="32"/>
  <c r="I62" i="32"/>
  <c r="I71" i="32"/>
  <c r="H64" i="34"/>
  <c r="H65" i="32" s="1"/>
  <c r="I62" i="34"/>
  <c r="I63" i="32" s="1"/>
  <c r="H80" i="32" l="1"/>
  <c r="H35" i="32"/>
  <c r="I80" i="32"/>
  <c r="I35" i="32"/>
  <c r="I64" i="34"/>
  <c r="I65" i="32" s="1"/>
  <c r="H79" i="32" l="1"/>
  <c r="G79" i="32" l="1"/>
  <c r="B79" i="32"/>
  <c r="B82" i="32" s="1"/>
  <c r="C79" i="32"/>
  <c r="C82" i="32" s="1"/>
  <c r="B88" i="32" l="1"/>
  <c r="E79" i="32" l="1"/>
  <c r="E82" i="32" s="1"/>
  <c r="F79" i="32"/>
  <c r="F82" i="32" s="1"/>
  <c r="D79" i="32"/>
  <c r="D82" i="32" s="1"/>
  <c r="C88" i="32"/>
  <c r="G81" i="32" l="1"/>
  <c r="G82" i="32" s="1"/>
  <c r="G84" i="32"/>
  <c r="B86" i="32"/>
  <c r="B87" i="32" s="1"/>
  <c r="E88" i="32"/>
  <c r="H72" i="34"/>
  <c r="H73" i="32" s="1"/>
  <c r="H36" i="32" s="1"/>
  <c r="H37" i="32" s="1"/>
  <c r="B89" i="32"/>
  <c r="B90" i="32" s="1"/>
  <c r="B91" i="32" s="1"/>
  <c r="D88" i="32"/>
  <c r="F88" i="32"/>
  <c r="G89" i="32" l="1"/>
  <c r="C89" i="32"/>
  <c r="C90" i="32" s="1"/>
  <c r="C91" i="32" s="1"/>
  <c r="I72" i="34"/>
  <c r="I73" i="32" s="1"/>
  <c r="I36" i="32" s="1"/>
  <c r="I37" i="32" s="1"/>
  <c r="D89" i="32"/>
  <c r="C86" i="32"/>
  <c r="C87" i="32" s="1"/>
  <c r="D86" i="32"/>
  <c r="D87" i="32" s="1"/>
  <c r="H81" i="32" l="1"/>
  <c r="H82" i="32" s="1"/>
  <c r="H84" i="32"/>
  <c r="G88" i="32"/>
  <c r="E89" i="32"/>
  <c r="E90" i="32" s="1"/>
  <c r="E91" i="32" s="1"/>
  <c r="D90" i="32"/>
  <c r="D91" i="32" s="1"/>
  <c r="E86" i="32"/>
  <c r="E87" i="32" s="1"/>
  <c r="I81" i="32" l="1"/>
  <c r="I82" i="32" s="1"/>
  <c r="I84" i="32"/>
  <c r="G90" i="32"/>
  <c r="H88" i="32"/>
  <c r="F89" i="32"/>
  <c r="F90" i="32" s="1"/>
  <c r="F91" i="32" s="1"/>
  <c r="G86" i="32"/>
  <c r="G87" i="32" s="1"/>
  <c r="F86" i="32"/>
  <c r="F87" i="32" s="1"/>
  <c r="H86" i="32" l="1"/>
  <c r="H87" i="32" s="1"/>
  <c r="I88" i="32"/>
  <c r="G91" i="32"/>
  <c r="H89" i="32"/>
  <c r="H90" i="32" s="1"/>
  <c r="H91" i="32" s="1"/>
  <c r="I86" i="32" l="1"/>
  <c r="I87" i="32" s="1"/>
  <c r="I89" i="32"/>
  <c r="I90" i="32" s="1"/>
  <c r="I91" i="32" s="1"/>
</calcChain>
</file>

<file path=xl/sharedStrings.xml><?xml version="1.0" encoding="utf-8"?>
<sst xmlns="http://schemas.openxmlformats.org/spreadsheetml/2006/main" count="590" uniqueCount="131">
  <si>
    <t>Desktops</t>
    <phoneticPr fontId="3" type="noConversion"/>
  </si>
  <si>
    <t>Monitors</t>
    <phoneticPr fontId="3" type="noConversion"/>
  </si>
  <si>
    <t>Smartphones</t>
    <phoneticPr fontId="3" type="noConversion"/>
  </si>
  <si>
    <t>Tablets</t>
    <phoneticPr fontId="3" type="noConversion"/>
  </si>
  <si>
    <t>TV</t>
    <phoneticPr fontId="3" type="noConversion"/>
  </si>
  <si>
    <t>TV STB</t>
    <phoneticPr fontId="3" type="noConversion"/>
  </si>
  <si>
    <t>TV GC</t>
    <phoneticPr fontId="3" type="noConversion"/>
  </si>
  <si>
    <t>A/V Receiver</t>
    <phoneticPr fontId="3" type="noConversion"/>
  </si>
  <si>
    <t>Smartphones</t>
  </si>
  <si>
    <t>TV</t>
  </si>
  <si>
    <t>Phablets</t>
  </si>
  <si>
    <t>Ordinary mobile phones</t>
  </si>
  <si>
    <t>TOTAL</t>
  </si>
  <si>
    <t>M2M</t>
  </si>
  <si>
    <t>M2M COMMUNICATION DEVICES</t>
  </si>
  <si>
    <t>Networks</t>
  </si>
  <si>
    <t>Data Centers</t>
  </si>
  <si>
    <t>DVD/Bluray</t>
  </si>
  <si>
    <t xml:space="preserve">Smartphones </t>
  </si>
  <si>
    <t>Expected updated</t>
  </si>
  <si>
    <t>Higher growth peaked EE</t>
  </si>
  <si>
    <t>Higher growth higher EE</t>
  </si>
  <si>
    <t xml:space="preserve">Laptops </t>
  </si>
  <si>
    <t>Connected Devices (in millions of units)</t>
  </si>
  <si>
    <t>Desktops, Laptops, Monitors</t>
  </si>
  <si>
    <t>Laptops</t>
  </si>
  <si>
    <t>TV, TV STB, TV GC, Bluray</t>
  </si>
  <si>
    <t>Traffic (in Exabytes)</t>
  </si>
  <si>
    <t>Infrastructure Energy Consumption (in TWh)</t>
  </si>
  <si>
    <t>TOTAL Networks</t>
  </si>
  <si>
    <t>Fixed WIFI Networks</t>
  </si>
  <si>
    <t>Total Fixed Networks</t>
  </si>
  <si>
    <t>Mobile Networks</t>
  </si>
  <si>
    <t>Fixed Wired Networks</t>
  </si>
  <si>
    <t>Production Phase : Devices Production (in millions of units)</t>
  </si>
  <si>
    <t>Production Phase : Energy Consumption (in TWh)</t>
  </si>
  <si>
    <t>Consumer Devices</t>
  </si>
  <si>
    <r>
      <t>Production Phase : GHG Emissions (in MtCO</t>
    </r>
    <r>
      <rPr>
        <b/>
        <vertAlign val="subscript"/>
        <sz val="11"/>
        <color theme="0" tint="0.79995117038483843"/>
        <rFont val="Calibri"/>
        <family val="2"/>
      </rPr>
      <t>2</t>
    </r>
    <r>
      <rPr>
        <b/>
        <sz val="11"/>
        <color theme="0" tint="0.79998168889431442"/>
        <rFont val="Calibri"/>
        <family val="2"/>
      </rPr>
      <t>e)</t>
    </r>
  </si>
  <si>
    <r>
      <t>TOTAL GHG Emissions (in MtCO</t>
    </r>
    <r>
      <rPr>
        <b/>
        <vertAlign val="subscript"/>
        <sz val="11"/>
        <color theme="0" tint="0.79995117038483843"/>
        <rFont val="Calibri"/>
        <family val="2"/>
      </rPr>
      <t>2</t>
    </r>
    <r>
      <rPr>
        <b/>
        <sz val="11"/>
        <color theme="0" tint="0.79998168889431442"/>
        <rFont val="Calibri"/>
        <family val="2"/>
      </rPr>
      <t>e)</t>
    </r>
  </si>
  <si>
    <t>TOTAL : % of Global GHG Emissions</t>
  </si>
  <si>
    <t>TOTAL : % of Global Final Energy Consumption</t>
  </si>
  <si>
    <t>M2M Communication Devices</t>
  </si>
  <si>
    <t>Sobriety</t>
  </si>
  <si>
    <t>Expected Updated : Data</t>
  </si>
  <si>
    <t>Higher Growth Higher EE (Energy Efficiency) : Data</t>
  </si>
  <si>
    <t>Higher Growth Peaked EE (Energy Efficiency) : Data</t>
  </si>
  <si>
    <t>Sobriety : Data</t>
  </si>
  <si>
    <t>Higher Growth Higher EE (Energy Efficiency)</t>
  </si>
  <si>
    <t>Expected Updated</t>
  </si>
  <si>
    <t>Higher Growth Peaked EE (Energy Efficiency)</t>
  </si>
  <si>
    <t>Global electricity usage (in Twh)</t>
  </si>
  <si>
    <t>Global Energy and Electricity</t>
  </si>
  <si>
    <t>Global Primary Energy consumption (in Mtoe)</t>
  </si>
  <si>
    <t>Global Primary Energy consumption (in Twh)</t>
  </si>
  <si>
    <t>Global final energy consumption (in Mtoe)</t>
  </si>
  <si>
    <t>Global final energy consumption (in Twh)</t>
  </si>
  <si>
    <r>
      <t>GHG emissions (in MtCO</t>
    </r>
    <r>
      <rPr>
        <b/>
        <vertAlign val="subscript"/>
        <sz val="11"/>
        <color theme="0" tint="0.79995117038483843"/>
        <rFont val="Calibri"/>
        <family val="2"/>
      </rPr>
      <t>2</t>
    </r>
    <r>
      <rPr>
        <b/>
        <sz val="11"/>
        <color theme="0" tint="0.79998168889431442"/>
        <rFont val="Calibri"/>
        <family val="2"/>
      </rPr>
      <t>e)</t>
    </r>
  </si>
  <si>
    <t>Global Data</t>
  </si>
  <si>
    <t>Expected Updated Data</t>
  </si>
  <si>
    <t>Higher Growth Higher EE Data</t>
  </si>
  <si>
    <t>Production Phase : Production Energy Intensity (in kWh/unit)</t>
  </si>
  <si>
    <t>Run Phase : Consumer Devices Energy Consumption (in TWh)</t>
  </si>
  <si>
    <t>Run Phase : Energy Consumption (in TWh)</t>
  </si>
  <si>
    <r>
      <t>Run Phase : GHG Emissions (in MtCO</t>
    </r>
    <r>
      <rPr>
        <b/>
        <vertAlign val="subscript"/>
        <sz val="11"/>
        <color theme="0" tint="0.79995117038483843"/>
        <rFont val="Calibri"/>
        <family val="2"/>
      </rPr>
      <t>2</t>
    </r>
    <r>
      <rPr>
        <b/>
        <sz val="11"/>
        <color theme="0" tint="0.79998168889431442"/>
        <rFont val="Calibri"/>
        <family val="2"/>
      </rPr>
      <t>e)</t>
    </r>
  </si>
  <si>
    <t>Run Phase : Consumer Devices Unitary Elec. Cons. 
(in kwh/year)</t>
  </si>
  <si>
    <t>Infrastructure Energy Efficiency (in TWh/EB)</t>
  </si>
  <si>
    <t>Higher Growth Peaked EE Data</t>
  </si>
  <si>
    <t>Sobriety Data</t>
  </si>
  <si>
    <t>Run Phase : TOTAL Ener. Cons. (in TWh)</t>
  </si>
  <si>
    <t>Production Phase (P): % of Global Ener. Cons.</t>
  </si>
  <si>
    <t>Production Phase : TOTAL Ener. Cons. (in TWh)</t>
  </si>
  <si>
    <t>TOTAL Ener. Cons. (in TWh)</t>
  </si>
  <si>
    <t>Run Phase (U): % of Global Ener. Cons.</t>
  </si>
  <si>
    <t>Source</t>
  </si>
  <si>
    <t>Bibliography References</t>
  </si>
  <si>
    <t>Comments</t>
  </si>
  <si>
    <t>Usage, Comments</t>
  </si>
  <si>
    <t>Andrae (2015)</t>
  </si>
  <si>
    <t>The model developped in Andrae (2015) has been used to generate these calculations.</t>
  </si>
  <si>
    <t>Data bases published by IDC, used to update the physical values initially used in Andrae (2015).</t>
  </si>
  <si>
    <t>Data bases published by Gartner, used to update the physical values initially used in Andrae (2015).</t>
  </si>
  <si>
    <t>Data bases published by Cisco, used to update the physical values initially used in Andrae (2015).</t>
  </si>
  <si>
    <t>REN (2018)</t>
  </si>
  <si>
    <t>Data base produced by The Shift Project for the "Lean ICT" report, used to define the baseline values of energy intensity ratios (production phase) and energy efficiency ratios (run phase) of the devices.</t>
  </si>
  <si>
    <t>Andrae, A.S.G., Edler, T. (2015). On Global Usage of Communication Technology: Trends to 2030. Challenges. 30 Apr. 2015.</t>
  </si>
  <si>
    <t>Cisco data bases (2014, 2015, 2016, 2017, 2018)</t>
  </si>
  <si>
    <t>Gartner data bases (2017, 2018)</t>
  </si>
  <si>
    <t>IDC data bases (2017)</t>
  </si>
  <si>
    <t>IDC. (2017a). IDC Worldwide Quarterly Mobile Phone Tracker, May 30, 2017. sur: https://www.idc.com/getdoc.jsp?containerId=prUS42628117.</t>
  </si>
  <si>
    <t>IDC. (2017b, Decembre 5). IDC Forecasts Worldwide Spending on the Internet of Things to Reach $772 Billion in 2018. IDC Media Center, pp. sur: https://www.idc.com/getdoc.jsp?containerId=prUS43295217, consulté 23/04/2018.</t>
  </si>
  <si>
    <t>IDC. (2017c). IDC State of the Market 4Q17: IT Spending Review and Outlook. sur: https://www.idc.com/getfile.dyn?containerId=US43580218&amp;attachmentId=47309569, consulté le 27/04/2018.</t>
  </si>
  <si>
    <t>Cisco. (2014). Visual Networking Index: Mobile Forecast Highlights, Global - 2018 Forecast Highlights. sur: http://www.anatel.org.mx/docs/interes/Cisco_VNI_Forecast_and_Methodology.pdf.</t>
  </si>
  <si>
    <t>Cisco. (2015). Cisco Visual Networking Index.</t>
  </si>
  <si>
    <t>Cisco. (2016a). Cisco Visual Networking Index: Global Mobile Data Traffic Forecast Update, 2015–2020. sur: https://www.cisco.com/c/dam/m/en_in/innovation/enterprise/assets/mobile-white-paper-c11-520862.pdf.</t>
  </si>
  <si>
    <t>Cisco. (2016b). Visual Networking Index: Mobile Forecast Highlights, Global - 2020 Forecast Highlights. sur: https://www.cisco.com/c/dam/m/en_us/solutions/service-provider/vni-forecast-highlights/pdf/Global_2020_Forecast_Highlights.pdf.</t>
  </si>
  <si>
    <t>Cisco. (2017). Visual Networking Index: Global - 2021 Forecast Highlights. sur: https://www.cisco.com/c/dam/m/en_us/solutions/service-provider/vni-forecast-highlights/pdf/Global_2021_Forecast_Highlights.pdf.</t>
  </si>
  <si>
    <t>Cisco. (2017a). The Zettabyte Era: Trends and Analysis, Whitepaper. sur https://www.cisco.com/c/en/us/solutions/collateral/service-provider/visual-networking-index-vni/vni-hyperconnectivity-wp.pdf.</t>
  </si>
  <si>
    <t>Cisco. (2017b). Cisco Visual Networking Index: Forecast and Methodology, 2016–2021. sur https://www.cisco.com/c/en/us/solutions/collateral/service-provider/visual-networking-index-vni/complete-white-paper-c11-481360.pdf.</t>
  </si>
  <si>
    <t>Cisco. (2018). Cisco Global Cloud Index, Forecast and Methodology 2016–2021, Whitepaper. sur https://www.cisco.com/c/en/us/solutions/collateral/service-provider/global-cloud-index-gci/white-paper-c11-738085.pdf.</t>
  </si>
  <si>
    <t>Cisco. (2018b). VNI Mobile Forecast Highlights, 2016-2021. sur https://www.cisco.com/assets/sol/sp/vni/forecast_highlights_mobile/.</t>
  </si>
  <si>
    <t>Gartner. (2017). Gartner Says 8.4 Billion Connected "Things" Will Be in Use in 2017, Up 31 Percent From 2016. sur: https://www.gartner.com/newsroom/id/3598917, consulté 27/04/2018.</t>
  </si>
  <si>
    <t>Gartner. (2018a). Gartner Says Worldwide Device Shipments Will Increase 2.1 Percent in 2018. 29/01/2018. consulté le 23/04/2018: https://www.gartner.com/newsroom/id/3859963.</t>
  </si>
  <si>
    <t>Gartner. (2018b). Gartner Forecasts Worldwide Public Cloud Revenue to Grow 21.4 Percent in 2018. (12/04/2018). sur https://www.gartner.com/newsroom/id/3871416.</t>
  </si>
  <si>
    <t>Sources</t>
  </si>
  <si>
    <t>The Shift Project. (2018). [Lean ICT Materials] REN. Groupe de travail "Lean ICT". https://theshiftproject.org/wp-content/uploads/2018/10/Lean-ICT-Materials-Liens-à-télécharger.pdf.</t>
  </si>
  <si>
    <t>Hypothesis</t>
  </si>
  <si>
    <t>Scenario</t>
  </si>
  <si>
    <t>General hypothesis</t>
  </si>
  <si>
    <t>These calculations use the model defined in Andrae (2015).</t>
  </si>
  <si>
    <t>The values used in Andrae (2015) for the physical values (production of devices, installed basis of connected devices, traffic) have been updated from data bases :
  • IDC data bases (2017)
  • Gartner data bases (2017, 2018)
  • Cisco data bases  (2014, 2015, 2016, 2017, 2018)</t>
  </si>
  <si>
    <t>The baseline values of energy intensity ratios (production) and energy efficiency ratios (use) of the devices come from the REN (2018), database produced by The Shift Project.</t>
  </si>
  <si>
    <t>The baseline values of network and data centers energy efficiency ratios are those used in Andrae (2015).</t>
  </si>
  <si>
    <t>/</t>
  </si>
  <si>
    <r>
      <t xml:space="preserve">"EE" stands for Energy Efficiency
</t>
    </r>
    <r>
      <rPr>
        <b/>
        <sz val="11"/>
        <color theme="1"/>
        <rFont val="Calibri"/>
        <family val="2"/>
      </rPr>
      <t>Scenarios :</t>
    </r>
    <r>
      <rPr>
        <sz val="11"/>
        <color theme="1"/>
        <rFont val="Calibri"/>
        <family val="2"/>
      </rPr>
      <t xml:space="preserve">
  • Scenario ( 0 ) : the "Expected Case Scenario" in Andrae (2015),
  • Scenario ( 1 ) : Expected Updated,
  • Scenario ( 2 ) : Higher growth higher EE
  • Scenario ( 3 ) : Superior growth peaked EE
  • Scenario ( 4 ) : Sobriety</t>
    </r>
  </si>
  <si>
    <r>
      <rPr>
        <b/>
        <sz val="11"/>
        <color theme="1"/>
        <rFont val="Calibri"/>
        <family val="2"/>
      </rPr>
      <t>Rate of EE gains :</t>
    </r>
    <r>
      <rPr>
        <sz val="11"/>
        <color theme="1"/>
        <rFont val="Calibri"/>
        <family val="2"/>
      </rPr>
      <t xml:space="preserve"> same as Scenario ( 0 ).</t>
    </r>
  </si>
  <si>
    <r>
      <rPr>
        <b/>
        <sz val="11"/>
        <color theme="1"/>
        <rFont val="Calibri"/>
        <family val="2"/>
      </rPr>
      <t>Rate of EE gains :</t>
    </r>
    <r>
      <rPr>
        <sz val="11"/>
        <color theme="1"/>
        <rFont val="Calibri"/>
        <family val="2"/>
      </rPr>
      <t xml:space="preserve">  improves more rapidly from 2015 onwards.</t>
    </r>
  </si>
  <si>
    <r>
      <rPr>
        <b/>
        <sz val="11"/>
        <color theme="1"/>
        <rFont val="Calibri"/>
        <family val="2"/>
      </rPr>
      <t>Evolution of data traffic :</t>
    </r>
    <r>
      <rPr>
        <sz val="11"/>
        <color theme="1"/>
        <rFont val="Calibri"/>
        <family val="2"/>
      </rPr>
      <t xml:space="preserve"> updated from Scenario ( 0 ), with data and trends by Cisco (2017, 2018).</t>
    </r>
  </si>
  <si>
    <r>
      <rPr>
        <b/>
        <sz val="11"/>
        <color theme="1"/>
        <rFont val="Calibri"/>
        <family val="2"/>
      </rPr>
      <t>Evolution of devices production :</t>
    </r>
    <r>
      <rPr>
        <sz val="11"/>
        <color theme="1"/>
        <rFont val="Calibri"/>
        <family val="2"/>
      </rPr>
      <t xml:space="preserve"> updated from Scenario ( 0 ), with data and trends by Cisco, IDC and Gartner data bases.</t>
    </r>
  </si>
  <si>
    <t>Previsions of Scenario ( 0 ) have all been updated until 2017 with actual data by Cisco, IDC and Gartner data bases.</t>
  </si>
  <si>
    <r>
      <rPr>
        <b/>
        <sz val="11"/>
        <color theme="1"/>
        <rFont val="Calibri"/>
        <family val="2"/>
      </rPr>
      <t>Evolution of data traffic :</t>
    </r>
    <r>
      <rPr>
        <sz val="11"/>
        <color theme="1"/>
        <rFont val="Calibri"/>
        <family val="2"/>
      </rPr>
      <t xml:space="preserve"> updated from Scenatio ( 0 ) with data by Cisco, applying the historical growth rate to the projections by 2025 (higher than trends in Scenario ( 1 ) ).</t>
    </r>
  </si>
  <si>
    <r>
      <rPr>
        <b/>
        <sz val="11"/>
        <color theme="1"/>
        <rFont val="Calibri"/>
        <family val="2"/>
      </rPr>
      <t>Evolution of data traffic :</t>
    </r>
    <r>
      <rPr>
        <sz val="11"/>
        <color theme="1"/>
        <rFont val="Calibri"/>
        <family val="2"/>
      </rPr>
      <t xml:space="preserve">  same as Scenario ( 2 ) until 2020, then slightly more important.</t>
    </r>
  </si>
  <si>
    <r>
      <rPr>
        <b/>
        <sz val="11"/>
        <color theme="1"/>
        <rFont val="Calibri"/>
        <family val="2"/>
      </rPr>
      <t>Rate of EE gains :</t>
    </r>
    <r>
      <rPr>
        <sz val="11"/>
        <color theme="1"/>
        <rFont val="Calibri"/>
        <family val="2"/>
      </rPr>
      <t xml:space="preserve"> same as Scenario ( 2 ) until 2020, then slow down for data centers </t>
    </r>
  </si>
  <si>
    <r>
      <rPr>
        <b/>
        <sz val="11"/>
        <color theme="1"/>
        <rFont val="Calibri"/>
        <family val="2"/>
      </rPr>
      <t>Rate of EE gains :</t>
    </r>
    <r>
      <rPr>
        <sz val="11"/>
        <color theme="1"/>
        <rFont val="Calibri"/>
        <family val="2"/>
      </rPr>
      <t xml:space="preserve"> same as Scenario ( 2 ) until 2020, then slow down particularly in data centers</t>
    </r>
  </si>
  <si>
    <r>
      <t xml:space="preserve">Evolution of data traffic : </t>
    </r>
    <r>
      <rPr>
        <sz val="11"/>
        <color theme="1"/>
        <rFont val="Calibri"/>
        <family val="2"/>
      </rPr>
      <t>same as Scenario ( 2 ) until 2020, then slow down.</t>
    </r>
  </si>
  <si>
    <r>
      <rPr>
        <b/>
        <sz val="11"/>
        <color theme="1"/>
        <rFont val="Calibri"/>
        <family val="2"/>
      </rPr>
      <t>Evolution of devices production :</t>
    </r>
    <r>
      <rPr>
        <sz val="11"/>
        <color theme="1"/>
        <rFont val="Calibri"/>
        <family val="2"/>
      </rPr>
      <t xml:space="preserve"> same as Scenario ( 2 ) until 2020, then slow down.</t>
    </r>
  </si>
  <si>
    <r>
      <t xml:space="preserve">Hypothesis of </t>
    </r>
    <r>
      <rPr>
        <b/>
        <sz val="11"/>
        <color theme="1"/>
        <rFont val="Calibri"/>
        <family val="2"/>
      </rPr>
      <t xml:space="preserve">data traffic </t>
    </r>
    <r>
      <rPr>
        <sz val="11"/>
        <color theme="1"/>
        <rFont val="Calibri"/>
        <family val="2"/>
      </rPr>
      <t xml:space="preserve">and </t>
    </r>
    <r>
      <rPr>
        <b/>
        <sz val="11"/>
        <color theme="1"/>
        <rFont val="Calibri"/>
        <family val="2"/>
      </rPr>
      <t>devices production</t>
    </r>
    <r>
      <rPr>
        <sz val="11"/>
        <color theme="1"/>
        <rFont val="Calibri"/>
        <family val="2"/>
      </rPr>
      <t xml:space="preserve"> slowing down after 2020 : implementations of sobriety practices.</t>
    </r>
  </si>
  <si>
    <t>Superior Growth Peaked EE 
( 3 )</t>
  </si>
  <si>
    <t>Higher growth higher EE 
( 2 )</t>
  </si>
  <si>
    <t>Sobriety 
( 4 )</t>
  </si>
  <si>
    <t>Expected Updated 
( 1 )</t>
  </si>
  <si>
    <r>
      <t xml:space="preserve">Hypothesis for </t>
    </r>
    <r>
      <rPr>
        <b/>
        <sz val="11"/>
        <color theme="1"/>
        <rFont val="Calibri"/>
        <family val="2"/>
      </rPr>
      <t>Rate of EE gains</t>
    </r>
    <r>
      <rPr>
        <sz val="11"/>
        <color theme="1"/>
        <rFont val="Calibri"/>
        <family val="2"/>
      </rPr>
      <t xml:space="preserve"> : energy performance will be capped once all good practices have been applied 
(United States Data Center Energy Usage Report, 2016, page 47).</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</si>
</sst>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17" x14ac:knownFonts="1">
    <font>
      <sz val="10"/>
      <name val="Verdana"/>
    </font>
    <font>
      <b/>
      <sz val="10"/>
      <name val="Verdana"/>
      <family val="2"/>
    </font>
    <font>
      <sz val="10"/>
      <name val="Verdana"/>
      <family val="2"/>
    </font>
    <font>
      <sz val="8"/>
      <name val="Verdana"/>
      <family val="2"/>
    </font>
    <font>
      <sz val="10"/>
      <name val="Arial"/>
      <family val="2"/>
    </font>
    <font>
      <i/>
      <sz val="10"/>
      <name val="Verdana"/>
      <family val="2"/>
    </font>
    <font>
      <b/>
      <sz val="10"/>
      <name val="Verdana"/>
      <family val="2"/>
    </font>
    <font>
      <sz val="10"/>
      <name val="Verdana"/>
      <family val="2"/>
    </font>
    <font>
      <sz val="10"/>
      <name val="Verdana"/>
      <family val="2"/>
    </font>
    <font>
      <b/>
      <sz val="10"/>
      <color rgb="FFFF0000"/>
      <name val="Verdana"/>
      <family val="2"/>
    </font>
    <font>
      <b/>
      <sz val="11"/>
      <color theme="0" tint="0.79998168889431442"/>
      <name val="Calibri"/>
      <family val="2"/>
    </font>
    <font>
      <sz val="11"/>
      <color theme="1"/>
      <name val="Calibri"/>
      <family val="2"/>
    </font>
    <font>
      <b/>
      <vertAlign val="subscript"/>
      <sz val="11"/>
      <color theme="0" tint="0.79995117038483843"/>
      <name val="Calibri"/>
      <family val="2"/>
    </font>
    <font>
      <b/>
      <sz val="16"/>
      <color theme="0" tint="0.79998168889431442"/>
      <name val="Calibri"/>
      <family val="2"/>
    </font>
    <font>
      <sz val="9"/>
      <color rgb="FFF06E05"/>
      <name val="Arial Rounded MT Bold"/>
      <family val="2"/>
    </font>
    <font>
      <sz val="11"/>
      <name val="Calibri"/>
      <family val="2"/>
      <scheme val="minor"/>
    </font>
    <font>
      <b/>
      <sz val="11"/>
      <color theme="1"/>
      <name val="Calibri"/>
      <family val="2"/>
    </font>
  </fonts>
  <fills count="9">
    <fill>
      <patternFill patternType="none"/>
    </fill>
    <fill>
      <patternFill patternType="gray125"/>
    </fill>
    <fill>
      <patternFill patternType="solid">
        <fgColor theme="5" tint="-0.499984740745262"/>
        <bgColor rgb="FF000000"/>
      </patternFill>
    </fill>
    <fill>
      <patternFill patternType="solid">
        <fgColor theme="5" tint="-0.249977111117893"/>
        <bgColor rgb="FF000000"/>
      </patternFill>
    </fill>
    <fill>
      <patternFill patternType="solid">
        <fgColor theme="5" tint="0.79998168889431442"/>
        <bgColor rgb="FF000000"/>
      </patternFill>
    </fill>
    <fill>
      <patternFill patternType="solid">
        <fgColor theme="5" tint="0.59999389629810485"/>
        <bgColor rgb="FF000000"/>
      </patternFill>
    </fill>
    <fill>
      <patternFill patternType="solid">
        <fgColor rgb="FFFEE8D6"/>
        <bgColor indexed="64"/>
      </patternFill>
    </fill>
    <fill>
      <patternFill patternType="solid">
        <fgColor theme="5" tint="0.79998168889431442"/>
        <bgColor indexed="64"/>
      </patternFill>
    </fill>
    <fill>
      <patternFill patternType="solid">
        <fgColor theme="5" tint="0.59999389629810485"/>
        <bgColor indexed="64"/>
      </patternFill>
    </fill>
  </fills>
  <borders count="19">
    <border>
      <left/>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06E05"/>
      </left>
      <right/>
      <top style="medium">
        <color rgb="FFF06E05"/>
      </top>
      <bottom/>
      <diagonal/>
    </border>
    <border>
      <left/>
      <right style="medium">
        <color rgb="FFF06E05"/>
      </right>
      <top style="medium">
        <color rgb="FFF06E05"/>
      </top>
      <bottom/>
      <diagonal/>
    </border>
    <border>
      <left style="medium">
        <color rgb="FFF06E05"/>
      </left>
      <right/>
      <top/>
      <bottom style="medium">
        <color rgb="FFF06E05"/>
      </bottom>
      <diagonal/>
    </border>
    <border>
      <left/>
      <right style="medium">
        <color rgb="FFF06E05"/>
      </right>
      <top/>
      <bottom style="medium">
        <color rgb="FFF06E05"/>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3">
    <xf numFmtId="0" fontId="0" fillId="0" borderId="0"/>
    <xf numFmtId="0" fontId="4" fillId="0" borderId="0"/>
    <xf numFmtId="0" fontId="2" fillId="0" borderId="0"/>
  </cellStyleXfs>
  <cellXfs count="146">
    <xf numFmtId="0" fontId="0" fillId="0" borderId="0" xfId="0"/>
    <xf numFmtId="1" fontId="1" fillId="0" borderId="0" xfId="0" applyNumberFormat="1" applyFont="1"/>
    <xf numFmtId="0" fontId="1" fillId="0" borderId="0" xfId="0" applyFont="1"/>
    <xf numFmtId="1" fontId="0" fillId="0" borderId="0" xfId="0" applyNumberFormat="1"/>
    <xf numFmtId="0" fontId="2" fillId="0" borderId="0" xfId="0" applyFont="1"/>
    <xf numFmtId="166" fontId="0" fillId="0" borderId="0" xfId="0" applyNumberFormat="1"/>
    <xf numFmtId="165" fontId="1" fillId="0" borderId="0" xfId="0" applyNumberFormat="1" applyFont="1"/>
    <xf numFmtId="0" fontId="6" fillId="0" borderId="0" xfId="0" applyFont="1"/>
    <xf numFmtId="0" fontId="7" fillId="0" borderId="0" xfId="0" applyFont="1"/>
    <xf numFmtId="1" fontId="7" fillId="0" borderId="0" xfId="0" applyNumberFormat="1" applyFont="1"/>
    <xf numFmtId="0" fontId="6" fillId="0" borderId="0" xfId="2" applyFont="1" applyFill="1" applyAlignment="1">
      <alignment horizontal="center" wrapText="1"/>
    </xf>
    <xf numFmtId="1" fontId="6" fillId="0" borderId="0" xfId="2" applyNumberFormat="1" applyFont="1" applyAlignment="1">
      <alignment horizontal="center" wrapText="1"/>
    </xf>
    <xf numFmtId="165" fontId="6" fillId="0" borderId="0" xfId="0" applyNumberFormat="1" applyFont="1"/>
    <xf numFmtId="164" fontId="6" fillId="0" borderId="0" xfId="0" applyNumberFormat="1" applyFont="1"/>
    <xf numFmtId="0" fontId="9" fillId="0" borderId="0" xfId="0" applyFont="1" applyAlignment="1">
      <alignment wrapText="1"/>
    </xf>
    <xf numFmtId="9" fontId="2" fillId="0" borderId="0" xfId="0" applyNumberFormat="1" applyFont="1"/>
    <xf numFmtId="0" fontId="5" fillId="0" borderId="0" xfId="0" applyFont="1"/>
    <xf numFmtId="0" fontId="1" fillId="0" borderId="0" xfId="0" applyFont="1" applyAlignment="1">
      <alignment wrapText="1"/>
    </xf>
    <xf numFmtId="1" fontId="7" fillId="0" borderId="0" xfId="0" applyNumberFormat="1" applyFont="1" applyFill="1"/>
    <xf numFmtId="0" fontId="1" fillId="0" borderId="0" xfId="0" applyFont="1" applyFill="1"/>
    <xf numFmtId="164" fontId="1" fillId="0" borderId="0" xfId="0" applyNumberFormat="1" applyFont="1"/>
    <xf numFmtId="0" fontId="6" fillId="0" borderId="0" xfId="0" applyFont="1" applyAlignment="1">
      <alignment horizontal="center"/>
    </xf>
    <xf numFmtId="0" fontId="6" fillId="0" borderId="0" xfId="2" applyFont="1" applyAlignment="1">
      <alignment horizontal="center" wrapText="1"/>
    </xf>
    <xf numFmtId="0" fontId="7" fillId="0" borderId="0" xfId="0" applyFont="1" applyAlignment="1">
      <alignment horizontal="center"/>
    </xf>
    <xf numFmtId="0" fontId="1" fillId="0" borderId="0" xfId="0" applyFont="1" applyAlignment="1">
      <alignment horizontal="center"/>
    </xf>
    <xf numFmtId="0" fontId="2" fillId="0" borderId="0" xfId="0" applyFont="1" applyAlignment="1">
      <alignment horizontal="left"/>
    </xf>
    <xf numFmtId="0" fontId="8" fillId="0" borderId="0" xfId="0" applyFont="1" applyBorder="1"/>
    <xf numFmtId="0" fontId="7" fillId="0" borderId="0" xfId="0" applyFont="1" applyFill="1" applyAlignment="1">
      <alignment horizontal="center"/>
    </xf>
    <xf numFmtId="0" fontId="1" fillId="0" borderId="0" xfId="0" applyFont="1" applyFill="1" applyAlignment="1">
      <alignment horizontal="center"/>
    </xf>
    <xf numFmtId="164" fontId="1" fillId="0" borderId="0" xfId="0" applyNumberFormat="1" applyFont="1" applyFill="1"/>
    <xf numFmtId="9" fontId="0" fillId="0" borderId="0" xfId="0" applyNumberFormat="1" applyAlignment="1">
      <alignment horizontal="left"/>
    </xf>
    <xf numFmtId="0" fontId="7" fillId="0" borderId="0" xfId="0" applyFont="1" applyBorder="1" applyAlignment="1">
      <alignment horizontal="center"/>
    </xf>
    <xf numFmtId="0" fontId="8" fillId="0" borderId="0" xfId="0" applyFont="1" applyBorder="1" applyAlignment="1">
      <alignment horizontal="center"/>
    </xf>
    <xf numFmtId="0" fontId="1" fillId="0" borderId="0" xfId="0" applyFont="1" applyAlignment="1">
      <alignment horizontal="center" vertical="center"/>
    </xf>
    <xf numFmtId="165" fontId="2" fillId="0" borderId="0" xfId="0" applyNumberFormat="1" applyFont="1"/>
    <xf numFmtId="2" fontId="2" fillId="0" borderId="0" xfId="0" applyNumberFormat="1" applyFont="1"/>
    <xf numFmtId="0" fontId="6" fillId="0" borderId="0" xfId="0" applyFont="1" applyAlignment="1">
      <alignment horizontal="center"/>
    </xf>
    <xf numFmtId="0" fontId="6" fillId="0" borderId="0" xfId="2" applyFont="1" applyAlignment="1">
      <alignment horizontal="center" wrapText="1"/>
    </xf>
    <xf numFmtId="0" fontId="7" fillId="0" borderId="0" xfId="0" applyFont="1" applyAlignment="1">
      <alignment horizontal="center"/>
    </xf>
    <xf numFmtId="1" fontId="1" fillId="0" borderId="0" xfId="0" applyNumberFormat="1" applyFont="1" applyBorder="1" applyAlignment="1">
      <alignment horizontal="center"/>
    </xf>
    <xf numFmtId="0" fontId="2" fillId="0" borderId="0" xfId="0" applyFont="1" applyFill="1"/>
    <xf numFmtId="0" fontId="6" fillId="0" borderId="0" xfId="0" applyFont="1" applyAlignment="1">
      <alignment horizontal="center"/>
    </xf>
    <xf numFmtId="0" fontId="6" fillId="0" borderId="0" xfId="2" applyFont="1" applyAlignment="1">
      <alignment horizontal="center" wrapText="1"/>
    </xf>
    <xf numFmtId="0" fontId="7" fillId="0" borderId="0" xfId="0" applyFont="1" applyAlignment="1">
      <alignment horizontal="center"/>
    </xf>
    <xf numFmtId="0" fontId="1" fillId="0" borderId="0" xfId="0" applyFont="1" applyAlignment="1">
      <alignment horizontal="center"/>
    </xf>
    <xf numFmtId="1" fontId="1" fillId="0" borderId="0" xfId="0" applyNumberFormat="1" applyFont="1" applyBorder="1" applyAlignment="1">
      <alignment horizontal="center"/>
    </xf>
    <xf numFmtId="0" fontId="2" fillId="0" borderId="0" xfId="0" applyFont="1" applyAlignment="1">
      <alignment horizontal="left"/>
    </xf>
    <xf numFmtId="1" fontId="8" fillId="0" borderId="0" xfId="0" applyNumberFormat="1" applyFont="1" applyBorder="1" applyAlignment="1">
      <alignment horizontal="center" vertical="center"/>
    </xf>
    <xf numFmtId="1" fontId="0" fillId="0" borderId="0" xfId="0" applyNumberFormat="1" applyBorder="1" applyAlignment="1">
      <alignment horizontal="center" vertical="center"/>
    </xf>
    <xf numFmtId="166" fontId="2" fillId="0" borderId="0" xfId="0" applyNumberFormat="1" applyFont="1"/>
    <xf numFmtId="0" fontId="1" fillId="0" borderId="0" xfId="0" applyFont="1" applyBorder="1" applyAlignment="1">
      <alignment horizontal="center"/>
    </xf>
    <xf numFmtId="0" fontId="6" fillId="0" borderId="0" xfId="0" applyFont="1" applyBorder="1" applyAlignment="1">
      <alignment horizontal="center"/>
    </xf>
    <xf numFmtId="2" fontId="1" fillId="0" borderId="0" xfId="0" applyNumberFormat="1" applyFont="1" applyBorder="1" applyAlignment="1">
      <alignment horizontal="center"/>
    </xf>
    <xf numFmtId="1" fontId="2" fillId="0" borderId="0" xfId="0" applyNumberFormat="1" applyFont="1" applyBorder="1" applyAlignment="1">
      <alignment horizontal="center"/>
    </xf>
    <xf numFmtId="0" fontId="2" fillId="0" borderId="0" xfId="0" applyFont="1" applyBorder="1" applyAlignment="1">
      <alignment horizontal="center"/>
    </xf>
    <xf numFmtId="1" fontId="1" fillId="0" borderId="0" xfId="0" applyNumberFormat="1" applyFont="1" applyBorder="1" applyAlignment="1">
      <alignment horizontal="center"/>
    </xf>
    <xf numFmtId="0" fontId="0" fillId="0" borderId="0" xfId="0" applyFill="1"/>
    <xf numFmtId="0" fontId="2" fillId="0" borderId="0" xfId="0" applyFont="1" applyAlignment="1">
      <alignment horizontal="center" vertical="center"/>
    </xf>
    <xf numFmtId="0" fontId="8" fillId="0" borderId="0" xfId="0" applyFont="1" applyBorder="1" applyAlignment="1">
      <alignment horizontal="center" vertical="center"/>
    </xf>
    <xf numFmtId="0" fontId="6" fillId="0" borderId="0" xfId="2" applyFont="1" applyAlignment="1">
      <alignment horizontal="center" wrapText="1"/>
    </xf>
    <xf numFmtId="0" fontId="6" fillId="0" borderId="0" xfId="0" applyFont="1" applyAlignment="1">
      <alignment horizontal="center"/>
    </xf>
    <xf numFmtId="0" fontId="2" fillId="0" borderId="0" xfId="0" applyFont="1" applyAlignment="1">
      <alignment wrapText="1"/>
    </xf>
    <xf numFmtId="0" fontId="2" fillId="0" borderId="0" xfId="0" applyFont="1" applyFill="1" applyBorder="1" applyAlignment="1">
      <alignment horizontal="center"/>
    </xf>
    <xf numFmtId="0" fontId="7" fillId="0" borderId="0" xfId="0" applyFont="1" applyFill="1"/>
    <xf numFmtId="0" fontId="10" fillId="2"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1" fontId="11" fillId="4" borderId="0" xfId="0" applyNumberFormat="1" applyFont="1" applyFill="1" applyBorder="1" applyAlignment="1">
      <alignment horizontal="center" vertical="center" wrapText="1"/>
    </xf>
    <xf numFmtId="0" fontId="11" fillId="4" borderId="0" xfId="0" applyFont="1" applyFill="1" applyBorder="1" applyAlignment="1">
      <alignment horizontal="center" vertical="center" wrapText="1"/>
    </xf>
    <xf numFmtId="1" fontId="10" fillId="3" borderId="0" xfId="0" applyNumberFormat="1" applyFont="1" applyFill="1" applyBorder="1" applyAlignment="1">
      <alignment horizontal="center" vertical="center" wrapText="1"/>
    </xf>
    <xf numFmtId="165" fontId="11" fillId="4" borderId="0" xfId="0" applyNumberFormat="1" applyFont="1" applyFill="1" applyBorder="1" applyAlignment="1">
      <alignment horizontal="center" vertical="center" wrapText="1"/>
    </xf>
    <xf numFmtId="165" fontId="10" fillId="3" borderId="0" xfId="0" applyNumberFormat="1"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1" fontId="11" fillId="4" borderId="5" xfId="0" applyNumberFormat="1" applyFont="1" applyFill="1" applyBorder="1" applyAlignment="1">
      <alignment horizontal="center" vertical="center" wrapText="1"/>
    </xf>
    <xf numFmtId="0" fontId="10" fillId="2" borderId="6" xfId="0" applyFont="1" applyFill="1" applyBorder="1" applyAlignment="1">
      <alignment horizontal="center" vertical="center" wrapText="1"/>
    </xf>
    <xf numFmtId="1" fontId="10" fillId="3" borderId="7" xfId="0" applyNumberFormat="1" applyFont="1" applyFill="1" applyBorder="1" applyAlignment="1">
      <alignment horizontal="center" vertical="center" wrapText="1"/>
    </xf>
    <xf numFmtId="1" fontId="10" fillId="3" borderId="8" xfId="0" applyNumberFormat="1" applyFont="1" applyFill="1" applyBorder="1" applyAlignment="1">
      <alignment horizontal="center" vertical="center" wrapText="1"/>
    </xf>
    <xf numFmtId="0" fontId="10" fillId="2" borderId="2" xfId="0" applyFont="1" applyFill="1" applyBorder="1" applyAlignment="1">
      <alignment horizontal="center" vertical="center" wrapText="1"/>
    </xf>
    <xf numFmtId="1" fontId="11" fillId="4" borderId="7" xfId="0" applyNumberFormat="1" applyFont="1" applyFill="1" applyBorder="1" applyAlignment="1">
      <alignment horizontal="center" vertical="center" wrapText="1"/>
    </xf>
    <xf numFmtId="1" fontId="11" fillId="4" borderId="8" xfId="0" applyNumberFormat="1" applyFont="1" applyFill="1" applyBorder="1" applyAlignment="1">
      <alignment horizontal="center" vertical="center" wrapText="1"/>
    </xf>
    <xf numFmtId="1" fontId="10" fillId="3" borderId="2" xfId="0" applyNumberFormat="1" applyFont="1" applyFill="1" applyBorder="1" applyAlignment="1">
      <alignment horizontal="center" vertical="center" wrapText="1"/>
    </xf>
    <xf numFmtId="1" fontId="10" fillId="3" borderId="5" xfId="0" applyNumberFormat="1" applyFont="1" applyFill="1" applyBorder="1" applyAlignment="1">
      <alignment horizontal="center" vertical="center" wrapText="1"/>
    </xf>
    <xf numFmtId="1" fontId="11" fillId="5" borderId="2" xfId="0" applyNumberFormat="1" applyFont="1" applyFill="1" applyBorder="1" applyAlignment="1">
      <alignment horizontal="center" vertical="center" wrapText="1"/>
    </xf>
    <xf numFmtId="165" fontId="11" fillId="4" borderId="5" xfId="0" applyNumberFormat="1" applyFont="1" applyFill="1" applyBorder="1" applyAlignment="1">
      <alignment horizontal="center" vertical="center" wrapText="1"/>
    </xf>
    <xf numFmtId="165" fontId="10" fillId="3" borderId="5" xfId="0" applyNumberFormat="1" applyFont="1" applyFill="1" applyBorder="1" applyAlignment="1">
      <alignment horizontal="center" vertical="center" wrapText="1"/>
    </xf>
    <xf numFmtId="165" fontId="10" fillId="3" borderId="7" xfId="0" applyNumberFormat="1" applyFont="1" applyFill="1" applyBorder="1" applyAlignment="1">
      <alignment horizontal="center" vertical="center" wrapText="1"/>
    </xf>
    <xf numFmtId="165" fontId="10" fillId="3" borderId="8" xfId="0" applyNumberFormat="1" applyFont="1" applyFill="1" applyBorder="1" applyAlignment="1">
      <alignment horizontal="center" vertical="center" wrapText="1"/>
    </xf>
    <xf numFmtId="1" fontId="11" fillId="0" borderId="0" xfId="0" applyNumberFormat="1" applyFont="1" applyFill="1" applyBorder="1" applyAlignment="1">
      <alignment horizontal="center" vertical="center" wrapText="1"/>
    </xf>
    <xf numFmtId="0" fontId="10" fillId="0" borderId="0" xfId="0" applyFont="1" applyFill="1" applyBorder="1" applyAlignment="1">
      <alignment horizontal="center" vertical="center" wrapText="1"/>
    </xf>
    <xf numFmtId="0" fontId="14" fillId="0" borderId="0" xfId="0" applyFont="1" applyFill="1" applyBorder="1" applyAlignment="1">
      <alignment vertical="center"/>
    </xf>
    <xf numFmtId="0" fontId="10" fillId="2" borderId="0" xfId="0" applyFont="1" applyFill="1" applyBorder="1" applyAlignment="1">
      <alignment horizontal="center" vertical="center" wrapText="1"/>
    </xf>
    <xf numFmtId="2" fontId="11" fillId="4" borderId="0" xfId="0" applyNumberFormat="1" applyFont="1" applyFill="1" applyBorder="1" applyAlignment="1">
      <alignment horizontal="center" vertical="center" wrapText="1"/>
    </xf>
    <xf numFmtId="1" fontId="0" fillId="0" borderId="0" xfId="0" applyNumberFormat="1" applyBorder="1"/>
    <xf numFmtId="2" fontId="11" fillId="4" borderId="5" xfId="0" applyNumberFormat="1" applyFont="1" applyFill="1" applyBorder="1" applyAlignment="1">
      <alignment horizontal="center" vertical="center" wrapText="1"/>
    </xf>
    <xf numFmtId="2" fontId="11" fillId="4" borderId="7" xfId="0" applyNumberFormat="1" applyFont="1" applyFill="1" applyBorder="1" applyAlignment="1">
      <alignment horizontal="center" vertical="center" wrapText="1"/>
    </xf>
    <xf numFmtId="2" fontId="11" fillId="4" borderId="8" xfId="0" applyNumberFormat="1"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applyAlignment="1">
      <alignment horizontal="left"/>
    </xf>
    <xf numFmtId="0" fontId="0" fillId="0" borderId="0" xfId="0" applyFill="1" applyBorder="1" applyAlignment="1">
      <alignment wrapText="1"/>
    </xf>
    <xf numFmtId="0" fontId="0" fillId="0" borderId="0" xfId="0" applyAlignment="1">
      <alignment wrapText="1"/>
    </xf>
    <xf numFmtId="0" fontId="10" fillId="3" borderId="2" xfId="0" applyFont="1" applyFill="1" applyBorder="1" applyAlignment="1">
      <alignment horizontal="left" vertical="center" wrapText="1"/>
    </xf>
    <xf numFmtId="0" fontId="11" fillId="4" borderId="0" xfId="0" applyFont="1" applyFill="1" applyBorder="1" applyAlignment="1">
      <alignment horizontal="left" vertical="center" wrapText="1"/>
    </xf>
    <xf numFmtId="0" fontId="10" fillId="3" borderId="6"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14" fillId="6" borderId="9" xfId="0" applyFont="1" applyFill="1" applyBorder="1" applyAlignment="1">
      <alignment horizontal="center" vertical="center"/>
    </xf>
    <xf numFmtId="0" fontId="14" fillId="6" borderId="1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12" xfId="0" applyFont="1" applyFill="1" applyBorder="1" applyAlignment="1">
      <alignment horizontal="center" vertical="center"/>
    </xf>
    <xf numFmtId="0" fontId="15" fillId="7" borderId="0" xfId="0" applyFont="1" applyFill="1" applyBorder="1" applyAlignment="1">
      <alignment horizontal="left" vertical="center" wrapText="1"/>
    </xf>
    <xf numFmtId="0" fontId="15" fillId="7" borderId="5"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15" fillId="8" borderId="5" xfId="0" applyFont="1" applyFill="1" applyBorder="1" applyAlignment="1">
      <alignment horizontal="left" vertical="center" wrapText="1"/>
    </xf>
    <xf numFmtId="0" fontId="15" fillId="7" borderId="7" xfId="0" applyFont="1" applyFill="1" applyBorder="1" applyAlignment="1">
      <alignment horizontal="left" vertical="center" wrapText="1"/>
    </xf>
    <xf numFmtId="0" fontId="15" fillId="7" borderId="8"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6" xfId="0" applyFont="1" applyFill="1" applyBorder="1" applyAlignment="1">
      <alignment horizontal="center" vertical="center" wrapText="1"/>
    </xf>
    <xf numFmtId="1" fontId="11" fillId="4" borderId="0" xfId="0" applyNumberFormat="1" applyFont="1" applyFill="1" applyBorder="1" applyAlignment="1">
      <alignment horizontal="left" vertical="center" wrapText="1"/>
    </xf>
    <xf numFmtId="1" fontId="11" fillId="4" borderId="14" xfId="0" applyNumberFormat="1" applyFont="1" applyFill="1" applyBorder="1" applyAlignment="1">
      <alignment horizontal="left" vertical="center" wrapText="1"/>
    </xf>
    <xf numFmtId="1" fontId="11" fillId="4" borderId="0" xfId="0" applyNumberFormat="1" applyFont="1" applyFill="1" applyBorder="1" applyAlignment="1">
      <alignment horizontal="center" vertical="center" wrapText="1"/>
    </xf>
    <xf numFmtId="1" fontId="11" fillId="4" borderId="17" xfId="0" applyNumberFormat="1" applyFont="1" applyFill="1" applyBorder="1" applyAlignment="1">
      <alignment horizontal="center" vertical="center" wrapText="1"/>
    </xf>
    <xf numFmtId="1" fontId="11" fillId="4" borderId="14" xfId="0" applyNumberFormat="1" applyFont="1" applyFill="1" applyBorder="1" applyAlignment="1">
      <alignment horizontal="center" vertical="center" wrapText="1"/>
    </xf>
    <xf numFmtId="1" fontId="11" fillId="4" borderId="7" xfId="0" applyNumberFormat="1" applyFont="1" applyFill="1" applyBorder="1" applyAlignment="1">
      <alignment horizontal="center" vertical="center" wrapText="1"/>
    </xf>
    <xf numFmtId="1" fontId="11" fillId="4" borderId="5" xfId="0" applyNumberFormat="1" applyFont="1" applyFill="1" applyBorder="1" applyAlignment="1">
      <alignment horizontal="left" vertical="center" wrapText="1"/>
    </xf>
    <xf numFmtId="1" fontId="16" fillId="4" borderId="0" xfId="0" applyNumberFormat="1" applyFont="1" applyFill="1" applyBorder="1" applyAlignment="1">
      <alignment horizontal="left" vertical="center" wrapText="1"/>
    </xf>
    <xf numFmtId="1" fontId="11" fillId="4" borderId="7" xfId="0" applyNumberFormat="1" applyFont="1" applyFill="1" applyBorder="1" applyAlignment="1">
      <alignment horizontal="left" vertical="center" wrapText="1"/>
    </xf>
    <xf numFmtId="1" fontId="11" fillId="4" borderId="8" xfId="0" applyNumberFormat="1" applyFont="1" applyFill="1" applyBorder="1" applyAlignment="1">
      <alignment horizontal="left" vertical="center" wrapText="1"/>
    </xf>
    <xf numFmtId="1" fontId="11" fillId="4" borderId="17" xfId="0" applyNumberFormat="1" applyFont="1" applyFill="1" applyBorder="1" applyAlignment="1">
      <alignment horizontal="left" vertical="center" wrapText="1"/>
    </xf>
    <xf numFmtId="1" fontId="11" fillId="4" borderId="18" xfId="0" applyNumberFormat="1" applyFont="1" applyFill="1" applyBorder="1" applyAlignment="1">
      <alignment horizontal="left" vertical="center" wrapText="1"/>
    </xf>
    <xf numFmtId="1" fontId="11" fillId="4" borderId="15" xfId="0" applyNumberFormat="1" applyFont="1" applyFill="1" applyBorder="1" applyAlignment="1">
      <alignment horizontal="left" vertical="center" wrapText="1"/>
    </xf>
    <xf numFmtId="1" fontId="11" fillId="4" borderId="0" xfId="0" applyNumberFormat="1" applyFont="1" applyFill="1" applyBorder="1" applyAlignment="1">
      <alignment horizontal="left" vertical="center"/>
    </xf>
    <xf numFmtId="1" fontId="11" fillId="4" borderId="5" xfId="0" applyNumberFormat="1" applyFont="1" applyFill="1" applyBorder="1" applyAlignment="1">
      <alignment horizontal="left" vertical="center"/>
    </xf>
    <xf numFmtId="0" fontId="10" fillId="3" borderId="13"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6" fillId="0" borderId="0" xfId="2" applyFont="1" applyAlignment="1">
      <alignment horizontal="center" wrapText="1"/>
    </xf>
    <xf numFmtId="0" fontId="7" fillId="0" borderId="0" xfId="0" applyFont="1" applyAlignment="1">
      <alignment horizontal="center"/>
    </xf>
    <xf numFmtId="0" fontId="13" fillId="2" borderId="3"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6" fillId="0" borderId="0" xfId="0" applyFont="1" applyAlignment="1">
      <alignment horizontal="center"/>
    </xf>
  </cellXfs>
  <cellStyles count="3">
    <cellStyle name="Normal" xfId="0" builtinId="0"/>
    <cellStyle name="Normal 2" xfId="1"/>
    <cellStyle name="Normal 3" xfId="2"/>
  </cellStyles>
  <dxfs count="74">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9"/>
  <colors>
    <mruColors>
      <color rgb="FFE9E27D"/>
      <color rgb="FF595959"/>
      <color rgb="FFE9A2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SP bis">
  <a:themeElements>
    <a:clrScheme name="TSP">
      <a:dk1>
        <a:srgbClr val="000000"/>
      </a:dk1>
      <a:lt1>
        <a:srgbClr val="FFC828"/>
      </a:lt1>
      <a:dk2>
        <a:srgbClr val="00508C"/>
      </a:dk2>
      <a:lt2>
        <a:srgbClr val="7D878C"/>
      </a:lt2>
      <a:accent1>
        <a:srgbClr val="F06E05"/>
      </a:accent1>
      <a:accent2>
        <a:srgbClr val="649632"/>
      </a:accent2>
      <a:accent3>
        <a:srgbClr val="692864"/>
      </a:accent3>
      <a:accent4>
        <a:srgbClr val="000000"/>
      </a:accent4>
      <a:accent5>
        <a:srgbClr val="000000"/>
      </a:accent5>
      <a:accent6>
        <a:srgbClr val="000000"/>
      </a:accent6>
      <a:hlink>
        <a:srgbClr val="000000"/>
      </a:hlink>
      <a:folHlink>
        <a:srgbClr val="00000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zoomScale="85" zoomScaleNormal="85" workbookViewId="0">
      <selection activeCell="B2" sqref="B2:C3"/>
    </sheetView>
  </sheetViews>
  <sheetFormatPr baseColWidth="10" defaultRowHeight="12.75" x14ac:dyDescent="0.2"/>
  <cols>
    <col min="1" max="1" width="1.875" customWidth="1"/>
    <col min="2" max="2" width="27.875" customWidth="1"/>
    <col min="3" max="3" width="67.75" customWidth="1"/>
  </cols>
  <sheetData>
    <row r="1" spans="1:11" ht="13.5" thickBot="1" x14ac:dyDescent="0.25"/>
    <row r="2" spans="1:11" x14ac:dyDescent="0.2">
      <c r="B2" s="108" t="s">
        <v>103</v>
      </c>
      <c r="C2" s="109"/>
      <c r="G2" s="101"/>
      <c r="K2" s="101"/>
    </row>
    <row r="3" spans="1:11" ht="13.5" thickBot="1" x14ac:dyDescent="0.25">
      <c r="A3" s="4"/>
      <c r="B3" s="110"/>
      <c r="C3" s="111"/>
    </row>
    <row r="4" spans="1:11" ht="13.5" thickBot="1" x14ac:dyDescent="0.25"/>
    <row r="5" spans="1:11" ht="13.5" customHeight="1" x14ac:dyDescent="0.2">
      <c r="B5" s="71" t="s">
        <v>73</v>
      </c>
      <c r="C5" s="64" t="s">
        <v>74</v>
      </c>
      <c r="D5" s="119" t="s">
        <v>76</v>
      </c>
      <c r="E5" s="119"/>
      <c r="F5" s="119"/>
      <c r="G5" s="119"/>
      <c r="H5" s="119"/>
      <c r="I5" s="120"/>
      <c r="J5" s="102"/>
    </row>
    <row r="6" spans="1:11" ht="30" x14ac:dyDescent="0.2">
      <c r="A6" s="61"/>
      <c r="B6" s="104" t="s">
        <v>77</v>
      </c>
      <c r="C6" s="105" t="s">
        <v>84</v>
      </c>
      <c r="D6" s="112" t="s">
        <v>78</v>
      </c>
      <c r="E6" s="112"/>
      <c r="F6" s="112"/>
      <c r="G6" s="112"/>
      <c r="H6" s="112"/>
      <c r="I6" s="113"/>
    </row>
    <row r="7" spans="1:11" ht="30" x14ac:dyDescent="0.2">
      <c r="B7" s="114" t="s">
        <v>87</v>
      </c>
      <c r="C7" s="105" t="s">
        <v>88</v>
      </c>
      <c r="D7" s="115" t="s">
        <v>79</v>
      </c>
      <c r="E7" s="115"/>
      <c r="F7" s="115"/>
      <c r="G7" s="115"/>
      <c r="H7" s="115"/>
      <c r="I7" s="116"/>
      <c r="J7" s="100"/>
    </row>
    <row r="8" spans="1:11" ht="45" x14ac:dyDescent="0.2">
      <c r="B8" s="114"/>
      <c r="C8" s="105" t="s">
        <v>89</v>
      </c>
      <c r="D8" s="115"/>
      <c r="E8" s="115"/>
      <c r="F8" s="115"/>
      <c r="G8" s="115"/>
      <c r="H8" s="115"/>
      <c r="I8" s="116"/>
      <c r="J8" s="100"/>
    </row>
    <row r="9" spans="1:11" ht="45" x14ac:dyDescent="0.2">
      <c r="B9" s="114"/>
      <c r="C9" s="105" t="s">
        <v>90</v>
      </c>
      <c r="D9" s="115"/>
      <c r="E9" s="115"/>
      <c r="F9" s="115"/>
      <c r="G9" s="115"/>
      <c r="H9" s="115"/>
      <c r="I9" s="116"/>
      <c r="J9" s="100"/>
    </row>
    <row r="10" spans="1:11" ht="60" x14ac:dyDescent="0.2">
      <c r="B10" s="114" t="s">
        <v>85</v>
      </c>
      <c r="C10" s="105" t="s">
        <v>91</v>
      </c>
      <c r="D10" s="112" t="s">
        <v>81</v>
      </c>
      <c r="E10" s="112"/>
      <c r="F10" s="112"/>
      <c r="G10" s="112"/>
      <c r="H10" s="112"/>
      <c r="I10" s="113"/>
      <c r="J10" s="100"/>
    </row>
    <row r="11" spans="1:11" ht="15" x14ac:dyDescent="0.2">
      <c r="B11" s="114"/>
      <c r="C11" s="105" t="s">
        <v>92</v>
      </c>
      <c r="D11" s="112"/>
      <c r="E11" s="112"/>
      <c r="F11" s="112"/>
      <c r="G11" s="112"/>
      <c r="H11" s="112"/>
      <c r="I11" s="113"/>
      <c r="J11" s="100"/>
    </row>
    <row r="12" spans="1:11" ht="60" x14ac:dyDescent="0.2">
      <c r="B12" s="114"/>
      <c r="C12" s="105" t="s">
        <v>93</v>
      </c>
      <c r="D12" s="112"/>
      <c r="E12" s="112"/>
      <c r="F12" s="112"/>
      <c r="G12" s="112"/>
      <c r="H12" s="112"/>
      <c r="I12" s="113"/>
      <c r="J12" s="100"/>
    </row>
    <row r="13" spans="1:11" ht="45" x14ac:dyDescent="0.2">
      <c r="B13" s="114"/>
      <c r="C13" s="105" t="s">
        <v>94</v>
      </c>
      <c r="D13" s="112"/>
      <c r="E13" s="112"/>
      <c r="F13" s="112"/>
      <c r="G13" s="112"/>
      <c r="H13" s="112"/>
      <c r="I13" s="113"/>
      <c r="J13" s="100"/>
    </row>
    <row r="14" spans="1:11" ht="45" x14ac:dyDescent="0.2">
      <c r="B14" s="114"/>
      <c r="C14" s="105" t="s">
        <v>95</v>
      </c>
      <c r="D14" s="112"/>
      <c r="E14" s="112"/>
      <c r="F14" s="112"/>
      <c r="G14" s="112"/>
      <c r="H14" s="112"/>
      <c r="I14" s="113"/>
      <c r="J14" s="100"/>
    </row>
    <row r="15" spans="1:11" ht="45" x14ac:dyDescent="0.2">
      <c r="B15" s="114"/>
      <c r="C15" s="105" t="s">
        <v>96</v>
      </c>
      <c r="D15" s="112"/>
      <c r="E15" s="112"/>
      <c r="F15" s="112"/>
      <c r="G15" s="112"/>
      <c r="H15" s="112"/>
      <c r="I15" s="113"/>
      <c r="J15" s="100"/>
    </row>
    <row r="16" spans="1:11" ht="45" x14ac:dyDescent="0.2">
      <c r="B16" s="114"/>
      <c r="C16" s="105" t="s">
        <v>97</v>
      </c>
      <c r="D16" s="112"/>
      <c r="E16" s="112"/>
      <c r="F16" s="112"/>
      <c r="G16" s="112"/>
      <c r="H16" s="112"/>
      <c r="I16" s="113"/>
      <c r="J16" s="100"/>
    </row>
    <row r="17" spans="2:10" ht="45" x14ac:dyDescent="0.2">
      <c r="B17" s="114"/>
      <c r="C17" s="105" t="s">
        <v>98</v>
      </c>
      <c r="D17" s="112"/>
      <c r="E17" s="112"/>
      <c r="F17" s="112"/>
      <c r="G17" s="112"/>
      <c r="H17" s="112"/>
      <c r="I17" s="113"/>
      <c r="J17" s="100"/>
    </row>
    <row r="18" spans="2:10" ht="30" x14ac:dyDescent="0.2">
      <c r="B18" s="114"/>
      <c r="C18" s="105" t="s">
        <v>99</v>
      </c>
      <c r="D18" s="112"/>
      <c r="E18" s="112"/>
      <c r="F18" s="112"/>
      <c r="G18" s="112"/>
      <c r="H18" s="112"/>
      <c r="I18" s="113"/>
      <c r="J18" s="100"/>
    </row>
    <row r="19" spans="2:10" ht="45" x14ac:dyDescent="0.2">
      <c r="B19" s="114" t="s">
        <v>86</v>
      </c>
      <c r="C19" s="105" t="s">
        <v>100</v>
      </c>
      <c r="D19" s="115" t="s">
        <v>80</v>
      </c>
      <c r="E19" s="115"/>
      <c r="F19" s="115"/>
      <c r="G19" s="115"/>
      <c r="H19" s="115"/>
      <c r="I19" s="116"/>
      <c r="J19" s="100"/>
    </row>
    <row r="20" spans="2:10" ht="45" x14ac:dyDescent="0.2">
      <c r="B20" s="114"/>
      <c r="C20" s="105" t="s">
        <v>101</v>
      </c>
      <c r="D20" s="115"/>
      <c r="E20" s="115"/>
      <c r="F20" s="115"/>
      <c r="G20" s="115"/>
      <c r="H20" s="115"/>
      <c r="I20" s="116"/>
      <c r="J20" s="100"/>
    </row>
    <row r="21" spans="2:10" ht="30" x14ac:dyDescent="0.2">
      <c r="B21" s="114"/>
      <c r="C21" s="105" t="s">
        <v>102</v>
      </c>
      <c r="D21" s="115"/>
      <c r="E21" s="115"/>
      <c r="F21" s="115"/>
      <c r="G21" s="115"/>
      <c r="H21" s="115"/>
      <c r="I21" s="116"/>
      <c r="J21" s="100"/>
    </row>
    <row r="22" spans="2:10" ht="45.75" thickBot="1" x14ac:dyDescent="0.25">
      <c r="B22" s="106" t="s">
        <v>82</v>
      </c>
      <c r="C22" s="107" t="s">
        <v>104</v>
      </c>
      <c r="D22" s="117" t="s">
        <v>83</v>
      </c>
      <c r="E22" s="117"/>
      <c r="F22" s="117"/>
      <c r="G22" s="117"/>
      <c r="H22" s="117"/>
      <c r="I22" s="118"/>
      <c r="J22" s="103"/>
    </row>
  </sheetData>
  <mergeCells count="10">
    <mergeCell ref="D22:I22"/>
    <mergeCell ref="D5:I5"/>
    <mergeCell ref="B2:C3"/>
    <mergeCell ref="D6:I6"/>
    <mergeCell ref="B7:B9"/>
    <mergeCell ref="B10:B18"/>
    <mergeCell ref="B19:B21"/>
    <mergeCell ref="D7:I9"/>
    <mergeCell ref="D10:I18"/>
    <mergeCell ref="D19:I21"/>
  </mergeCells>
  <conditionalFormatting sqref="C6:C22">
    <cfRule type="expression" dxfId="73" priority="1">
      <formula>MOD(ROW(),2)</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76"/>
  <sheetViews>
    <sheetView zoomScaleNormal="100" workbookViewId="0">
      <selection activeCell="C90" sqref="C90"/>
    </sheetView>
  </sheetViews>
  <sheetFormatPr baseColWidth="10" defaultRowHeight="12.75" x14ac:dyDescent="0.2"/>
  <cols>
    <col min="1" max="1" width="45.75" style="2" customWidth="1"/>
    <col min="2" max="6" width="7.75" style="2" customWidth="1"/>
    <col min="7" max="9" width="7.75" customWidth="1"/>
    <col min="10" max="10" width="16.875" customWidth="1"/>
    <col min="11" max="11" width="17.75" customWidth="1"/>
    <col min="12" max="12" width="30.375" customWidth="1"/>
    <col min="13" max="13" width="87.5" customWidth="1"/>
    <col min="14" max="14" width="23.625" customWidth="1"/>
  </cols>
  <sheetData>
    <row r="1" spans="1:9" ht="15" customHeight="1" thickBot="1" x14ac:dyDescent="0.25"/>
    <row r="2" spans="1:9" ht="15" customHeight="1" x14ac:dyDescent="0.2">
      <c r="A2" s="108" t="s">
        <v>46</v>
      </c>
      <c r="B2" s="109"/>
      <c r="C2" s="93"/>
      <c r="D2" s="93"/>
      <c r="E2" s="93"/>
    </row>
    <row r="3" spans="1:9" ht="15" customHeight="1" thickBot="1" x14ac:dyDescent="0.25">
      <c r="A3" s="110"/>
      <c r="B3" s="111"/>
      <c r="C3" s="93"/>
      <c r="D3" s="93"/>
      <c r="E3" s="93"/>
    </row>
    <row r="4" spans="1:9" ht="15" customHeight="1" x14ac:dyDescent="0.2"/>
    <row r="5" spans="1:9" ht="30" customHeight="1" x14ac:dyDescent="0.2">
      <c r="A5" s="94" t="s">
        <v>57</v>
      </c>
    </row>
    <row r="6" spans="1:9" ht="15" customHeight="1" thickBot="1" x14ac:dyDescent="0.25"/>
    <row r="7" spans="1:9" ht="30" customHeight="1" x14ac:dyDescent="0.2">
      <c r="A7" s="71" t="s">
        <v>51</v>
      </c>
      <c r="B7" s="64">
        <v>2013</v>
      </c>
      <c r="C7" s="64">
        <v>2014</v>
      </c>
      <c r="D7" s="64">
        <v>2015</v>
      </c>
      <c r="E7" s="64">
        <v>2016</v>
      </c>
      <c r="F7" s="64">
        <v>2017</v>
      </c>
      <c r="G7" s="64">
        <v>2020</v>
      </c>
      <c r="H7" s="64">
        <v>2023</v>
      </c>
      <c r="I7" s="72">
        <v>2025</v>
      </c>
    </row>
    <row r="8" spans="1:9" ht="15" customHeight="1" x14ac:dyDescent="0.2">
      <c r="A8" s="65" t="s">
        <v>50</v>
      </c>
      <c r="B8" s="66">
        <v>19488</v>
      </c>
      <c r="C8" s="66">
        <v>19880</v>
      </c>
      <c r="D8" s="66">
        <v>20200</v>
      </c>
      <c r="E8" s="66">
        <v>20863</v>
      </c>
      <c r="F8" s="66">
        <f xml:space="preserve"> E8*1.033</f>
        <v>21551.478999999999</v>
      </c>
      <c r="G8" s="66">
        <f>F8*1.033*1.033*1.033</f>
        <v>23756.258598393815</v>
      </c>
      <c r="H8" s="66">
        <f>G8*1.033*1.033*1.033</f>
        <v>26186.593625141002</v>
      </c>
      <c r="I8" s="77">
        <f>H8*1.033*1.033</f>
        <v>27943.426004858084</v>
      </c>
    </row>
    <row r="9" spans="1:9" ht="15" customHeight="1" x14ac:dyDescent="0.2">
      <c r="A9" s="65" t="s">
        <v>52</v>
      </c>
      <c r="B9" s="66">
        <v>13432</v>
      </c>
      <c r="C9" s="66">
        <v>13604</v>
      </c>
      <c r="D9" s="66">
        <v>13647</v>
      </c>
      <c r="E9" s="66">
        <f>D9*1.01</f>
        <v>13783.47</v>
      </c>
      <c r="F9" s="66">
        <f>E9*1.01</f>
        <v>13921.304699999999</v>
      </c>
      <c r="G9" s="66">
        <v>14576</v>
      </c>
      <c r="H9" s="66"/>
      <c r="I9" s="77"/>
    </row>
    <row r="10" spans="1:9" ht="15" customHeight="1" x14ac:dyDescent="0.2">
      <c r="A10" s="65" t="s">
        <v>53</v>
      </c>
      <c r="B10" s="66">
        <f t="shared" ref="B10:G10" si="0" xml:space="preserve"> 11.63*B9</f>
        <v>156214.16</v>
      </c>
      <c r="C10" s="66">
        <f t="shared" si="0"/>
        <v>158214.52000000002</v>
      </c>
      <c r="D10" s="66">
        <f t="shared" si="0"/>
        <v>158714.61000000002</v>
      </c>
      <c r="E10" s="66">
        <f t="shared" si="0"/>
        <v>160301.7561</v>
      </c>
      <c r="F10" s="66">
        <f t="shared" si="0"/>
        <v>161904.77366099998</v>
      </c>
      <c r="G10" s="66">
        <f t="shared" si="0"/>
        <v>169518.88</v>
      </c>
      <c r="H10" s="66"/>
      <c r="I10" s="77"/>
    </row>
    <row r="11" spans="1:9" ht="15" customHeight="1" x14ac:dyDescent="0.2">
      <c r="A11" s="65" t="s">
        <v>54</v>
      </c>
      <c r="B11" s="66">
        <v>9180</v>
      </c>
      <c r="C11" s="66">
        <v>9290</v>
      </c>
      <c r="D11" s="66">
        <v>9383</v>
      </c>
      <c r="E11" s="66">
        <f>D11*1.01</f>
        <v>9476.83</v>
      </c>
      <c r="F11" s="66">
        <f>E11*1.01</f>
        <v>9571.5982999999997</v>
      </c>
      <c r="G11" s="66">
        <f>F11*1.01*1.01*1.01</f>
        <v>9861.6273000883011</v>
      </c>
      <c r="H11" s="66">
        <f>G11*1.01*1.01*1.01</f>
        <v>10160.444468908277</v>
      </c>
      <c r="I11" s="77">
        <f>H11*1.01*1.01</f>
        <v>10364.669402733334</v>
      </c>
    </row>
    <row r="12" spans="1:9" ht="15" customHeight="1" x14ac:dyDescent="0.2">
      <c r="A12" s="65" t="s">
        <v>55</v>
      </c>
      <c r="B12" s="66">
        <f xml:space="preserve"> 11.63*B11</f>
        <v>106763.40000000001</v>
      </c>
      <c r="C12" s="66">
        <f t="shared" ref="C12:I12" si="1" xml:space="preserve"> 11.63*C11</f>
        <v>108042.70000000001</v>
      </c>
      <c r="D12" s="66">
        <f t="shared" si="1"/>
        <v>109124.29000000001</v>
      </c>
      <c r="E12" s="66">
        <f t="shared" si="1"/>
        <v>110215.53290000001</v>
      </c>
      <c r="F12" s="66">
        <f t="shared" si="1"/>
        <v>111317.68822900001</v>
      </c>
      <c r="G12" s="66">
        <f t="shared" si="1"/>
        <v>114690.72550002695</v>
      </c>
      <c r="H12" s="66">
        <f t="shared" si="1"/>
        <v>118165.96917340328</v>
      </c>
      <c r="I12" s="77">
        <f t="shared" si="1"/>
        <v>120541.10515378868</v>
      </c>
    </row>
    <row r="13" spans="1:9" ht="15" customHeight="1" thickBot="1" x14ac:dyDescent="0.25">
      <c r="A13" s="74" t="s">
        <v>56</v>
      </c>
      <c r="B13" s="82">
        <v>48700</v>
      </c>
      <c r="C13" s="82">
        <v>49600</v>
      </c>
      <c r="D13" s="82">
        <v>50500</v>
      </c>
      <c r="E13" s="82">
        <v>51200</v>
      </c>
      <c r="F13" s="82">
        <v>52000</v>
      </c>
      <c r="G13" s="82">
        <v>54000</v>
      </c>
      <c r="H13" s="82">
        <v>51000</v>
      </c>
      <c r="I13" s="83">
        <v>48000</v>
      </c>
    </row>
    <row r="14" spans="1:9" ht="15" customHeight="1" x14ac:dyDescent="0.2"/>
    <row r="15" spans="1:9" ht="15" customHeight="1" x14ac:dyDescent="0.2"/>
    <row r="16" spans="1:9" s="2" customFormat="1" ht="30" customHeight="1" x14ac:dyDescent="0.2">
      <c r="A16" s="94" t="s">
        <v>67</v>
      </c>
    </row>
    <row r="17" spans="1:9" ht="15" customHeight="1" thickBot="1" x14ac:dyDescent="0.25"/>
    <row r="18" spans="1:9" ht="30" customHeight="1" x14ac:dyDescent="0.2">
      <c r="A18" s="71" t="s">
        <v>34</v>
      </c>
      <c r="B18" s="64">
        <v>2013</v>
      </c>
      <c r="C18" s="64">
        <v>2014</v>
      </c>
      <c r="D18" s="64">
        <v>2015</v>
      </c>
      <c r="E18" s="64">
        <v>2016</v>
      </c>
      <c r="F18" s="64">
        <v>2017</v>
      </c>
      <c r="G18" s="64">
        <v>2020</v>
      </c>
      <c r="H18" s="64">
        <v>2023</v>
      </c>
      <c r="I18" s="72">
        <v>2025</v>
      </c>
    </row>
    <row r="19" spans="1:9" ht="15" customHeight="1" x14ac:dyDescent="0.2">
      <c r="A19" s="65" t="s">
        <v>0</v>
      </c>
      <c r="B19" s="67">
        <v>134</v>
      </c>
      <c r="C19" s="67">
        <v>134</v>
      </c>
      <c r="D19" s="67">
        <v>113</v>
      </c>
      <c r="E19" s="67">
        <v>103</v>
      </c>
      <c r="F19" s="67">
        <v>103</v>
      </c>
      <c r="G19" s="67">
        <v>90</v>
      </c>
      <c r="H19" s="66">
        <v>77.163749999999993</v>
      </c>
      <c r="I19" s="77">
        <v>75.620474999999999</v>
      </c>
    </row>
    <row r="20" spans="1:9" ht="15" customHeight="1" x14ac:dyDescent="0.2">
      <c r="A20" s="65" t="s">
        <v>1</v>
      </c>
      <c r="B20" s="67">
        <v>135</v>
      </c>
      <c r="C20" s="67">
        <v>128</v>
      </c>
      <c r="D20" s="67">
        <v>120</v>
      </c>
      <c r="E20" s="67">
        <v>114</v>
      </c>
      <c r="F20" s="67">
        <v>109</v>
      </c>
      <c r="G20" s="67">
        <v>100</v>
      </c>
      <c r="H20" s="66">
        <v>85.737499999999997</v>
      </c>
      <c r="I20" s="77">
        <v>84.022750000000002</v>
      </c>
    </row>
    <row r="21" spans="1:9" ht="15" customHeight="1" x14ac:dyDescent="0.2">
      <c r="A21" s="65" t="s">
        <v>25</v>
      </c>
      <c r="B21" s="67">
        <v>181</v>
      </c>
      <c r="C21" s="67">
        <v>174</v>
      </c>
      <c r="D21" s="67">
        <v>163</v>
      </c>
      <c r="E21" s="67">
        <v>155</v>
      </c>
      <c r="F21" s="67">
        <v>163</v>
      </c>
      <c r="G21" s="67">
        <v>160</v>
      </c>
      <c r="H21" s="66">
        <v>137.18</v>
      </c>
      <c r="I21" s="77">
        <v>134.43639999999999</v>
      </c>
    </row>
    <row r="22" spans="1:9" ht="15" customHeight="1" x14ac:dyDescent="0.2">
      <c r="A22" s="65" t="s">
        <v>8</v>
      </c>
      <c r="B22" s="67">
        <v>969</v>
      </c>
      <c r="C22" s="67">
        <v>1244</v>
      </c>
      <c r="D22" s="67">
        <v>1423</v>
      </c>
      <c r="E22" s="67">
        <v>1495</v>
      </c>
      <c r="F22" s="66">
        <v>1569.75</v>
      </c>
      <c r="G22" s="67">
        <v>1800</v>
      </c>
      <c r="H22" s="66">
        <v>1543.2749999999999</v>
      </c>
      <c r="I22" s="77">
        <v>1512.4094999999998</v>
      </c>
    </row>
    <row r="23" spans="1:9" ht="15" customHeight="1" x14ac:dyDescent="0.2">
      <c r="A23" s="65" t="s">
        <v>3</v>
      </c>
      <c r="B23" s="67">
        <v>220</v>
      </c>
      <c r="C23" s="67">
        <v>230</v>
      </c>
      <c r="D23" s="67">
        <v>208</v>
      </c>
      <c r="E23" s="67">
        <v>182</v>
      </c>
      <c r="F23" s="67">
        <v>180</v>
      </c>
      <c r="G23" s="67">
        <v>190</v>
      </c>
      <c r="H23" s="66">
        <v>162.90124999999998</v>
      </c>
      <c r="I23" s="77">
        <v>159.64322499999997</v>
      </c>
    </row>
    <row r="24" spans="1:9" ht="15" customHeight="1" x14ac:dyDescent="0.2">
      <c r="A24" s="65" t="s">
        <v>11</v>
      </c>
      <c r="B24" s="67">
        <v>850</v>
      </c>
      <c r="C24" s="67">
        <v>634</v>
      </c>
      <c r="D24" s="67">
        <v>494</v>
      </c>
      <c r="E24" s="67">
        <v>400</v>
      </c>
      <c r="F24" s="67">
        <v>325</v>
      </c>
      <c r="G24" s="67">
        <v>200</v>
      </c>
      <c r="H24" s="66">
        <v>171.47499999999999</v>
      </c>
      <c r="I24" s="77">
        <v>168.0455</v>
      </c>
    </row>
    <row r="25" spans="1:9" ht="15" customHeight="1" x14ac:dyDescent="0.2">
      <c r="A25" s="65" t="s">
        <v>10</v>
      </c>
      <c r="B25" s="67">
        <v>0</v>
      </c>
      <c r="C25" s="67">
        <v>0</v>
      </c>
      <c r="D25" s="67">
        <v>0</v>
      </c>
      <c r="E25" s="67">
        <v>0</v>
      </c>
      <c r="F25" s="67">
        <v>0</v>
      </c>
      <c r="G25" s="67">
        <v>0</v>
      </c>
      <c r="H25" s="66">
        <v>0</v>
      </c>
      <c r="I25" s="77">
        <v>0</v>
      </c>
    </row>
    <row r="26" spans="1:9" ht="15" customHeight="1" x14ac:dyDescent="0.2">
      <c r="A26" s="65" t="s">
        <v>13</v>
      </c>
      <c r="B26" s="67">
        <v>0</v>
      </c>
      <c r="C26" s="67">
        <v>0</v>
      </c>
      <c r="D26" s="67">
        <v>1000</v>
      </c>
      <c r="E26" s="67">
        <v>2000</v>
      </c>
      <c r="F26" s="67">
        <v>3000</v>
      </c>
      <c r="G26" s="67">
        <v>6000</v>
      </c>
      <c r="H26" s="66">
        <v>5144.25</v>
      </c>
      <c r="I26" s="77">
        <v>5041.3649999999998</v>
      </c>
    </row>
    <row r="27" spans="1:9" ht="15" customHeight="1" x14ac:dyDescent="0.2">
      <c r="A27" s="65" t="s">
        <v>9</v>
      </c>
      <c r="B27" s="67">
        <v>150</v>
      </c>
      <c r="C27" s="67">
        <v>160</v>
      </c>
      <c r="D27" s="67">
        <v>172</v>
      </c>
      <c r="E27" s="67">
        <v>185</v>
      </c>
      <c r="F27" s="67">
        <v>200</v>
      </c>
      <c r="G27" s="67">
        <v>250</v>
      </c>
      <c r="H27" s="66">
        <v>214.34375</v>
      </c>
      <c r="I27" s="77">
        <v>210.05687499999999</v>
      </c>
    </row>
    <row r="28" spans="1:9" ht="15" customHeight="1" x14ac:dyDescent="0.2">
      <c r="A28" s="65" t="s">
        <v>5</v>
      </c>
      <c r="B28" s="67">
        <v>150</v>
      </c>
      <c r="C28" s="67">
        <v>160</v>
      </c>
      <c r="D28" s="67">
        <v>172</v>
      </c>
      <c r="E28" s="67">
        <v>185</v>
      </c>
      <c r="F28" s="67">
        <v>200</v>
      </c>
      <c r="G28" s="67">
        <v>250</v>
      </c>
      <c r="H28" s="66">
        <v>214.34375</v>
      </c>
      <c r="I28" s="77">
        <v>210.05687499999999</v>
      </c>
    </row>
    <row r="29" spans="1:9" ht="15" customHeight="1" x14ac:dyDescent="0.2">
      <c r="A29" s="65" t="s">
        <v>6</v>
      </c>
      <c r="B29" s="67">
        <v>33</v>
      </c>
      <c r="C29" s="67">
        <v>33</v>
      </c>
      <c r="D29" s="67">
        <v>35</v>
      </c>
      <c r="E29" s="66">
        <v>36.75</v>
      </c>
      <c r="F29" s="66">
        <v>38.587499999999999</v>
      </c>
      <c r="G29" s="67">
        <v>45</v>
      </c>
      <c r="H29" s="66">
        <v>38.581874999999997</v>
      </c>
      <c r="I29" s="77">
        <v>37.810237499999999</v>
      </c>
    </row>
    <row r="30" spans="1:9" ht="15" customHeight="1" x14ac:dyDescent="0.2">
      <c r="A30" s="65" t="s">
        <v>7</v>
      </c>
      <c r="B30" s="67">
        <v>70</v>
      </c>
      <c r="C30" s="67">
        <v>70</v>
      </c>
      <c r="D30" s="67">
        <v>70</v>
      </c>
      <c r="E30" s="67">
        <v>70</v>
      </c>
      <c r="F30" s="67">
        <v>70</v>
      </c>
      <c r="G30" s="67">
        <v>70</v>
      </c>
      <c r="H30" s="66">
        <v>60.016249999999992</v>
      </c>
      <c r="I30" s="77">
        <v>58.815924999999993</v>
      </c>
    </row>
    <row r="31" spans="1:9" ht="15" customHeight="1" thickBot="1" x14ac:dyDescent="0.25">
      <c r="A31" s="74" t="s">
        <v>17</v>
      </c>
      <c r="B31" s="75">
        <v>57</v>
      </c>
      <c r="C31" s="75">
        <v>57</v>
      </c>
      <c r="D31" s="75">
        <v>57</v>
      </c>
      <c r="E31" s="75">
        <v>57</v>
      </c>
      <c r="F31" s="75">
        <v>57</v>
      </c>
      <c r="G31" s="75">
        <v>50</v>
      </c>
      <c r="H31" s="82">
        <v>42.868749999999999</v>
      </c>
      <c r="I31" s="83">
        <v>42.011375000000001</v>
      </c>
    </row>
    <row r="32" spans="1:9" ht="15" customHeight="1" x14ac:dyDescent="0.2">
      <c r="A32" s="57"/>
      <c r="B32" s="4"/>
      <c r="C32" s="4"/>
      <c r="D32" s="4"/>
      <c r="E32" s="4"/>
      <c r="F32" s="4"/>
      <c r="G32" s="3"/>
      <c r="H32" s="3"/>
      <c r="I32" s="3"/>
    </row>
    <row r="33" spans="1:9" ht="15" customHeight="1" thickBot="1" x14ac:dyDescent="0.25">
      <c r="A33" s="33"/>
      <c r="G33" s="3"/>
      <c r="H33" s="3"/>
      <c r="I33" s="3"/>
    </row>
    <row r="34" spans="1:9" ht="30" customHeight="1" x14ac:dyDescent="0.2">
      <c r="A34" s="71" t="s">
        <v>60</v>
      </c>
      <c r="B34" s="64">
        <v>2013</v>
      </c>
      <c r="C34" s="64">
        <v>2014</v>
      </c>
      <c r="D34" s="64">
        <v>2015</v>
      </c>
      <c r="E34" s="64">
        <v>2016</v>
      </c>
      <c r="F34" s="64">
        <v>2017</v>
      </c>
      <c r="G34" s="64">
        <v>2020</v>
      </c>
      <c r="H34" s="64">
        <v>2023</v>
      </c>
      <c r="I34" s="72">
        <v>2025</v>
      </c>
    </row>
    <row r="35" spans="1:9" ht="15" customHeight="1" x14ac:dyDescent="0.2">
      <c r="A35" s="65" t="s">
        <v>0</v>
      </c>
      <c r="B35" s="66">
        <v>750</v>
      </c>
      <c r="C35" s="66">
        <v>750</v>
      </c>
      <c r="D35" s="66">
        <v>750</v>
      </c>
      <c r="E35" s="66">
        <v>750</v>
      </c>
      <c r="F35" s="66">
        <v>750</v>
      </c>
      <c r="G35" s="66">
        <v>750</v>
      </c>
      <c r="H35" s="66">
        <v>750</v>
      </c>
      <c r="I35" s="77">
        <v>750</v>
      </c>
    </row>
    <row r="36" spans="1:9" ht="15" customHeight="1" x14ac:dyDescent="0.2">
      <c r="A36" s="65" t="s">
        <v>1</v>
      </c>
      <c r="B36" s="66">
        <v>700</v>
      </c>
      <c r="C36" s="66">
        <v>700</v>
      </c>
      <c r="D36" s="66">
        <v>700</v>
      </c>
      <c r="E36" s="66">
        <v>750</v>
      </c>
      <c r="F36" s="66">
        <v>800</v>
      </c>
      <c r="G36" s="66">
        <v>800</v>
      </c>
      <c r="H36" s="66">
        <v>800</v>
      </c>
      <c r="I36" s="77">
        <v>800</v>
      </c>
    </row>
    <row r="37" spans="1:9" ht="15" customHeight="1" x14ac:dyDescent="0.2">
      <c r="A37" s="65" t="s">
        <v>25</v>
      </c>
      <c r="B37" s="66">
        <v>1400</v>
      </c>
      <c r="C37" s="66">
        <v>1400</v>
      </c>
      <c r="D37" s="66">
        <v>1400</v>
      </c>
      <c r="E37" s="66">
        <v>1500</v>
      </c>
      <c r="F37" s="66">
        <v>1600</v>
      </c>
      <c r="G37" s="66">
        <v>1600</v>
      </c>
      <c r="H37" s="66">
        <v>1600</v>
      </c>
      <c r="I37" s="77">
        <v>1600</v>
      </c>
    </row>
    <row r="38" spans="1:9" ht="15" customHeight="1" x14ac:dyDescent="0.2">
      <c r="A38" s="65" t="s">
        <v>8</v>
      </c>
      <c r="B38" s="66">
        <f>C38/1.2</f>
        <v>97.547380156075818</v>
      </c>
      <c r="C38" s="66">
        <f>D38/1.2</f>
        <v>117.05685618729098</v>
      </c>
      <c r="D38" s="66">
        <v>140.46822742474916</v>
      </c>
      <c r="E38" s="66">
        <v>168.56187290969899</v>
      </c>
      <c r="F38" s="66">
        <v>202.27424749163879</v>
      </c>
      <c r="G38" s="66">
        <v>242.39999999999998</v>
      </c>
      <c r="H38" s="66">
        <v>242.39999999999998</v>
      </c>
      <c r="I38" s="77">
        <v>242.39999999999998</v>
      </c>
    </row>
    <row r="39" spans="1:9" ht="15" customHeight="1" x14ac:dyDescent="0.2">
      <c r="A39" s="65" t="s">
        <v>3</v>
      </c>
      <c r="B39" s="66">
        <f>C39</f>
        <v>292.64214046822741</v>
      </c>
      <c r="C39" s="66">
        <f>D39/1.2</f>
        <v>292.64214046822741</v>
      </c>
      <c r="D39" s="66">
        <v>351.17056856187287</v>
      </c>
      <c r="E39" s="66">
        <v>421.40468227424748</v>
      </c>
      <c r="F39" s="66">
        <v>505.68561872909697</v>
      </c>
      <c r="G39" s="66">
        <v>505.68561872909697</v>
      </c>
      <c r="H39" s="66">
        <v>505.68561872909697</v>
      </c>
      <c r="I39" s="77">
        <v>505.68561872909697</v>
      </c>
    </row>
    <row r="40" spans="1:9" ht="15" customHeight="1" x14ac:dyDescent="0.2">
      <c r="A40" s="65" t="s">
        <v>11</v>
      </c>
      <c r="B40" s="66">
        <v>12</v>
      </c>
      <c r="C40" s="66">
        <v>12</v>
      </c>
      <c r="D40" s="66">
        <v>12</v>
      </c>
      <c r="E40" s="66">
        <v>12</v>
      </c>
      <c r="F40" s="66">
        <v>12</v>
      </c>
      <c r="G40" s="66">
        <v>12</v>
      </c>
      <c r="H40" s="66">
        <v>12</v>
      </c>
      <c r="I40" s="77">
        <v>12</v>
      </c>
    </row>
    <row r="41" spans="1:9" ht="15" customHeight="1" x14ac:dyDescent="0.2">
      <c r="A41" s="65" t="s">
        <v>10</v>
      </c>
      <c r="B41" s="66">
        <v>170</v>
      </c>
      <c r="C41" s="66">
        <v>170</v>
      </c>
      <c r="D41" s="66">
        <v>170</v>
      </c>
      <c r="E41" s="66">
        <v>170</v>
      </c>
      <c r="F41" s="66">
        <v>170</v>
      </c>
      <c r="G41" s="66">
        <v>170</v>
      </c>
      <c r="H41" s="66">
        <v>170</v>
      </c>
      <c r="I41" s="77">
        <v>170</v>
      </c>
    </row>
    <row r="42" spans="1:9" ht="15" customHeight="1" x14ac:dyDescent="0.2">
      <c r="A42" s="65" t="s">
        <v>13</v>
      </c>
      <c r="B42" s="66">
        <v>5</v>
      </c>
      <c r="C42" s="66">
        <v>5</v>
      </c>
      <c r="D42" s="66">
        <v>5</v>
      </c>
      <c r="E42" s="66">
        <v>5</v>
      </c>
      <c r="F42" s="66">
        <v>5</v>
      </c>
      <c r="G42" s="66">
        <v>5</v>
      </c>
      <c r="H42" s="66">
        <v>5</v>
      </c>
      <c r="I42" s="77">
        <v>5</v>
      </c>
    </row>
    <row r="43" spans="1:9" ht="15" customHeight="1" x14ac:dyDescent="0.2">
      <c r="A43" s="65" t="s">
        <v>9</v>
      </c>
      <c r="B43" s="66">
        <f xml:space="preserve"> C43/1.2</f>
        <v>852.27272727272737</v>
      </c>
      <c r="C43" s="66">
        <f xml:space="preserve"> D43/1.2</f>
        <v>1022.7272727272727</v>
      </c>
      <c r="D43" s="66">
        <v>1227.2727272727273</v>
      </c>
      <c r="E43" s="66">
        <v>1350</v>
      </c>
      <c r="F43" s="66">
        <v>1485.0000000000002</v>
      </c>
      <c r="G43" s="66">
        <v>1976.5350000000005</v>
      </c>
      <c r="H43" s="66">
        <v>1976.5350000000005</v>
      </c>
      <c r="I43" s="77">
        <v>1976.5350000000005</v>
      </c>
    </row>
    <row r="44" spans="1:9" ht="15" customHeight="1" x14ac:dyDescent="0.2">
      <c r="A44" s="65" t="s">
        <v>5</v>
      </c>
      <c r="B44" s="66">
        <v>45</v>
      </c>
      <c r="C44" s="66">
        <v>45</v>
      </c>
      <c r="D44" s="66">
        <v>45</v>
      </c>
      <c r="E44" s="66">
        <v>45</v>
      </c>
      <c r="F44" s="66">
        <v>45</v>
      </c>
      <c r="G44" s="66">
        <v>45</v>
      </c>
      <c r="H44" s="66">
        <v>45</v>
      </c>
      <c r="I44" s="77">
        <v>45</v>
      </c>
    </row>
    <row r="45" spans="1:9" ht="15" customHeight="1" x14ac:dyDescent="0.2">
      <c r="A45" s="65" t="s">
        <v>6</v>
      </c>
      <c r="B45" s="66">
        <v>150</v>
      </c>
      <c r="C45" s="66">
        <v>150</v>
      </c>
      <c r="D45" s="66">
        <v>150</v>
      </c>
      <c r="E45" s="66">
        <v>150</v>
      </c>
      <c r="F45" s="66">
        <v>150</v>
      </c>
      <c r="G45" s="66">
        <v>150</v>
      </c>
      <c r="H45" s="66">
        <v>150</v>
      </c>
      <c r="I45" s="77">
        <v>150</v>
      </c>
    </row>
    <row r="46" spans="1:9" ht="15" customHeight="1" x14ac:dyDescent="0.2">
      <c r="A46" s="65" t="s">
        <v>7</v>
      </c>
      <c r="B46" s="66">
        <v>100</v>
      </c>
      <c r="C46" s="66">
        <v>100</v>
      </c>
      <c r="D46" s="66">
        <v>100</v>
      </c>
      <c r="E46" s="66">
        <v>100</v>
      </c>
      <c r="F46" s="66">
        <v>100</v>
      </c>
      <c r="G46" s="66">
        <v>100</v>
      </c>
      <c r="H46" s="66">
        <v>100</v>
      </c>
      <c r="I46" s="77">
        <v>100</v>
      </c>
    </row>
    <row r="47" spans="1:9" ht="15" customHeight="1" thickBot="1" x14ac:dyDescent="0.25">
      <c r="A47" s="74" t="s">
        <v>17</v>
      </c>
      <c r="B47" s="82">
        <v>200</v>
      </c>
      <c r="C47" s="82">
        <v>200</v>
      </c>
      <c r="D47" s="82">
        <v>200</v>
      </c>
      <c r="E47" s="82">
        <v>200</v>
      </c>
      <c r="F47" s="82">
        <v>200</v>
      </c>
      <c r="G47" s="82">
        <v>200</v>
      </c>
      <c r="H47" s="82">
        <v>200</v>
      </c>
      <c r="I47" s="83">
        <v>200</v>
      </c>
    </row>
    <row r="48" spans="1:9" ht="15" customHeight="1" x14ac:dyDescent="0.2">
      <c r="A48" s="47"/>
      <c r="B48" s="47"/>
      <c r="C48" s="47"/>
      <c r="D48" s="47"/>
      <c r="E48" s="47"/>
      <c r="F48" s="47"/>
      <c r="G48" s="48"/>
      <c r="H48" s="48"/>
      <c r="I48" s="48"/>
    </row>
    <row r="49" spans="1:13" ht="15" customHeight="1" thickBot="1" x14ac:dyDescent="0.25">
      <c r="A49" s="47"/>
      <c r="B49" s="47"/>
      <c r="C49" s="47"/>
      <c r="D49" s="47"/>
      <c r="E49" s="47"/>
      <c r="F49" s="47"/>
      <c r="G49" s="48"/>
      <c r="H49" s="48"/>
      <c r="I49" s="48"/>
    </row>
    <row r="50" spans="1:13" ht="30" customHeight="1" x14ac:dyDescent="0.2">
      <c r="A50" s="71" t="s">
        <v>64</v>
      </c>
      <c r="B50" s="64">
        <v>2013</v>
      </c>
      <c r="C50" s="64">
        <v>2014</v>
      </c>
      <c r="D50" s="64">
        <v>2015</v>
      </c>
      <c r="E50" s="64">
        <v>2016</v>
      </c>
      <c r="F50" s="64">
        <v>2017</v>
      </c>
      <c r="G50" s="64">
        <v>2020</v>
      </c>
      <c r="H50" s="64">
        <v>2023</v>
      </c>
      <c r="I50" s="72">
        <v>2025</v>
      </c>
    </row>
    <row r="51" spans="1:13" ht="15" customHeight="1" x14ac:dyDescent="0.2">
      <c r="A51" s="65" t="s">
        <v>24</v>
      </c>
      <c r="B51" s="66">
        <v>60</v>
      </c>
      <c r="C51" s="66">
        <v>60</v>
      </c>
      <c r="D51" s="66">
        <v>60</v>
      </c>
      <c r="E51" s="66">
        <v>60</v>
      </c>
      <c r="F51" s="66">
        <v>60</v>
      </c>
      <c r="G51" s="66">
        <v>60</v>
      </c>
      <c r="H51" s="66">
        <v>60</v>
      </c>
      <c r="I51" s="77">
        <v>60</v>
      </c>
    </row>
    <row r="52" spans="1:13" ht="15" customHeight="1" x14ac:dyDescent="0.2">
      <c r="A52" s="65" t="s">
        <v>2</v>
      </c>
      <c r="B52" s="66">
        <v>4.9586776859504127</v>
      </c>
      <c r="C52" s="66">
        <v>5.4545454545454541</v>
      </c>
      <c r="D52" s="66">
        <v>6</v>
      </c>
      <c r="E52" s="66">
        <v>6.6000000000000005</v>
      </c>
      <c r="F52" s="66">
        <v>7.2600000000000016</v>
      </c>
      <c r="G52" s="66">
        <v>8.4043575000000033</v>
      </c>
      <c r="H52" s="66">
        <v>8.4043575000000033</v>
      </c>
      <c r="I52" s="77">
        <v>8.4043575000000033</v>
      </c>
    </row>
    <row r="53" spans="1:13" ht="15" customHeight="1" x14ac:dyDescent="0.2">
      <c r="A53" s="65" t="s">
        <v>3</v>
      </c>
      <c r="B53" s="66">
        <v>20</v>
      </c>
      <c r="C53" s="66">
        <v>20</v>
      </c>
      <c r="D53" s="66">
        <v>20</v>
      </c>
      <c r="E53" s="66">
        <v>20</v>
      </c>
      <c r="F53" s="66">
        <v>20</v>
      </c>
      <c r="G53" s="66">
        <v>20</v>
      </c>
      <c r="H53" s="66">
        <v>20</v>
      </c>
      <c r="I53" s="77">
        <v>20</v>
      </c>
    </row>
    <row r="54" spans="1:13" ht="15" customHeight="1" x14ac:dyDescent="0.2">
      <c r="A54" s="65" t="s">
        <v>11</v>
      </c>
      <c r="B54" s="66">
        <v>1</v>
      </c>
      <c r="C54" s="66">
        <v>1</v>
      </c>
      <c r="D54" s="66">
        <v>1</v>
      </c>
      <c r="E54" s="66">
        <v>1</v>
      </c>
      <c r="F54" s="66">
        <v>1</v>
      </c>
      <c r="G54" s="66">
        <v>1</v>
      </c>
      <c r="H54" s="66">
        <v>1</v>
      </c>
      <c r="I54" s="77">
        <v>1</v>
      </c>
    </row>
    <row r="55" spans="1:13" ht="15" customHeight="1" x14ac:dyDescent="0.2">
      <c r="A55" s="65" t="s">
        <v>13</v>
      </c>
      <c r="B55" s="66">
        <v>0.3</v>
      </c>
      <c r="C55" s="66">
        <v>0.3</v>
      </c>
      <c r="D55" s="66">
        <v>0.3</v>
      </c>
      <c r="E55" s="66">
        <v>0.3</v>
      </c>
      <c r="F55" s="66">
        <v>0.3</v>
      </c>
      <c r="G55" s="66">
        <v>0.3</v>
      </c>
      <c r="H55" s="66">
        <v>0.3</v>
      </c>
      <c r="I55" s="77">
        <v>0.3</v>
      </c>
    </row>
    <row r="56" spans="1:13" ht="15" customHeight="1" thickBot="1" x14ac:dyDescent="0.25">
      <c r="A56" s="74" t="s">
        <v>26</v>
      </c>
      <c r="B56" s="82">
        <v>200</v>
      </c>
      <c r="C56" s="82">
        <v>200</v>
      </c>
      <c r="D56" s="82">
        <v>200</v>
      </c>
      <c r="E56" s="82">
        <v>200</v>
      </c>
      <c r="F56" s="82">
        <v>200</v>
      </c>
      <c r="G56" s="82">
        <v>200</v>
      </c>
      <c r="H56" s="82">
        <v>200</v>
      </c>
      <c r="I56" s="83">
        <v>200</v>
      </c>
    </row>
    <row r="57" spans="1:13" ht="15" customHeight="1" x14ac:dyDescent="0.2">
      <c r="A57" s="58"/>
      <c r="B57" s="26"/>
      <c r="C57" s="26"/>
      <c r="D57" s="26"/>
      <c r="E57" s="26"/>
      <c r="F57" s="26"/>
      <c r="G57" s="96"/>
      <c r="H57" s="96"/>
      <c r="I57" s="96"/>
    </row>
    <row r="58" spans="1:13" ht="15" customHeight="1" thickBot="1" x14ac:dyDescent="0.25">
      <c r="A58" s="58"/>
      <c r="B58" s="26"/>
      <c r="C58" s="26"/>
      <c r="D58" s="26"/>
      <c r="E58" s="26"/>
      <c r="F58" s="26"/>
      <c r="G58" s="96"/>
      <c r="H58" s="96"/>
      <c r="I58" s="96"/>
    </row>
    <row r="59" spans="1:13" ht="30" customHeight="1" x14ac:dyDescent="0.2">
      <c r="A59" s="71" t="s">
        <v>27</v>
      </c>
      <c r="B59" s="64">
        <v>2013</v>
      </c>
      <c r="C59" s="64">
        <v>2014</v>
      </c>
      <c r="D59" s="64">
        <v>2015</v>
      </c>
      <c r="E59" s="64">
        <v>2016</v>
      </c>
      <c r="F59" s="64">
        <v>2017</v>
      </c>
      <c r="G59" s="64">
        <v>2020</v>
      </c>
      <c r="H59" s="64">
        <v>2023</v>
      </c>
      <c r="I59" s="72">
        <v>2025</v>
      </c>
    </row>
    <row r="60" spans="1:13" ht="15" customHeight="1" x14ac:dyDescent="0.2">
      <c r="A60" s="65" t="s">
        <v>33</v>
      </c>
      <c r="B60" s="66">
        <v>342.72</v>
      </c>
      <c r="C60" s="66">
        <v>388.8</v>
      </c>
      <c r="D60" s="66">
        <v>506.48275862068965</v>
      </c>
      <c r="E60" s="66">
        <v>587.52</v>
      </c>
      <c r="F60" s="66">
        <v>681.52319999999997</v>
      </c>
      <c r="G60" s="66">
        <v>1063.7868367871999</v>
      </c>
      <c r="H60" s="66">
        <v>1415.9002797637636</v>
      </c>
      <c r="I60" s="77">
        <v>1713.239338514154</v>
      </c>
      <c r="J60" s="4"/>
      <c r="K60" s="4"/>
      <c r="L60" s="4"/>
      <c r="M60" s="4"/>
    </row>
    <row r="61" spans="1:13" ht="15" customHeight="1" x14ac:dyDescent="0.2">
      <c r="A61" s="65" t="s">
        <v>30</v>
      </c>
      <c r="B61" s="66">
        <v>250.92</v>
      </c>
      <c r="C61" s="66">
        <v>302.39999999999998</v>
      </c>
      <c r="D61" s="66">
        <v>403.2</v>
      </c>
      <c r="E61" s="66">
        <v>483.84</v>
      </c>
      <c r="F61" s="66">
        <v>580.60799999999995</v>
      </c>
      <c r="G61" s="66">
        <v>1560.3333670528007</v>
      </c>
      <c r="H61" s="66">
        <v>2373.0720096164273</v>
      </c>
      <c r="I61" s="77">
        <v>3138.3877327177247</v>
      </c>
      <c r="J61" s="4"/>
      <c r="K61" s="4"/>
      <c r="L61" s="4"/>
      <c r="M61" s="4"/>
    </row>
    <row r="62" spans="1:13" ht="15" customHeight="1" x14ac:dyDescent="0.2">
      <c r="A62" s="65" t="s">
        <v>31</v>
      </c>
      <c r="B62" s="66">
        <f>SUM(B60:B61)</f>
        <v>593.64</v>
      </c>
      <c r="C62" s="66">
        <f>SUM(C60:C61)</f>
        <v>691.2</v>
      </c>
      <c r="D62" s="66">
        <f>SUM(D60:D61)</f>
        <v>909.68275862068958</v>
      </c>
      <c r="E62" s="66">
        <f>SUM(E60:E61)</f>
        <v>1071.3599999999999</v>
      </c>
      <c r="F62" s="66">
        <f>SUM(F60:F61)</f>
        <v>1262.1311999999998</v>
      </c>
      <c r="G62" s="66">
        <v>2624.1202038400006</v>
      </c>
      <c r="H62" s="66">
        <f>SUM(H60:H61)</f>
        <v>3788.9722893801909</v>
      </c>
      <c r="I62" s="77">
        <f>SUM(I60:I61)</f>
        <v>4851.6270712318783</v>
      </c>
      <c r="M62" s="4"/>
    </row>
    <row r="63" spans="1:13" ht="15" customHeight="1" x14ac:dyDescent="0.2">
      <c r="A63" s="65" t="s">
        <v>32</v>
      </c>
      <c r="B63" s="66">
        <v>16</v>
      </c>
      <c r="C63" s="66">
        <v>28.799999999999955</v>
      </c>
      <c r="D63" s="66">
        <v>58.904109589041099</v>
      </c>
      <c r="E63" s="66">
        <v>86</v>
      </c>
      <c r="F63" s="66">
        <v>125.56</v>
      </c>
      <c r="G63" s="66">
        <v>390.75979615999995</v>
      </c>
      <c r="H63" s="66">
        <v>1026.082081383882</v>
      </c>
      <c r="I63" s="77">
        <v>1667.3833822488084</v>
      </c>
      <c r="K63" s="4"/>
      <c r="L63" s="4"/>
      <c r="M63" s="4"/>
    </row>
    <row r="64" spans="1:13" ht="15" customHeight="1" x14ac:dyDescent="0.2">
      <c r="A64" s="65" t="s">
        <v>29</v>
      </c>
      <c r="B64" s="66">
        <f t="shared" ref="B64:I64" si="2">SUM(B62:B63)</f>
        <v>609.64</v>
      </c>
      <c r="C64" s="66">
        <f t="shared" si="2"/>
        <v>720</v>
      </c>
      <c r="D64" s="66">
        <f t="shared" si="2"/>
        <v>968.58686820973071</v>
      </c>
      <c r="E64" s="66">
        <f t="shared" si="2"/>
        <v>1157.3599999999999</v>
      </c>
      <c r="F64" s="66">
        <f t="shared" si="2"/>
        <v>1387.6911999999998</v>
      </c>
      <c r="G64" s="66">
        <f t="shared" si="2"/>
        <v>3014.8800000000006</v>
      </c>
      <c r="H64" s="66">
        <f t="shared" si="2"/>
        <v>4815.0543707640727</v>
      </c>
      <c r="I64" s="77">
        <f t="shared" si="2"/>
        <v>6519.0104534806869</v>
      </c>
    </row>
    <row r="65" spans="1:13" ht="15" customHeight="1" thickBot="1" x14ac:dyDescent="0.25">
      <c r="A65" s="74" t="s">
        <v>16</v>
      </c>
      <c r="B65" s="82">
        <v>3070</v>
      </c>
      <c r="C65" s="82">
        <v>3400</v>
      </c>
      <c r="D65" s="82">
        <v>4700</v>
      </c>
      <c r="E65" s="82">
        <v>6800</v>
      </c>
      <c r="F65" s="82">
        <v>9100</v>
      </c>
      <c r="G65" s="82">
        <v>20700</v>
      </c>
      <c r="H65" s="82">
        <v>43387.200000000004</v>
      </c>
      <c r="I65" s="83">
        <v>61423.259039999997</v>
      </c>
      <c r="J65" s="16"/>
      <c r="K65" s="16"/>
      <c r="L65" s="16"/>
      <c r="M65" s="4"/>
    </row>
    <row r="66" spans="1:13" ht="15" customHeight="1" x14ac:dyDescent="0.2">
      <c r="A66" s="33"/>
    </row>
    <row r="67" spans="1:13" ht="15" customHeight="1" thickBot="1" x14ac:dyDescent="0.25">
      <c r="A67" s="33"/>
    </row>
    <row r="68" spans="1:13" ht="30" customHeight="1" x14ac:dyDescent="0.2">
      <c r="A68" s="71" t="s">
        <v>65</v>
      </c>
      <c r="B68" s="64">
        <v>2013</v>
      </c>
      <c r="C68" s="64">
        <v>2014</v>
      </c>
      <c r="D68" s="64">
        <v>2015</v>
      </c>
      <c r="E68" s="64">
        <v>2016</v>
      </c>
      <c r="F68" s="64">
        <v>2017</v>
      </c>
      <c r="G68" s="64">
        <v>2020</v>
      </c>
      <c r="H68" s="64">
        <v>2023</v>
      </c>
      <c r="I68" s="72">
        <v>2025</v>
      </c>
    </row>
    <row r="69" spans="1:13" ht="15" customHeight="1" x14ac:dyDescent="0.2">
      <c r="A69" s="65" t="s">
        <v>33</v>
      </c>
      <c r="B69" s="95">
        <v>0.65400000000000003</v>
      </c>
      <c r="C69" s="95">
        <v>0.58899999999999997</v>
      </c>
      <c r="D69" s="95">
        <v>0.5298480000000001</v>
      </c>
      <c r="E69" s="95">
        <v>0.4768632000000001</v>
      </c>
      <c r="F69" s="95">
        <v>0.42917688000000009</v>
      </c>
      <c r="G69" s="95">
        <v>0.31274100000000005</v>
      </c>
      <c r="H69" s="95">
        <v>0.22798818900000009</v>
      </c>
      <c r="I69" s="97">
        <v>0.18467043309000006</v>
      </c>
      <c r="M69" s="30"/>
    </row>
    <row r="70" spans="1:13" ht="15" customHeight="1" x14ac:dyDescent="0.2">
      <c r="A70" s="65" t="s">
        <v>30</v>
      </c>
      <c r="B70" s="95">
        <v>0.23100000000000001</v>
      </c>
      <c r="C70" s="95">
        <v>0.20799999999999999</v>
      </c>
      <c r="D70" s="95">
        <v>0.18735300000000005</v>
      </c>
      <c r="E70" s="95">
        <v>0.16861770000000006</v>
      </c>
      <c r="F70" s="95">
        <v>0.15175593000000004</v>
      </c>
      <c r="G70" s="95">
        <v>0.110808</v>
      </c>
      <c r="H70" s="95">
        <v>8.0779032000000001E-2</v>
      </c>
      <c r="I70" s="97">
        <v>6.5431015920000002E-2</v>
      </c>
      <c r="M70" s="30"/>
    </row>
    <row r="71" spans="1:13" ht="15" customHeight="1" x14ac:dyDescent="0.2">
      <c r="A71" s="65" t="s">
        <v>32</v>
      </c>
      <c r="B71" s="95">
        <v>9.526315789473685</v>
      </c>
      <c r="C71" s="95">
        <v>4.9117647058823533</v>
      </c>
      <c r="D71" s="95">
        <v>2.0216180414564664</v>
      </c>
      <c r="E71" s="95">
        <v>1.2662014892453026</v>
      </c>
      <c r="F71" s="95">
        <v>0.7761950005503272</v>
      </c>
      <c r="G71" s="95">
        <v>0.18</v>
      </c>
      <c r="H71" s="95">
        <v>6.3E-2</v>
      </c>
      <c r="I71" s="97">
        <v>3.5999999999999997E-2</v>
      </c>
      <c r="J71" s="40"/>
      <c r="M71" s="46"/>
    </row>
    <row r="72" spans="1:13" ht="15" customHeight="1" thickBot="1" x14ac:dyDescent="0.25">
      <c r="A72" s="74" t="s">
        <v>16</v>
      </c>
      <c r="B72" s="98">
        <f>C72/0.9</f>
        <v>0.1050696086157079</v>
      </c>
      <c r="C72" s="98">
        <f>D72/0.9</f>
        <v>9.4562647754137114E-2</v>
      </c>
      <c r="D72" s="98">
        <v>8.5106382978723402E-2</v>
      </c>
      <c r="E72" s="98">
        <v>7.4042553191489363E-2</v>
      </c>
      <c r="F72" s="98">
        <v>6.145531914893617E-2</v>
      </c>
      <c r="G72" s="98">
        <v>3.1465123404255328E-2</v>
      </c>
      <c r="H72" s="98">
        <v>1.7346282021038304E-2</v>
      </c>
      <c r="I72" s="99">
        <v>1.2385245363021349E-2</v>
      </c>
      <c r="J72" s="40"/>
      <c r="M72" s="30"/>
    </row>
    <row r="73" spans="1:13" ht="15" customHeight="1" x14ac:dyDescent="0.2">
      <c r="A73" s="4"/>
      <c r="B73" s="49"/>
      <c r="C73" s="49"/>
      <c r="D73" s="49"/>
      <c r="E73" s="49"/>
      <c r="F73" s="49"/>
      <c r="G73" s="5"/>
      <c r="H73" s="5"/>
      <c r="I73" s="5"/>
      <c r="J73" s="40"/>
      <c r="M73" s="30"/>
    </row>
    <row r="74" spans="1:13" ht="15" customHeight="1" x14ac:dyDescent="0.2"/>
    <row r="75" spans="1:13" ht="15" customHeight="1" x14ac:dyDescent="0.2"/>
    <row r="76" spans="1:13" ht="15" customHeight="1" x14ac:dyDescent="0.2"/>
  </sheetData>
  <mergeCells count="1">
    <mergeCell ref="A2:B3"/>
  </mergeCells>
  <conditionalFormatting sqref="B8:I13">
    <cfRule type="expression" dxfId="5" priority="6">
      <formula>MOD(ROW(),2)</formula>
    </cfRule>
  </conditionalFormatting>
  <conditionalFormatting sqref="B19:I31">
    <cfRule type="expression" dxfId="4" priority="5">
      <formula>MOD(ROW(),2)</formula>
    </cfRule>
  </conditionalFormatting>
  <conditionalFormatting sqref="B35:I47">
    <cfRule type="expression" dxfId="3" priority="4">
      <formula>MOD(ROW(),2)</formula>
    </cfRule>
  </conditionalFormatting>
  <conditionalFormatting sqref="B51:I56">
    <cfRule type="expression" dxfId="2" priority="3">
      <formula>MOD(ROW(),2)</formula>
    </cfRule>
  </conditionalFormatting>
  <conditionalFormatting sqref="B60:I65">
    <cfRule type="expression" dxfId="1" priority="2">
      <formula>MOD(ROW(),2)</formula>
    </cfRule>
  </conditionalFormatting>
  <conditionalFormatting sqref="B69:I72">
    <cfRule type="expression" dxfId="0" priority="1">
      <formula>MOD(ROW(),2)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zoomScaleNormal="100" workbookViewId="0">
      <selection activeCell="C20" sqref="C20:C22"/>
    </sheetView>
  </sheetViews>
  <sheetFormatPr baseColWidth="10" defaultRowHeight="12.75" x14ac:dyDescent="0.2"/>
  <cols>
    <col min="1" max="1" width="3.75" customWidth="1"/>
    <col min="2" max="2" width="22.125" customWidth="1"/>
    <col min="3" max="3" width="32.5" customWidth="1"/>
  </cols>
  <sheetData>
    <row r="1" spans="2:9" ht="13.5" thickBot="1" x14ac:dyDescent="0.25"/>
    <row r="2" spans="2:9" x14ac:dyDescent="0.2">
      <c r="B2" s="108" t="s">
        <v>105</v>
      </c>
      <c r="C2" s="109"/>
      <c r="G2" s="101"/>
    </row>
    <row r="3" spans="2:9" ht="13.5" thickBot="1" x14ac:dyDescent="0.25">
      <c r="B3" s="110"/>
      <c r="C3" s="111"/>
    </row>
    <row r="4" spans="2:9" ht="13.5" thickBot="1" x14ac:dyDescent="0.25"/>
    <row r="5" spans="2:9" ht="15" x14ac:dyDescent="0.2">
      <c r="B5" s="71" t="s">
        <v>106</v>
      </c>
      <c r="C5" s="64" t="s">
        <v>75</v>
      </c>
      <c r="D5" s="119" t="s">
        <v>105</v>
      </c>
      <c r="E5" s="119"/>
      <c r="F5" s="119"/>
      <c r="G5" s="119"/>
      <c r="H5" s="119"/>
      <c r="I5" s="120"/>
    </row>
    <row r="6" spans="2:9" ht="30" customHeight="1" x14ac:dyDescent="0.2">
      <c r="B6" s="121" t="s">
        <v>107</v>
      </c>
      <c r="C6" s="123" t="s">
        <v>113</v>
      </c>
      <c r="D6" s="136" t="s">
        <v>108</v>
      </c>
      <c r="E6" s="136"/>
      <c r="F6" s="136"/>
      <c r="G6" s="136"/>
      <c r="H6" s="136"/>
      <c r="I6" s="137"/>
    </row>
    <row r="7" spans="2:9" ht="87" customHeight="1" x14ac:dyDescent="0.2">
      <c r="B7" s="121"/>
      <c r="C7" s="123"/>
      <c r="D7" s="123" t="s">
        <v>109</v>
      </c>
      <c r="E7" s="123"/>
      <c r="F7" s="123"/>
      <c r="G7" s="123"/>
      <c r="H7" s="123"/>
      <c r="I7" s="129"/>
    </row>
    <row r="8" spans="2:9" ht="30" customHeight="1" x14ac:dyDescent="0.2">
      <c r="B8" s="121"/>
      <c r="C8" s="123"/>
      <c r="D8" s="123" t="s">
        <v>110</v>
      </c>
      <c r="E8" s="123"/>
      <c r="F8" s="123"/>
      <c r="G8" s="123"/>
      <c r="H8" s="123"/>
      <c r="I8" s="129"/>
    </row>
    <row r="9" spans="2:9" ht="30" customHeight="1" x14ac:dyDescent="0.2">
      <c r="B9" s="121"/>
      <c r="C9" s="123"/>
      <c r="D9" s="123" t="s">
        <v>111</v>
      </c>
      <c r="E9" s="123"/>
      <c r="F9" s="123"/>
      <c r="G9" s="123"/>
      <c r="H9" s="123"/>
      <c r="I9" s="129"/>
    </row>
    <row r="10" spans="2:9" ht="30" customHeight="1" x14ac:dyDescent="0.2">
      <c r="B10" s="138"/>
      <c r="C10" s="124"/>
      <c r="D10" s="124" t="s">
        <v>118</v>
      </c>
      <c r="E10" s="124"/>
      <c r="F10" s="124"/>
      <c r="G10" s="124"/>
      <c r="H10" s="124"/>
      <c r="I10" s="135"/>
    </row>
    <row r="11" spans="2:9" ht="30" customHeight="1" x14ac:dyDescent="0.2">
      <c r="B11" s="121" t="s">
        <v>129</v>
      </c>
      <c r="C11" s="125" t="s">
        <v>112</v>
      </c>
      <c r="D11" s="123" t="s">
        <v>114</v>
      </c>
      <c r="E11" s="123"/>
      <c r="F11" s="123"/>
      <c r="G11" s="123"/>
      <c r="H11" s="123"/>
      <c r="I11" s="129"/>
    </row>
    <row r="12" spans="2:9" ht="30" customHeight="1" x14ac:dyDescent="0.2">
      <c r="B12" s="121"/>
      <c r="C12" s="125"/>
      <c r="D12" s="123" t="s">
        <v>116</v>
      </c>
      <c r="E12" s="123"/>
      <c r="F12" s="123"/>
      <c r="G12" s="123"/>
      <c r="H12" s="123"/>
      <c r="I12" s="129"/>
    </row>
    <row r="13" spans="2:9" ht="30" customHeight="1" x14ac:dyDescent="0.2">
      <c r="B13" s="121"/>
      <c r="C13" s="125"/>
      <c r="D13" s="123" t="s">
        <v>117</v>
      </c>
      <c r="E13" s="123"/>
      <c r="F13" s="123"/>
      <c r="G13" s="123"/>
      <c r="H13" s="123"/>
      <c r="I13" s="129"/>
    </row>
    <row r="14" spans="2:9" ht="30" customHeight="1" x14ac:dyDescent="0.2">
      <c r="B14" s="139" t="s">
        <v>127</v>
      </c>
      <c r="C14" s="126" t="s">
        <v>112</v>
      </c>
      <c r="D14" s="133" t="s">
        <v>115</v>
      </c>
      <c r="E14" s="133"/>
      <c r="F14" s="133"/>
      <c r="G14" s="133"/>
      <c r="H14" s="133"/>
      <c r="I14" s="134"/>
    </row>
    <row r="15" spans="2:9" ht="30" customHeight="1" x14ac:dyDescent="0.2">
      <c r="B15" s="121"/>
      <c r="C15" s="125"/>
      <c r="D15" s="123" t="s">
        <v>119</v>
      </c>
      <c r="E15" s="123"/>
      <c r="F15" s="123"/>
      <c r="G15" s="123"/>
      <c r="H15" s="123"/>
      <c r="I15" s="129"/>
    </row>
    <row r="16" spans="2:9" ht="30" customHeight="1" x14ac:dyDescent="0.2">
      <c r="B16" s="138"/>
      <c r="C16" s="127"/>
      <c r="D16" s="124" t="s">
        <v>117</v>
      </c>
      <c r="E16" s="124"/>
      <c r="F16" s="124"/>
      <c r="G16" s="124"/>
      <c r="H16" s="124"/>
      <c r="I16" s="135"/>
    </row>
    <row r="17" spans="2:9" ht="30" customHeight="1" x14ac:dyDescent="0.2">
      <c r="B17" s="139" t="s">
        <v>126</v>
      </c>
      <c r="C17" s="126" t="s">
        <v>130</v>
      </c>
      <c r="D17" s="133" t="s">
        <v>122</v>
      </c>
      <c r="E17" s="133"/>
      <c r="F17" s="133"/>
      <c r="G17" s="133"/>
      <c r="H17" s="133"/>
      <c r="I17" s="134"/>
    </row>
    <row r="18" spans="2:9" ht="30" customHeight="1" x14ac:dyDescent="0.2">
      <c r="B18" s="121"/>
      <c r="C18" s="125"/>
      <c r="D18" s="123" t="s">
        <v>120</v>
      </c>
      <c r="E18" s="123"/>
      <c r="F18" s="123"/>
      <c r="G18" s="123"/>
      <c r="H18" s="123"/>
      <c r="I18" s="129"/>
    </row>
    <row r="19" spans="2:9" ht="30" customHeight="1" x14ac:dyDescent="0.2">
      <c r="B19" s="138"/>
      <c r="C19" s="127"/>
      <c r="D19" s="124" t="s">
        <v>117</v>
      </c>
      <c r="E19" s="124"/>
      <c r="F19" s="124"/>
      <c r="G19" s="124"/>
      <c r="H19" s="124"/>
      <c r="I19" s="135"/>
    </row>
    <row r="20" spans="2:9" ht="30" customHeight="1" x14ac:dyDescent="0.2">
      <c r="B20" s="121" t="s">
        <v>128</v>
      </c>
      <c r="C20" s="125" t="s">
        <v>125</v>
      </c>
      <c r="D20" s="123" t="s">
        <v>121</v>
      </c>
      <c r="E20" s="123"/>
      <c r="F20" s="123"/>
      <c r="G20" s="123"/>
      <c r="H20" s="123"/>
      <c r="I20" s="129"/>
    </row>
    <row r="21" spans="2:9" ht="30" customHeight="1" x14ac:dyDescent="0.2">
      <c r="B21" s="121"/>
      <c r="C21" s="125"/>
      <c r="D21" s="130" t="s">
        <v>123</v>
      </c>
      <c r="E21" s="123"/>
      <c r="F21" s="123"/>
      <c r="G21" s="123"/>
      <c r="H21" s="123"/>
      <c r="I21" s="129"/>
    </row>
    <row r="22" spans="2:9" ht="30" customHeight="1" thickBot="1" x14ac:dyDescent="0.25">
      <c r="B22" s="122"/>
      <c r="C22" s="128"/>
      <c r="D22" s="131" t="s">
        <v>124</v>
      </c>
      <c r="E22" s="131"/>
      <c r="F22" s="131"/>
      <c r="G22" s="131"/>
      <c r="H22" s="131"/>
      <c r="I22" s="132"/>
    </row>
  </sheetData>
  <mergeCells count="29">
    <mergeCell ref="D5:I5"/>
    <mergeCell ref="D6:I6"/>
    <mergeCell ref="D19:I19"/>
    <mergeCell ref="D10:I10"/>
    <mergeCell ref="B2:C3"/>
    <mergeCell ref="B6:B10"/>
    <mergeCell ref="B11:B13"/>
    <mergeCell ref="B14:B16"/>
    <mergeCell ref="B17:B19"/>
    <mergeCell ref="D20:I20"/>
    <mergeCell ref="D21:I21"/>
    <mergeCell ref="D22:I22"/>
    <mergeCell ref="D7:I7"/>
    <mergeCell ref="D8:I8"/>
    <mergeCell ref="D9:I9"/>
    <mergeCell ref="D11:I11"/>
    <mergeCell ref="D12:I12"/>
    <mergeCell ref="D13:I13"/>
    <mergeCell ref="D14:I14"/>
    <mergeCell ref="D15:I15"/>
    <mergeCell ref="D16:I16"/>
    <mergeCell ref="D17:I17"/>
    <mergeCell ref="D18:I18"/>
    <mergeCell ref="B20:B22"/>
    <mergeCell ref="C6:C10"/>
    <mergeCell ref="C11:C13"/>
    <mergeCell ref="C14:C16"/>
    <mergeCell ref="C17:C19"/>
    <mergeCell ref="C20:C22"/>
  </mergeCells>
  <conditionalFormatting sqref="C6">
    <cfRule type="expression" dxfId="72" priority="4">
      <formula>MOD(ROW(),2)</formula>
    </cfRule>
  </conditionalFormatting>
  <conditionalFormatting sqref="D6:D10 C11:D11 C14 D12:D13 C17 C20">
    <cfRule type="expression" dxfId="71" priority="8">
      <formula>MOD(ROW(),2)</formula>
    </cfRule>
  </conditionalFormatting>
  <conditionalFormatting sqref="D20:D22">
    <cfRule type="expression" dxfId="70" priority="1">
      <formula>MOD(ROW(),2)</formula>
    </cfRule>
  </conditionalFormatting>
  <conditionalFormatting sqref="D14:D16">
    <cfRule type="expression" dxfId="69" priority="3">
      <formula>MOD(ROW(),2)</formula>
    </cfRule>
  </conditionalFormatting>
  <conditionalFormatting sqref="D17:D19">
    <cfRule type="expression" dxfId="68" priority="2">
      <formula>MOD(ROW(),2)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S91"/>
  <sheetViews>
    <sheetView workbookViewId="0">
      <selection activeCell="C3" sqref="C3"/>
    </sheetView>
  </sheetViews>
  <sheetFormatPr baseColWidth="10" defaultColWidth="11" defaultRowHeight="12.75" x14ac:dyDescent="0.2"/>
  <cols>
    <col min="1" max="1" width="45.75" style="8" customWidth="1"/>
    <col min="2" max="9" width="7.75" style="8" customWidth="1"/>
    <col min="10" max="10" width="8.25" style="8" customWidth="1"/>
    <col min="11" max="11" width="16.75" style="8" customWidth="1"/>
    <col min="12" max="13" width="13.75" style="8" customWidth="1"/>
    <col min="14" max="14" width="11.625" style="8" customWidth="1"/>
    <col min="15" max="15" width="11.25" style="8" customWidth="1"/>
    <col min="16" max="16" width="12.375" style="8" customWidth="1"/>
    <col min="17" max="18" width="13.125" style="8" customWidth="1"/>
    <col min="19" max="19" width="11.375" style="8" customWidth="1"/>
    <col min="20" max="20" width="29.625" style="8" customWidth="1"/>
    <col min="21" max="16384" width="11" style="8"/>
  </cols>
  <sheetData>
    <row r="1" spans="1:10" ht="13.5" thickBot="1" x14ac:dyDescent="0.25"/>
    <row r="2" spans="1:10" x14ac:dyDescent="0.2">
      <c r="A2" s="108" t="s">
        <v>48</v>
      </c>
      <c r="B2" s="109"/>
    </row>
    <row r="3" spans="1:10" ht="13.5" thickBot="1" x14ac:dyDescent="0.25">
      <c r="A3" s="110"/>
      <c r="B3" s="111"/>
    </row>
    <row r="4" spans="1:10" ht="13.5" thickBot="1" x14ac:dyDescent="0.25"/>
    <row r="5" spans="1:10" ht="30" customHeight="1" x14ac:dyDescent="0.2">
      <c r="A5" s="71" t="s">
        <v>34</v>
      </c>
      <c r="B5" s="64">
        <v>2013</v>
      </c>
      <c r="C5" s="64">
        <v>2014</v>
      </c>
      <c r="D5" s="64">
        <v>2015</v>
      </c>
      <c r="E5" s="64">
        <v>2016</v>
      </c>
      <c r="F5" s="64">
        <v>2017</v>
      </c>
      <c r="G5" s="64">
        <v>2020</v>
      </c>
      <c r="H5" s="64">
        <v>2023</v>
      </c>
      <c r="I5" s="72">
        <v>2025</v>
      </c>
    </row>
    <row r="6" spans="1:10" ht="15" customHeight="1" x14ac:dyDescent="0.2">
      <c r="A6" s="65" t="s">
        <v>0</v>
      </c>
      <c r="B6" s="67">
        <v>134</v>
      </c>
      <c r="C6" s="67">
        <v>134</v>
      </c>
      <c r="D6" s="67">
        <v>113</v>
      </c>
      <c r="E6" s="67">
        <v>103</v>
      </c>
      <c r="F6" s="67">
        <v>103</v>
      </c>
      <c r="G6" s="67">
        <v>90</v>
      </c>
      <c r="H6" s="67">
        <v>80</v>
      </c>
      <c r="I6" s="73">
        <v>70</v>
      </c>
    </row>
    <row r="7" spans="1:10" ht="15" customHeight="1" x14ac:dyDescent="0.2">
      <c r="A7" s="65" t="s">
        <v>1</v>
      </c>
      <c r="B7" s="67">
        <v>135</v>
      </c>
      <c r="C7" s="67">
        <v>128</v>
      </c>
      <c r="D7" s="67">
        <v>120</v>
      </c>
      <c r="E7" s="67">
        <v>114</v>
      </c>
      <c r="F7" s="67">
        <v>109</v>
      </c>
      <c r="G7" s="67">
        <v>100</v>
      </c>
      <c r="H7" s="67">
        <v>90</v>
      </c>
      <c r="I7" s="73">
        <v>80</v>
      </c>
    </row>
    <row r="8" spans="1:10" ht="15" customHeight="1" x14ac:dyDescent="0.2">
      <c r="A8" s="65" t="s">
        <v>25</v>
      </c>
      <c r="B8" s="67">
        <v>181</v>
      </c>
      <c r="C8" s="67">
        <v>174</v>
      </c>
      <c r="D8" s="67">
        <v>163</v>
      </c>
      <c r="E8" s="67">
        <v>155</v>
      </c>
      <c r="F8" s="67">
        <v>163</v>
      </c>
      <c r="G8" s="67">
        <v>160</v>
      </c>
      <c r="H8" s="67">
        <v>155</v>
      </c>
      <c r="I8" s="73">
        <v>150</v>
      </c>
    </row>
    <row r="9" spans="1:10" ht="15" customHeight="1" x14ac:dyDescent="0.2">
      <c r="A9" s="65" t="s">
        <v>8</v>
      </c>
      <c r="B9" s="67">
        <v>969</v>
      </c>
      <c r="C9" s="67">
        <v>1244</v>
      </c>
      <c r="D9" s="67">
        <v>1423</v>
      </c>
      <c r="E9" s="67">
        <v>1495</v>
      </c>
      <c r="F9" s="66">
        <v>1569.75</v>
      </c>
      <c r="G9" s="67">
        <v>1800</v>
      </c>
      <c r="H9" s="67">
        <v>2100</v>
      </c>
      <c r="I9" s="73">
        <v>2300</v>
      </c>
    </row>
    <row r="10" spans="1:10" ht="15" customHeight="1" x14ac:dyDescent="0.2">
      <c r="A10" s="65" t="s">
        <v>3</v>
      </c>
      <c r="B10" s="67">
        <v>220</v>
      </c>
      <c r="C10" s="67">
        <v>230</v>
      </c>
      <c r="D10" s="67">
        <v>208</v>
      </c>
      <c r="E10" s="67">
        <v>182</v>
      </c>
      <c r="F10" s="67">
        <v>180</v>
      </c>
      <c r="G10" s="67">
        <v>190</v>
      </c>
      <c r="H10" s="67">
        <v>200</v>
      </c>
      <c r="I10" s="73">
        <v>210</v>
      </c>
    </row>
    <row r="11" spans="1:10" ht="15" customHeight="1" x14ac:dyDescent="0.2">
      <c r="A11" s="65" t="s">
        <v>11</v>
      </c>
      <c r="B11" s="67">
        <v>850</v>
      </c>
      <c r="C11" s="67">
        <v>634</v>
      </c>
      <c r="D11" s="67">
        <v>494</v>
      </c>
      <c r="E11" s="67">
        <v>400</v>
      </c>
      <c r="F11" s="67">
        <v>325</v>
      </c>
      <c r="G11" s="67">
        <v>200</v>
      </c>
      <c r="H11" s="67">
        <v>180</v>
      </c>
      <c r="I11" s="73">
        <v>170</v>
      </c>
      <c r="J11" s="4"/>
    </row>
    <row r="12" spans="1:10" ht="15" customHeight="1" x14ac:dyDescent="0.2">
      <c r="A12" s="65" t="s">
        <v>10</v>
      </c>
      <c r="B12" s="67">
        <v>0</v>
      </c>
      <c r="C12" s="67">
        <v>0</v>
      </c>
      <c r="D12" s="67">
        <v>0</v>
      </c>
      <c r="E12" s="67">
        <v>0</v>
      </c>
      <c r="F12" s="67">
        <v>0</v>
      </c>
      <c r="G12" s="67">
        <v>0</v>
      </c>
      <c r="H12" s="67">
        <v>0</v>
      </c>
      <c r="I12" s="73">
        <v>0</v>
      </c>
    </row>
    <row r="13" spans="1:10" ht="15" customHeight="1" x14ac:dyDescent="0.2">
      <c r="A13" s="65" t="s">
        <v>13</v>
      </c>
      <c r="B13" s="67">
        <v>0</v>
      </c>
      <c r="C13" s="67">
        <v>0</v>
      </c>
      <c r="D13" s="67">
        <v>1000</v>
      </c>
      <c r="E13" s="67">
        <v>2000</v>
      </c>
      <c r="F13" s="67">
        <v>3000</v>
      </c>
      <c r="G13" s="67">
        <v>6000</v>
      </c>
      <c r="H13" s="67">
        <v>9000</v>
      </c>
      <c r="I13" s="73">
        <v>12000</v>
      </c>
    </row>
    <row r="14" spans="1:10" ht="15" customHeight="1" x14ac:dyDescent="0.2">
      <c r="A14" s="65" t="s">
        <v>9</v>
      </c>
      <c r="B14" s="67">
        <v>150</v>
      </c>
      <c r="C14" s="67">
        <v>160</v>
      </c>
      <c r="D14" s="67">
        <v>172</v>
      </c>
      <c r="E14" s="67">
        <v>185</v>
      </c>
      <c r="F14" s="67">
        <v>200</v>
      </c>
      <c r="G14" s="67">
        <v>250</v>
      </c>
      <c r="H14" s="67">
        <v>270</v>
      </c>
      <c r="I14" s="73">
        <v>280</v>
      </c>
    </row>
    <row r="15" spans="1:10" ht="15" customHeight="1" x14ac:dyDescent="0.2">
      <c r="A15" s="65" t="s">
        <v>5</v>
      </c>
      <c r="B15" s="67">
        <v>150</v>
      </c>
      <c r="C15" s="67">
        <v>160</v>
      </c>
      <c r="D15" s="67">
        <v>172</v>
      </c>
      <c r="E15" s="67">
        <v>185</v>
      </c>
      <c r="F15" s="67">
        <v>200</v>
      </c>
      <c r="G15" s="67">
        <v>250</v>
      </c>
      <c r="H15" s="67">
        <v>270</v>
      </c>
      <c r="I15" s="73">
        <v>280</v>
      </c>
    </row>
    <row r="16" spans="1:10" ht="15" customHeight="1" x14ac:dyDescent="0.2">
      <c r="A16" s="65" t="s">
        <v>6</v>
      </c>
      <c r="B16" s="67">
        <v>33</v>
      </c>
      <c r="C16" s="67">
        <v>33</v>
      </c>
      <c r="D16" s="67">
        <v>35</v>
      </c>
      <c r="E16" s="66">
        <v>36.75</v>
      </c>
      <c r="F16" s="66">
        <v>38.587499999999999</v>
      </c>
      <c r="G16" s="67">
        <v>45</v>
      </c>
      <c r="H16" s="67">
        <v>50</v>
      </c>
      <c r="I16" s="73">
        <v>55</v>
      </c>
    </row>
    <row r="17" spans="1:16" ht="15" customHeight="1" x14ac:dyDescent="0.2">
      <c r="A17" s="65" t="s">
        <v>7</v>
      </c>
      <c r="B17" s="67">
        <v>70</v>
      </c>
      <c r="C17" s="67">
        <v>70</v>
      </c>
      <c r="D17" s="67">
        <v>70</v>
      </c>
      <c r="E17" s="67">
        <v>70</v>
      </c>
      <c r="F17" s="67">
        <v>70</v>
      </c>
      <c r="G17" s="67">
        <v>70</v>
      </c>
      <c r="H17" s="67">
        <v>70</v>
      </c>
      <c r="I17" s="73">
        <v>70</v>
      </c>
    </row>
    <row r="18" spans="1:16" ht="15" customHeight="1" thickBot="1" x14ac:dyDescent="0.25">
      <c r="A18" s="74" t="s">
        <v>17</v>
      </c>
      <c r="B18" s="75">
        <v>57</v>
      </c>
      <c r="C18" s="75">
        <v>57</v>
      </c>
      <c r="D18" s="75">
        <v>57</v>
      </c>
      <c r="E18" s="75">
        <v>57</v>
      </c>
      <c r="F18" s="75">
        <v>57</v>
      </c>
      <c r="G18" s="75">
        <v>50</v>
      </c>
      <c r="H18" s="75">
        <v>50</v>
      </c>
      <c r="I18" s="76">
        <v>50</v>
      </c>
    </row>
    <row r="19" spans="1:16" ht="15" customHeight="1" x14ac:dyDescent="0.2">
      <c r="A19" s="31"/>
      <c r="B19" s="53"/>
      <c r="C19" s="53"/>
      <c r="D19" s="53"/>
      <c r="E19" s="53"/>
      <c r="F19" s="53"/>
      <c r="G19" s="54"/>
      <c r="H19" s="54"/>
      <c r="I19" s="62"/>
    </row>
    <row r="20" spans="1:16" ht="15" customHeight="1" thickBot="1" x14ac:dyDescent="0.25">
      <c r="A20" s="51"/>
      <c r="B20" s="45"/>
      <c r="C20" s="45"/>
      <c r="D20" s="45"/>
      <c r="E20" s="45"/>
      <c r="F20" s="45"/>
      <c r="G20" s="45"/>
      <c r="H20" s="45"/>
      <c r="I20" s="45"/>
    </row>
    <row r="21" spans="1:16" ht="30" customHeight="1" x14ac:dyDescent="0.2">
      <c r="A21" s="71" t="s">
        <v>35</v>
      </c>
      <c r="B21" s="64">
        <v>2013</v>
      </c>
      <c r="C21" s="64">
        <v>2014</v>
      </c>
      <c r="D21" s="64">
        <v>2015</v>
      </c>
      <c r="E21" s="64">
        <v>2016</v>
      </c>
      <c r="F21" s="64">
        <v>2017</v>
      </c>
      <c r="G21" s="64">
        <v>2020</v>
      </c>
      <c r="H21" s="64">
        <v>2023</v>
      </c>
      <c r="I21" s="72">
        <v>2025</v>
      </c>
    </row>
    <row r="22" spans="1:16" s="7" customFormat="1" ht="15" customHeight="1" x14ac:dyDescent="0.2">
      <c r="A22" s="65" t="s">
        <v>0</v>
      </c>
      <c r="B22" s="66">
        <f>B6*'DATA 1'!B35/1000</f>
        <v>100.5</v>
      </c>
      <c r="C22" s="66">
        <f>C6*'DATA 1'!C35/1000</f>
        <v>100.5</v>
      </c>
      <c r="D22" s="66">
        <f>D6*'DATA 1'!D35/1000</f>
        <v>84.75</v>
      </c>
      <c r="E22" s="66">
        <f>E6*'DATA 1'!E35/1000</f>
        <v>77.25</v>
      </c>
      <c r="F22" s="66">
        <f>F6*'DATA 1'!F35/1000</f>
        <v>77.25</v>
      </c>
      <c r="G22" s="66">
        <f>G6*'DATA 1'!G35/1000</f>
        <v>67.5</v>
      </c>
      <c r="H22" s="66">
        <f>H6*'DATA 1'!H35/1000</f>
        <v>60</v>
      </c>
      <c r="I22" s="77">
        <f>I6*'DATA 1'!I35/1000</f>
        <v>52.5</v>
      </c>
    </row>
    <row r="23" spans="1:16" ht="15" customHeight="1" x14ac:dyDescent="0.2">
      <c r="A23" s="65" t="s">
        <v>1</v>
      </c>
      <c r="B23" s="66">
        <f>B7*'DATA 1'!B36/1000</f>
        <v>94.5</v>
      </c>
      <c r="C23" s="66">
        <f>C7*'DATA 1'!C36/1000</f>
        <v>89.6</v>
      </c>
      <c r="D23" s="66">
        <f>D7*'DATA 1'!D36/1000</f>
        <v>84</v>
      </c>
      <c r="E23" s="66">
        <f>E7*'DATA 1'!E36/1000</f>
        <v>85.5</v>
      </c>
      <c r="F23" s="66">
        <f>F7*'DATA 1'!F36/1000</f>
        <v>87.2</v>
      </c>
      <c r="G23" s="66">
        <f>G7*'DATA 1'!G36/1000</f>
        <v>80</v>
      </c>
      <c r="H23" s="66">
        <f>H7*'DATA 1'!H36/1000</f>
        <v>72</v>
      </c>
      <c r="I23" s="77">
        <f>I7*'DATA 1'!I36/1000</f>
        <v>64</v>
      </c>
    </row>
    <row r="24" spans="1:16" ht="15" customHeight="1" x14ac:dyDescent="0.2">
      <c r="A24" s="65" t="s">
        <v>22</v>
      </c>
      <c r="B24" s="66">
        <f>B8*'DATA 1'!B37/1000</f>
        <v>253.4</v>
      </c>
      <c r="C24" s="66">
        <f>C8*'DATA 1'!C37/1000</f>
        <v>243.6</v>
      </c>
      <c r="D24" s="66">
        <f>D8*'DATA 1'!D37/1000</f>
        <v>228.2</v>
      </c>
      <c r="E24" s="66">
        <f>E8*'DATA 1'!E37/1000</f>
        <v>232.5</v>
      </c>
      <c r="F24" s="66">
        <f>F8*'DATA 1'!F37/1000</f>
        <v>260.8</v>
      </c>
      <c r="G24" s="66">
        <f>G8*'DATA 1'!G37/1000</f>
        <v>256</v>
      </c>
      <c r="H24" s="66">
        <f>H8*'DATA 1'!H37/1000</f>
        <v>248</v>
      </c>
      <c r="I24" s="77">
        <f>I8*'DATA 1'!I37/1000</f>
        <v>240</v>
      </c>
    </row>
    <row r="25" spans="1:16" ht="15" customHeight="1" x14ac:dyDescent="0.2">
      <c r="A25" s="65" t="s">
        <v>18</v>
      </c>
      <c r="B25" s="66">
        <f>B9*'DATA 1'!B38/1000</f>
        <v>94.523411371237472</v>
      </c>
      <c r="C25" s="66">
        <f>C9*'DATA 1'!C38/1000</f>
        <v>145.61872909698997</v>
      </c>
      <c r="D25" s="66">
        <f>D9*'DATA 1'!D38/1000</f>
        <v>199.88628762541805</v>
      </c>
      <c r="E25" s="66">
        <f>E9*'DATA 1'!E38/1000</f>
        <v>252</v>
      </c>
      <c r="F25" s="66">
        <f>F9*'DATA 1'!F38/1000</f>
        <v>317.52</v>
      </c>
      <c r="G25" s="66">
        <f>G9*'DATA 1'!G38/1000</f>
        <v>436.31999999999994</v>
      </c>
      <c r="H25" s="66">
        <f>H9*'DATA 1'!H38/1000</f>
        <v>525</v>
      </c>
      <c r="I25" s="77">
        <f>I9*'DATA 1'!I38/1000</f>
        <v>575</v>
      </c>
    </row>
    <row r="26" spans="1:16" ht="15" customHeight="1" x14ac:dyDescent="0.2">
      <c r="A26" s="65" t="s">
        <v>3</v>
      </c>
      <c r="B26" s="66">
        <f>B10*'DATA 1'!B39/1000</f>
        <v>64.381270903010034</v>
      </c>
      <c r="C26" s="66">
        <f>C10*'DATA 1'!C39/1000</f>
        <v>67.307692307692292</v>
      </c>
      <c r="D26" s="66">
        <f>D10*'DATA 1'!D39/1000</f>
        <v>73.043478260869549</v>
      </c>
      <c r="E26" s="66">
        <f>E10*'DATA 1'!E39/1000</f>
        <v>76.695652173913047</v>
      </c>
      <c r="F26" s="66">
        <f>F10*'DATA 1'!F39/1000</f>
        <v>91.023411371237458</v>
      </c>
      <c r="G26" s="66">
        <f>G10*'DATA 1'!G39/1000</f>
        <v>96.080267558528433</v>
      </c>
      <c r="H26" s="66">
        <f>H10*'DATA 1'!H39/1000</f>
        <v>101.13712374581939</v>
      </c>
      <c r="I26" s="77">
        <f>I10*'DATA 1'!I39/1000</f>
        <v>106.19397993311037</v>
      </c>
      <c r="J26" s="140"/>
      <c r="K26" s="141"/>
      <c r="L26" s="140"/>
      <c r="M26" s="141"/>
      <c r="P26" s="2"/>
    </row>
    <row r="27" spans="1:16" ht="15" customHeight="1" x14ac:dyDescent="0.2">
      <c r="A27" s="65" t="s">
        <v>11</v>
      </c>
      <c r="B27" s="66">
        <f>B11*'DATA 1'!B40/1000</f>
        <v>10.199999999999999</v>
      </c>
      <c r="C27" s="66">
        <f>C11*'DATA 1'!C40/1000</f>
        <v>7.6079999999999997</v>
      </c>
      <c r="D27" s="66">
        <f>D11*'DATA 1'!D40/1000</f>
        <v>5.9279999999999999</v>
      </c>
      <c r="E27" s="66">
        <f>E11*'DATA 1'!E40/1000</f>
        <v>4.8</v>
      </c>
      <c r="F27" s="66">
        <f>F11*'DATA 1'!F40/1000</f>
        <v>3.9</v>
      </c>
      <c r="G27" s="66">
        <f>G11*'DATA 1'!G40/1000</f>
        <v>2.4</v>
      </c>
      <c r="H27" s="66">
        <f>H11*'DATA 1'!H40/1000</f>
        <v>2.16</v>
      </c>
      <c r="I27" s="77">
        <f>I11*'DATA 1'!I40/1000</f>
        <v>2.04</v>
      </c>
      <c r="J27" s="43"/>
      <c r="K27" s="43"/>
      <c r="L27" s="42"/>
      <c r="M27" s="43"/>
      <c r="P27" s="2"/>
    </row>
    <row r="28" spans="1:16" ht="15" customHeight="1" x14ac:dyDescent="0.2">
      <c r="A28" s="65" t="s">
        <v>10</v>
      </c>
      <c r="B28" s="66">
        <f>B12*'DATA 1'!B41/1000</f>
        <v>0</v>
      </c>
      <c r="C28" s="66">
        <f>C12*'DATA 1'!C41/1000</f>
        <v>0</v>
      </c>
      <c r="D28" s="66">
        <f>D12*'DATA 1'!D41/1000</f>
        <v>0</v>
      </c>
      <c r="E28" s="66">
        <f>E12*'DATA 1'!E41/1000</f>
        <v>0</v>
      </c>
      <c r="F28" s="66">
        <f>F12*'DATA 1'!F41/1000</f>
        <v>0</v>
      </c>
      <c r="G28" s="66">
        <f>G12*'DATA 1'!G41/1000</f>
        <v>0</v>
      </c>
      <c r="H28" s="66">
        <f>H12*'DATA 1'!H41/1000</f>
        <v>0</v>
      </c>
      <c r="I28" s="77">
        <f>I12*'DATA 1'!I41/1000</f>
        <v>0</v>
      </c>
      <c r="J28" s="43"/>
      <c r="K28" s="43"/>
      <c r="L28" s="42"/>
      <c r="M28" s="43"/>
      <c r="P28" s="2"/>
    </row>
    <row r="29" spans="1:16" ht="15" customHeight="1" x14ac:dyDescent="0.2">
      <c r="A29" s="65" t="s">
        <v>41</v>
      </c>
      <c r="B29" s="66">
        <f>B13*'DATA 1'!B42/1000</f>
        <v>0</v>
      </c>
      <c r="C29" s="66">
        <f>C13*'DATA 1'!C42/1000</f>
        <v>0</v>
      </c>
      <c r="D29" s="66">
        <f>D13*'DATA 1'!D42/1000</f>
        <v>5</v>
      </c>
      <c r="E29" s="66">
        <f>E13*'DATA 1'!E42/1000</f>
        <v>10</v>
      </c>
      <c r="F29" s="66">
        <f>F13*'DATA 1'!F42/1000</f>
        <v>15</v>
      </c>
      <c r="G29" s="66">
        <f>G13*'DATA 1'!G42/1000</f>
        <v>30</v>
      </c>
      <c r="H29" s="66">
        <f>H13*'DATA 1'!H42/1000</f>
        <v>54</v>
      </c>
      <c r="I29" s="77">
        <f>I13*'DATA 1'!I42/1000</f>
        <v>84</v>
      </c>
      <c r="J29" s="43"/>
      <c r="K29" s="43"/>
      <c r="L29" s="42"/>
      <c r="M29" s="43"/>
      <c r="P29" s="2"/>
    </row>
    <row r="30" spans="1:16" ht="15" customHeight="1" x14ac:dyDescent="0.2">
      <c r="A30" s="65" t="s">
        <v>4</v>
      </c>
      <c r="B30" s="66">
        <f>B14*'DATA 1'!B43/1000</f>
        <v>127.84090909090911</v>
      </c>
      <c r="C30" s="66">
        <f>C14*'DATA 1'!C43/1000</f>
        <v>163.63636363636365</v>
      </c>
      <c r="D30" s="66">
        <f>D14*'DATA 1'!D43/1000</f>
        <v>211.09090909090909</v>
      </c>
      <c r="E30" s="66">
        <f>E14*'DATA 1'!E43/1000</f>
        <v>249.75</v>
      </c>
      <c r="F30" s="66">
        <f>F14*'DATA 1'!F43/1000</f>
        <v>297.00000000000006</v>
      </c>
      <c r="G30" s="66">
        <f>G14*'DATA 1'!G43/1000</f>
        <v>494.13375000000013</v>
      </c>
      <c r="H30" s="66">
        <f>H14*'DATA 1'!H43/1000</f>
        <v>710.30738295000049</v>
      </c>
      <c r="I30" s="77">
        <f>I14*'DATA 1'!I43/1000</f>
        <v>891.3042271980006</v>
      </c>
      <c r="J30" s="43"/>
      <c r="K30" s="43"/>
      <c r="L30" s="42"/>
      <c r="M30" s="43"/>
      <c r="P30" s="2"/>
    </row>
    <row r="31" spans="1:16" ht="15" customHeight="1" x14ac:dyDescent="0.2">
      <c r="A31" s="65" t="s">
        <v>5</v>
      </c>
      <c r="B31" s="66">
        <f>B15*'DATA 1'!B44/1000</f>
        <v>6.75</v>
      </c>
      <c r="C31" s="66">
        <f>C15*'DATA 1'!C44/1000</f>
        <v>7.2</v>
      </c>
      <c r="D31" s="66">
        <f>D15*'DATA 1'!D44/1000</f>
        <v>7.74</v>
      </c>
      <c r="E31" s="66">
        <f>E15*'DATA 1'!E44/1000</f>
        <v>8.3249999999999993</v>
      </c>
      <c r="F31" s="66">
        <f>F15*'DATA 1'!F44/1000</f>
        <v>9</v>
      </c>
      <c r="G31" s="66">
        <f>G15*'DATA 1'!G44/1000</f>
        <v>11.25</v>
      </c>
      <c r="H31" s="66">
        <f>H15*'DATA 1'!H44/1000</f>
        <v>12.15</v>
      </c>
      <c r="I31" s="77">
        <f>I15*'DATA 1'!I44/1000</f>
        <v>12.6</v>
      </c>
      <c r="J31" s="43"/>
      <c r="K31" s="43"/>
      <c r="L31" s="42"/>
      <c r="M31" s="43"/>
      <c r="P31" s="2"/>
    </row>
    <row r="32" spans="1:16" ht="15" customHeight="1" x14ac:dyDescent="0.2">
      <c r="A32" s="65" t="s">
        <v>6</v>
      </c>
      <c r="B32" s="66">
        <f>B16*'DATA 1'!B45/1000</f>
        <v>4.95</v>
      </c>
      <c r="C32" s="66">
        <f>C16*'DATA 1'!C45/1000</f>
        <v>4.95</v>
      </c>
      <c r="D32" s="66">
        <f>D16*'DATA 1'!D45/1000</f>
        <v>5.25</v>
      </c>
      <c r="E32" s="66">
        <f>E16*'DATA 1'!E45/1000</f>
        <v>5.5125000000000002</v>
      </c>
      <c r="F32" s="66">
        <f>F16*'DATA 1'!F45/1000</f>
        <v>5.788125</v>
      </c>
      <c r="G32" s="66">
        <f>G16*'DATA 1'!G45/1000</f>
        <v>6.75</v>
      </c>
      <c r="H32" s="66">
        <f>H16*'DATA 1'!H45/1000</f>
        <v>7.5</v>
      </c>
      <c r="I32" s="77">
        <f>I16*'DATA 1'!I45/1000</f>
        <v>8.25</v>
      </c>
      <c r="J32" s="43"/>
      <c r="K32" s="43"/>
      <c r="L32" s="42"/>
      <c r="M32" s="43"/>
      <c r="P32" s="2"/>
    </row>
    <row r="33" spans="1:16" ht="15" customHeight="1" x14ac:dyDescent="0.2">
      <c r="A33" s="65" t="s">
        <v>7</v>
      </c>
      <c r="B33" s="66">
        <f>B17*'DATA 1'!B46/1000</f>
        <v>7</v>
      </c>
      <c r="C33" s="66">
        <f>C17*'DATA 1'!C46/1000</f>
        <v>7</v>
      </c>
      <c r="D33" s="66">
        <f>D17*'DATA 1'!D46/1000</f>
        <v>7</v>
      </c>
      <c r="E33" s="66">
        <f>E17*'DATA 1'!E46/1000</f>
        <v>7</v>
      </c>
      <c r="F33" s="66">
        <f>F17*'DATA 1'!F46/1000</f>
        <v>7</v>
      </c>
      <c r="G33" s="66">
        <f>G17*'DATA 1'!G46/1000</f>
        <v>7</v>
      </c>
      <c r="H33" s="66">
        <f>H17*'DATA 1'!H46/1000</f>
        <v>7</v>
      </c>
      <c r="I33" s="77">
        <f>I17*'DATA 1'!I46/1000</f>
        <v>7</v>
      </c>
      <c r="J33" s="43"/>
      <c r="K33" s="43"/>
      <c r="L33" s="42"/>
      <c r="M33" s="43"/>
      <c r="P33" s="2"/>
    </row>
    <row r="34" spans="1:16" ht="15" customHeight="1" x14ac:dyDescent="0.2">
      <c r="A34" s="65" t="s">
        <v>17</v>
      </c>
      <c r="B34" s="66">
        <f>B18*'DATA 1'!B47/1000</f>
        <v>11.4</v>
      </c>
      <c r="C34" s="66">
        <f>C18*'DATA 1'!C47/1000</f>
        <v>11.4</v>
      </c>
      <c r="D34" s="66">
        <f>D18*'DATA 1'!D47/1000</f>
        <v>11.4</v>
      </c>
      <c r="E34" s="66">
        <f>E18*'DATA 1'!E47/1000</f>
        <v>11.4</v>
      </c>
      <c r="F34" s="66">
        <f>F18*'DATA 1'!F47/1000</f>
        <v>11.4</v>
      </c>
      <c r="G34" s="66">
        <f>G18*'DATA 1'!G47/1000</f>
        <v>10</v>
      </c>
      <c r="H34" s="66">
        <f>H18*'DATA 1'!H47/1000</f>
        <v>10</v>
      </c>
      <c r="I34" s="77">
        <f>I18*'DATA 1'!I47/1000</f>
        <v>10</v>
      </c>
      <c r="J34" s="28"/>
      <c r="K34" s="27"/>
      <c r="L34" s="10"/>
      <c r="M34" s="27"/>
      <c r="N34" s="19"/>
      <c r="O34" s="19"/>
      <c r="P34" s="1"/>
    </row>
    <row r="35" spans="1:16" ht="15" customHeight="1" x14ac:dyDescent="0.2">
      <c r="A35" s="65" t="s">
        <v>15</v>
      </c>
      <c r="B35" s="66">
        <f>0.15*(B69+B70+B71)</f>
        <v>65.178367894736837</v>
      </c>
      <c r="C35" s="66">
        <f t="shared" ref="C35:I35" si="0">0.15*(C69+C70+C71)</f>
        <v>65.004183529411719</v>
      </c>
      <c r="D35" s="66">
        <f t="shared" si="0"/>
        <v>69.447182542618435</v>
      </c>
      <c r="E35" s="66">
        <f t="shared" si="0"/>
        <v>70.596597496064419</v>
      </c>
      <c r="F35" s="66">
        <f t="shared" si="0"/>
        <v>71.709562784723275</v>
      </c>
      <c r="G35" s="66">
        <f t="shared" si="0"/>
        <v>81.833052829327855</v>
      </c>
      <c r="H35" s="66">
        <f t="shared" si="0"/>
        <v>101.36872531875072</v>
      </c>
      <c r="I35" s="77">
        <f t="shared" si="0"/>
        <v>151.12221606513967</v>
      </c>
      <c r="J35" s="28"/>
      <c r="K35" s="27"/>
      <c r="L35" s="10"/>
      <c r="M35" s="27"/>
      <c r="N35" s="29"/>
      <c r="O35" s="29"/>
      <c r="P35" s="20"/>
    </row>
    <row r="36" spans="1:16" ht="15" customHeight="1" x14ac:dyDescent="0.2">
      <c r="A36" s="65" t="s">
        <v>16</v>
      </c>
      <c r="B36" s="66">
        <f>0.15*B72</f>
        <v>48.38455476753348</v>
      </c>
      <c r="C36" s="66">
        <f t="shared" ref="C36:I36" si="1">0.15*C72</f>
        <v>48.226950354609933</v>
      </c>
      <c r="D36" s="66">
        <f t="shared" si="1"/>
        <v>60</v>
      </c>
      <c r="E36" s="66">
        <f t="shared" si="1"/>
        <v>74.680851063829778</v>
      </c>
      <c r="F36" s="66">
        <f t="shared" si="1"/>
        <v>88.92765957446808</v>
      </c>
      <c r="G36" s="66">
        <f t="shared" si="1"/>
        <v>134.05881906382982</v>
      </c>
      <c r="H36" s="66">
        <f t="shared" si="1"/>
        <v>186.33222638045274</v>
      </c>
      <c r="I36" s="77">
        <f t="shared" si="1"/>
        <v>287.76505078022751</v>
      </c>
      <c r="J36" s="44"/>
      <c r="K36" s="43"/>
      <c r="L36" s="42"/>
      <c r="M36" s="43"/>
      <c r="N36" s="20"/>
      <c r="O36" s="20"/>
      <c r="P36" s="20"/>
    </row>
    <row r="37" spans="1:16" ht="15" customHeight="1" thickBot="1" x14ac:dyDescent="0.25">
      <c r="A37" s="78" t="s">
        <v>12</v>
      </c>
      <c r="B37" s="79">
        <f t="shared" ref="B37:I37" si="2">SUM(B22:B36)</f>
        <v>889.00851402742694</v>
      </c>
      <c r="C37" s="79">
        <f t="shared" si="2"/>
        <v>961.65191892506755</v>
      </c>
      <c r="D37" s="79">
        <f t="shared" si="2"/>
        <v>1052.735857519815</v>
      </c>
      <c r="E37" s="79">
        <f t="shared" si="2"/>
        <v>1166.0106007338072</v>
      </c>
      <c r="F37" s="79">
        <f t="shared" si="2"/>
        <v>1343.518758730429</v>
      </c>
      <c r="G37" s="79">
        <f t="shared" si="2"/>
        <v>1713.3258894516862</v>
      </c>
      <c r="H37" s="79">
        <f t="shared" si="2"/>
        <v>2096.9554583950235</v>
      </c>
      <c r="I37" s="80">
        <f t="shared" si="2"/>
        <v>2491.7754739764778</v>
      </c>
      <c r="J37" s="44"/>
      <c r="K37" s="43"/>
      <c r="L37" s="42"/>
      <c r="M37" s="43"/>
      <c r="N37" s="20"/>
      <c r="O37" s="20"/>
      <c r="P37" s="20"/>
    </row>
    <row r="38" spans="1:16" ht="15" customHeight="1" x14ac:dyDescent="0.2">
      <c r="A38" s="51"/>
      <c r="B38" s="45"/>
      <c r="C38" s="45"/>
      <c r="D38" s="52"/>
      <c r="E38" s="45"/>
      <c r="F38" s="45"/>
      <c r="G38" s="45"/>
      <c r="H38" s="45"/>
      <c r="I38" s="45"/>
      <c r="J38" s="20"/>
      <c r="L38" s="20"/>
      <c r="M38" s="43"/>
      <c r="N38" s="20"/>
      <c r="O38" s="20"/>
      <c r="P38" s="20"/>
    </row>
    <row r="39" spans="1:16" ht="15" customHeight="1" thickBot="1" x14ac:dyDescent="0.25">
      <c r="A39" s="32"/>
      <c r="B39" s="54"/>
      <c r="C39" s="54"/>
      <c r="D39" s="50"/>
      <c r="E39" s="50"/>
      <c r="F39" s="50"/>
      <c r="G39" s="54"/>
      <c r="H39" s="54"/>
      <c r="I39" s="50"/>
      <c r="J39" s="20"/>
      <c r="K39" s="43"/>
      <c r="L39" s="20"/>
      <c r="M39" s="43"/>
      <c r="N39" s="20"/>
      <c r="O39" s="20"/>
      <c r="P39" s="20"/>
    </row>
    <row r="40" spans="1:16" s="7" customFormat="1" ht="30" customHeight="1" x14ac:dyDescent="0.2">
      <c r="A40" s="71" t="s">
        <v>23</v>
      </c>
      <c r="B40" s="64">
        <v>2013</v>
      </c>
      <c r="C40" s="64">
        <v>2014</v>
      </c>
      <c r="D40" s="64">
        <v>2015</v>
      </c>
      <c r="E40" s="64">
        <v>2016</v>
      </c>
      <c r="F40" s="64">
        <v>2017</v>
      </c>
      <c r="G40" s="64">
        <v>2020</v>
      </c>
      <c r="H40" s="64">
        <v>2023</v>
      </c>
      <c r="I40" s="72">
        <v>2025</v>
      </c>
      <c r="J40" s="41"/>
      <c r="K40" s="41"/>
      <c r="L40" s="42"/>
      <c r="M40" s="41"/>
    </row>
    <row r="41" spans="1:16" s="7" customFormat="1" ht="15" customHeight="1" x14ac:dyDescent="0.2">
      <c r="A41" s="65" t="s">
        <v>24</v>
      </c>
      <c r="B41" s="66">
        <f>'2 Higher Growth Higher EE'!B41</f>
        <v>1500.6</v>
      </c>
      <c r="C41" s="66">
        <f>'2 Higher Growth Higher EE'!C41</f>
        <v>1540</v>
      </c>
      <c r="D41" s="66">
        <f>'2 Higher Growth Higher EE'!D41</f>
        <v>1403.0769230769231</v>
      </c>
      <c r="E41" s="66">
        <f>'2 Higher Growth Higher EE'!E41</f>
        <v>1368</v>
      </c>
      <c r="F41" s="66">
        <f>'2 Higher Growth Higher EE'!F41</f>
        <v>1333.8</v>
      </c>
      <c r="G41" s="66">
        <f>'2 Higher Growth Higher EE'!G41</f>
        <v>1250</v>
      </c>
      <c r="H41" s="66">
        <f>'2 Higher Growth Higher EE'!H41</f>
        <v>1190</v>
      </c>
      <c r="I41" s="77">
        <f>'2 Higher Growth Higher EE'!I41</f>
        <v>1150</v>
      </c>
      <c r="J41" s="41"/>
      <c r="K41" s="41"/>
      <c r="L41" s="42"/>
      <c r="M41" s="41"/>
    </row>
    <row r="42" spans="1:16" s="7" customFormat="1" ht="15" customHeight="1" x14ac:dyDescent="0.2">
      <c r="A42" s="65" t="s">
        <v>2</v>
      </c>
      <c r="B42" s="66">
        <f>'2 Higher Growth Higher EE'!B42</f>
        <v>1734.2999999999997</v>
      </c>
      <c r="C42" s="66">
        <f>'2 Higher Growth Higher EE'!C42</f>
        <v>2100</v>
      </c>
      <c r="D42" s="66">
        <f>'2 Higher Growth Higher EE'!D42</f>
        <v>2945</v>
      </c>
      <c r="E42" s="66">
        <f>'2 Higher Growth Higher EE'!E42</f>
        <v>3591</v>
      </c>
      <c r="F42" s="66">
        <f>'2 Higher Growth Higher EE'!F42</f>
        <v>3986.01</v>
      </c>
      <c r="G42" s="66">
        <f>'2 Higher Growth Higher EE'!G42</f>
        <v>5750</v>
      </c>
      <c r="H42" s="66">
        <f>'2 Higher Growth Higher EE'!H42</f>
        <v>6200</v>
      </c>
      <c r="I42" s="77">
        <f>'2 Higher Growth Higher EE'!I42</f>
        <v>6500</v>
      </c>
      <c r="J42" s="41"/>
      <c r="K42" s="41"/>
      <c r="L42" s="42"/>
      <c r="M42" s="41"/>
    </row>
    <row r="43" spans="1:16" s="7" customFormat="1" ht="15" customHeight="1" x14ac:dyDescent="0.2">
      <c r="A43" s="65" t="s">
        <v>3</v>
      </c>
      <c r="B43" s="66">
        <f>'2 Higher Growth Higher EE'!B43</f>
        <v>282.89999999999998</v>
      </c>
      <c r="C43" s="66">
        <f>'2 Higher Growth Higher EE'!C43</f>
        <v>420</v>
      </c>
      <c r="D43" s="66">
        <f>'2 Higher Growth Higher EE'!D43</f>
        <v>465</v>
      </c>
      <c r="E43" s="66">
        <f>'2 Higher Growth Higher EE'!E43</f>
        <v>513</v>
      </c>
      <c r="F43" s="66">
        <f>'2 Higher Growth Higher EE'!F43</f>
        <v>713</v>
      </c>
      <c r="G43" s="66">
        <f>'2 Higher Growth Higher EE'!G43</f>
        <v>750</v>
      </c>
      <c r="H43" s="66">
        <f>'2 Higher Growth Higher EE'!H43</f>
        <v>780</v>
      </c>
      <c r="I43" s="77">
        <f>'2 Higher Growth Higher EE'!I43</f>
        <v>800</v>
      </c>
      <c r="J43" s="41"/>
      <c r="K43" s="41"/>
      <c r="L43" s="42"/>
      <c r="M43" s="41"/>
    </row>
    <row r="44" spans="1:16" s="7" customFormat="1" ht="15" customHeight="1" x14ac:dyDescent="0.2">
      <c r="A44" s="65" t="s">
        <v>11</v>
      </c>
      <c r="B44" s="66">
        <f>'2 Higher Growth Higher EE'!B44</f>
        <v>4624.8</v>
      </c>
      <c r="C44" s="66">
        <f>'2 Higher Growth Higher EE'!C44</f>
        <v>4480</v>
      </c>
      <c r="D44" s="66">
        <f>'2 Higher Growth Higher EE'!D44</f>
        <v>3720</v>
      </c>
      <c r="E44" s="66">
        <f>'2 Higher Growth Higher EE'!E44</f>
        <v>3249</v>
      </c>
      <c r="F44" s="66">
        <f>'2 Higher Growth Higher EE'!F44</f>
        <v>2853.99</v>
      </c>
      <c r="G44" s="66">
        <f>'2 Higher Growth Higher EE'!G44</f>
        <v>1500</v>
      </c>
      <c r="H44" s="66">
        <f>'2 Higher Growth Higher EE'!H44</f>
        <v>1300</v>
      </c>
      <c r="I44" s="77">
        <f>'2 Higher Growth Higher EE'!I44</f>
        <v>1200</v>
      </c>
      <c r="J44" s="41"/>
      <c r="K44" s="41"/>
      <c r="L44" s="42"/>
      <c r="M44" s="41"/>
    </row>
    <row r="45" spans="1:16" s="7" customFormat="1" ht="15" customHeight="1" x14ac:dyDescent="0.2">
      <c r="A45" s="65" t="s">
        <v>13</v>
      </c>
      <c r="B45" s="66">
        <f>'2 Higher Growth Higher EE'!B45</f>
        <v>2287.8000000000002</v>
      </c>
      <c r="C45" s="66">
        <f>'2 Higher Growth Higher EE'!C45</f>
        <v>3360</v>
      </c>
      <c r="D45" s="66">
        <f>'2 Higher Growth Higher EE'!D45</f>
        <v>4650</v>
      </c>
      <c r="E45" s="66">
        <f>'2 Higher Growth Higher EE'!E45</f>
        <v>5814</v>
      </c>
      <c r="F45" s="66">
        <f>'2 Higher Growth Higher EE'!F45</f>
        <v>6918.66</v>
      </c>
      <c r="G45" s="66">
        <f>'2 Higher Growth Higher EE'!G45</f>
        <v>12500</v>
      </c>
      <c r="H45" s="66">
        <f>'2 Higher Growth Higher EE'!H45</f>
        <v>20000</v>
      </c>
      <c r="I45" s="77">
        <f>'2 Higher Growth Higher EE'!I45</f>
        <v>25000</v>
      </c>
      <c r="J45" s="41"/>
      <c r="K45" s="41"/>
      <c r="L45" s="42"/>
      <c r="M45" s="41"/>
    </row>
    <row r="46" spans="1:16" s="7" customFormat="1" ht="15" customHeight="1" x14ac:dyDescent="0.2">
      <c r="A46" s="65" t="s">
        <v>26</v>
      </c>
      <c r="B46" s="66">
        <f>'2 Higher Growth Higher EE'!B46</f>
        <v>1353</v>
      </c>
      <c r="C46" s="66">
        <f>'2 Higher Growth Higher EE'!C46</f>
        <v>1540</v>
      </c>
      <c r="D46" s="66">
        <f>'2 Higher Growth Higher EE'!D46</f>
        <v>1705</v>
      </c>
      <c r="E46" s="66">
        <f>'2 Higher Growth Higher EE'!E46</f>
        <v>2052</v>
      </c>
      <c r="F46" s="66">
        <f>'2 Higher Growth Higher EE'!F46</f>
        <v>2236.6800000000003</v>
      </c>
      <c r="G46" s="66">
        <f>'2 Higher Growth Higher EE'!G46</f>
        <v>3000</v>
      </c>
      <c r="H46" s="66">
        <f>'2 Higher Growth Higher EE'!H46</f>
        <v>3500</v>
      </c>
      <c r="I46" s="77">
        <f>'2 Higher Growth Higher EE'!I46</f>
        <v>3800</v>
      </c>
      <c r="J46" s="41"/>
      <c r="K46" s="41"/>
      <c r="L46" s="42"/>
      <c r="M46" s="41"/>
    </row>
    <row r="47" spans="1:16" s="7" customFormat="1" ht="15" customHeight="1" thickBot="1" x14ac:dyDescent="0.25">
      <c r="A47" s="78" t="s">
        <v>12</v>
      </c>
      <c r="B47" s="79">
        <f>'2 Higher Growth Higher EE'!B47</f>
        <v>12300</v>
      </c>
      <c r="C47" s="79">
        <f>'2 Higher Growth Higher EE'!C47</f>
        <v>14000</v>
      </c>
      <c r="D47" s="79">
        <f>'2 Higher Growth Higher EE'!D47</f>
        <v>15500</v>
      </c>
      <c r="E47" s="79">
        <f>'2 Higher Growth Higher EE'!E47</f>
        <v>17100</v>
      </c>
      <c r="F47" s="79">
        <f>'2 Higher Growth Higher EE'!F47</f>
        <v>18810</v>
      </c>
      <c r="G47" s="79">
        <f>'2 Higher Growth Higher EE'!G47</f>
        <v>25000</v>
      </c>
      <c r="H47" s="79">
        <f>'2 Higher Growth Higher EE'!H47</f>
        <v>32970</v>
      </c>
      <c r="I47" s="80">
        <f>'2 Higher Growth Higher EE'!I47</f>
        <v>38450</v>
      </c>
      <c r="J47" s="41"/>
      <c r="K47" s="41"/>
      <c r="L47" s="42"/>
      <c r="M47" s="41"/>
    </row>
    <row r="48" spans="1:16" s="7" customFormat="1" ht="15" customHeight="1" x14ac:dyDescent="0.2">
      <c r="A48" s="32"/>
      <c r="B48" s="54"/>
      <c r="C48" s="54"/>
      <c r="D48" s="54"/>
      <c r="E48" s="54"/>
      <c r="F48" s="54"/>
      <c r="G48" s="54"/>
      <c r="H48" s="54"/>
      <c r="I48" s="54"/>
      <c r="J48" s="41"/>
      <c r="K48" s="41"/>
      <c r="L48" s="42"/>
      <c r="M48" s="41"/>
    </row>
    <row r="49" spans="1:13" s="7" customFormat="1" ht="15" customHeight="1" thickBot="1" x14ac:dyDescent="0.25">
      <c r="A49" s="32"/>
      <c r="B49" s="54"/>
      <c r="C49" s="54"/>
      <c r="D49" s="54"/>
      <c r="E49" s="54"/>
      <c r="F49" s="54"/>
      <c r="G49" s="54"/>
      <c r="H49" s="54"/>
      <c r="I49" s="54"/>
      <c r="J49" s="60"/>
      <c r="K49" s="60"/>
      <c r="L49" s="59"/>
      <c r="M49" s="60"/>
    </row>
    <row r="50" spans="1:13" s="7" customFormat="1" ht="30" customHeight="1" x14ac:dyDescent="0.2">
      <c r="A50" s="71" t="s">
        <v>61</v>
      </c>
      <c r="B50" s="64">
        <v>2013</v>
      </c>
      <c r="C50" s="64">
        <v>2014</v>
      </c>
      <c r="D50" s="64">
        <v>2015</v>
      </c>
      <c r="E50" s="64">
        <v>2016</v>
      </c>
      <c r="F50" s="64">
        <v>2017</v>
      </c>
      <c r="G50" s="64">
        <v>2020</v>
      </c>
      <c r="H50" s="64">
        <v>2023</v>
      </c>
      <c r="I50" s="72">
        <v>2025</v>
      </c>
      <c r="J50" s="41"/>
      <c r="K50" s="41"/>
      <c r="L50" s="42"/>
      <c r="M50" s="41"/>
    </row>
    <row r="51" spans="1:13" ht="15" customHeight="1" x14ac:dyDescent="0.2">
      <c r="A51" s="65" t="s">
        <v>24</v>
      </c>
      <c r="B51" s="66">
        <f>'DATA 1'!B51*B41/1000</f>
        <v>90.036000000000001</v>
      </c>
      <c r="C51" s="66">
        <f>'DATA 1'!C51*C41/1000</f>
        <v>92.4</v>
      </c>
      <c r="D51" s="66">
        <f>'DATA 1'!D51*D41/1000</f>
        <v>84.184615384615384</v>
      </c>
      <c r="E51" s="66">
        <f>'DATA 1'!E51*E41/1000</f>
        <v>82.08</v>
      </c>
      <c r="F51" s="66">
        <f>'DATA 1'!F51*F41/1000</f>
        <v>80.028000000000006</v>
      </c>
      <c r="G51" s="66">
        <f>'DATA 1'!G51*G41/1000</f>
        <v>75</v>
      </c>
      <c r="H51" s="66">
        <f>'DATA 1'!H51*H41/1000</f>
        <v>71.400000000000006</v>
      </c>
      <c r="I51" s="77">
        <f>'DATA 1'!I51*I41/1000</f>
        <v>69</v>
      </c>
      <c r="J51" s="43"/>
      <c r="K51" s="43"/>
      <c r="L51" s="42"/>
      <c r="M51" s="43"/>
    </row>
    <row r="52" spans="1:13" ht="15" customHeight="1" x14ac:dyDescent="0.2">
      <c r="A52" s="65" t="s">
        <v>2</v>
      </c>
      <c r="B52" s="66">
        <f>'DATA 1'!B52*B42/1000</f>
        <v>8.5998347107437993</v>
      </c>
      <c r="C52" s="66">
        <f>'DATA 1'!C52*C42/1000</f>
        <v>11.454545454545453</v>
      </c>
      <c r="D52" s="66">
        <f>'DATA 1'!D52*D42/1000</f>
        <v>17.670000000000002</v>
      </c>
      <c r="E52" s="66">
        <f>'DATA 1'!E52*E42/1000</f>
        <v>23.700600000000001</v>
      </c>
      <c r="F52" s="66">
        <f>'DATA 1'!F52*F42/1000</f>
        <v>28.938432600000006</v>
      </c>
      <c r="G52" s="66">
        <f>'DATA 1'!G52*G42/1000</f>
        <v>48.325055625000019</v>
      </c>
      <c r="H52" s="66">
        <f>'DATA 1'!H52*H42/1000</f>
        <v>52.107016500000022</v>
      </c>
      <c r="I52" s="77">
        <f>'DATA 1'!I52*I42/1000</f>
        <v>54.628323750000021</v>
      </c>
      <c r="J52" s="43"/>
      <c r="K52" s="43"/>
      <c r="L52" s="42"/>
      <c r="M52" s="43"/>
    </row>
    <row r="53" spans="1:13" ht="15" customHeight="1" x14ac:dyDescent="0.2">
      <c r="A53" s="65" t="s">
        <v>3</v>
      </c>
      <c r="B53" s="66">
        <f>'DATA 1'!B53*B43/1000</f>
        <v>5.6580000000000004</v>
      </c>
      <c r="C53" s="66">
        <f>'DATA 1'!C53*C43/1000</f>
        <v>8.4</v>
      </c>
      <c r="D53" s="66">
        <f>'DATA 1'!D53*D43/1000</f>
        <v>9.3000000000000007</v>
      </c>
      <c r="E53" s="66">
        <f>'DATA 1'!E53*E43/1000</f>
        <v>10.26</v>
      </c>
      <c r="F53" s="66">
        <f>'DATA 1'!F53*F43/1000</f>
        <v>14.26</v>
      </c>
      <c r="G53" s="66">
        <f>'DATA 1'!G53*G43/1000</f>
        <v>15</v>
      </c>
      <c r="H53" s="66">
        <f>'DATA 1'!H53*H43/1000</f>
        <v>15.6</v>
      </c>
      <c r="I53" s="77">
        <f>'DATA 1'!I53*I43/1000</f>
        <v>16</v>
      </c>
      <c r="J53" s="43"/>
      <c r="K53" s="43"/>
      <c r="L53" s="42"/>
      <c r="M53" s="43"/>
    </row>
    <row r="54" spans="1:13" ht="15" customHeight="1" x14ac:dyDescent="0.2">
      <c r="A54" s="65" t="s">
        <v>11</v>
      </c>
      <c r="B54" s="66">
        <f>'DATA 1'!B54*B44/1000</f>
        <v>4.6248000000000005</v>
      </c>
      <c r="C54" s="66">
        <f>'DATA 1'!C54*C44/1000</f>
        <v>4.4800000000000004</v>
      </c>
      <c r="D54" s="66">
        <f>'DATA 1'!D54*D44/1000</f>
        <v>3.72</v>
      </c>
      <c r="E54" s="66">
        <f>'DATA 1'!E54*E44/1000</f>
        <v>3.2490000000000001</v>
      </c>
      <c r="F54" s="66">
        <f>'DATA 1'!F54*F44/1000</f>
        <v>2.8539899999999996</v>
      </c>
      <c r="G54" s="66">
        <f>'DATA 1'!G54*G44/1000</f>
        <v>1.5</v>
      </c>
      <c r="H54" s="66">
        <f>'DATA 1'!H54*H44/1000</f>
        <v>1.3</v>
      </c>
      <c r="I54" s="77">
        <f>'DATA 1'!I54*I44/1000</f>
        <v>1.2</v>
      </c>
      <c r="J54" s="43"/>
      <c r="K54" s="43"/>
      <c r="L54" s="42"/>
      <c r="M54" s="43"/>
    </row>
    <row r="55" spans="1:13" ht="15" customHeight="1" x14ac:dyDescent="0.2">
      <c r="A55" s="65" t="s">
        <v>13</v>
      </c>
      <c r="B55" s="66">
        <f>'DATA 1'!B55*B45/1000</f>
        <v>0.68634000000000006</v>
      </c>
      <c r="C55" s="66">
        <f>'DATA 1'!C55*C45/1000</f>
        <v>1.008</v>
      </c>
      <c r="D55" s="66">
        <f>'DATA 1'!D55*D45/1000</f>
        <v>1.395</v>
      </c>
      <c r="E55" s="66">
        <f>'DATA 1'!E55*E45/1000</f>
        <v>1.7442</v>
      </c>
      <c r="F55" s="66">
        <f>'DATA 1'!F55*F45/1000</f>
        <v>2.0755979999999998</v>
      </c>
      <c r="G55" s="66">
        <f>'DATA 1'!G55*G45/1000</f>
        <v>3.75</v>
      </c>
      <c r="H55" s="66">
        <f>'DATA 1'!H55*H45/1000</f>
        <v>6</v>
      </c>
      <c r="I55" s="77">
        <f>'DATA 1'!I55*I45/1000</f>
        <v>7.5</v>
      </c>
      <c r="J55" s="43"/>
      <c r="K55" s="43"/>
      <c r="L55" s="42"/>
      <c r="M55" s="43"/>
    </row>
    <row r="56" spans="1:13" ht="15" customHeight="1" x14ac:dyDescent="0.2">
      <c r="A56" s="65" t="s">
        <v>26</v>
      </c>
      <c r="B56" s="66">
        <f>'DATA 1'!B56*B46/1000</f>
        <v>270.60000000000002</v>
      </c>
      <c r="C56" s="66">
        <f>'DATA 1'!C56*C46/1000</f>
        <v>308</v>
      </c>
      <c r="D56" s="66">
        <f>'DATA 1'!D56*D46/1000</f>
        <v>341</v>
      </c>
      <c r="E56" s="66">
        <f>'DATA 1'!E56*E46/1000</f>
        <v>410.4</v>
      </c>
      <c r="F56" s="66">
        <f>'DATA 1'!F56*F46/1000</f>
        <v>447.33600000000007</v>
      </c>
      <c r="G56" s="66">
        <f>'DATA 1'!G56*G46/1000</f>
        <v>600</v>
      </c>
      <c r="H56" s="66">
        <f>'DATA 1'!H56*H46/1000</f>
        <v>700</v>
      </c>
      <c r="I56" s="77">
        <f>'DATA 1'!I56*I46/1000</f>
        <v>760</v>
      </c>
      <c r="J56" s="43"/>
      <c r="K56" s="43"/>
      <c r="L56" s="42"/>
      <c r="M56" s="43"/>
    </row>
    <row r="57" spans="1:13" ht="15" customHeight="1" thickBot="1" x14ac:dyDescent="0.25">
      <c r="A57" s="78" t="s">
        <v>12</v>
      </c>
      <c r="B57" s="79">
        <f t="shared" ref="B57:G57" si="3">SUM(B51:B56)</f>
        <v>380.20497471074384</v>
      </c>
      <c r="C57" s="79">
        <f t="shared" si="3"/>
        <v>425.74254545454545</v>
      </c>
      <c r="D57" s="79">
        <f t="shared" si="3"/>
        <v>457.26961538461535</v>
      </c>
      <c r="E57" s="79">
        <f t="shared" si="3"/>
        <v>531.43380000000002</v>
      </c>
      <c r="F57" s="79">
        <f t="shared" si="3"/>
        <v>575.49202060000016</v>
      </c>
      <c r="G57" s="79">
        <f t="shared" si="3"/>
        <v>743.575055625</v>
      </c>
      <c r="H57" s="79">
        <f>SUM(H51:H56)</f>
        <v>846.40701650000005</v>
      </c>
      <c r="I57" s="80">
        <f>SUM(I51:I56)</f>
        <v>908.32832374999998</v>
      </c>
      <c r="J57" s="43"/>
      <c r="K57" s="43"/>
      <c r="L57" s="42"/>
      <c r="M57" s="43"/>
    </row>
    <row r="58" spans="1:13" ht="15" customHeight="1" x14ac:dyDescent="0.2">
      <c r="A58" s="51"/>
      <c r="B58" s="45"/>
      <c r="C58" s="45"/>
      <c r="D58" s="45"/>
      <c r="E58" s="45"/>
      <c r="F58" s="45"/>
      <c r="G58" s="45"/>
      <c r="H58" s="45"/>
      <c r="I58" s="45"/>
      <c r="J58" s="43"/>
      <c r="K58" s="43"/>
      <c r="L58" s="42"/>
      <c r="M58" s="43"/>
    </row>
    <row r="59" spans="1:13" ht="15" customHeight="1" thickBot="1" x14ac:dyDescent="0.25">
      <c r="A59" s="51"/>
      <c r="B59" s="45"/>
      <c r="C59" s="45"/>
      <c r="D59" s="45"/>
      <c r="E59" s="45"/>
      <c r="F59" s="45"/>
      <c r="G59" s="45"/>
      <c r="H59" s="45"/>
      <c r="I59" s="45"/>
      <c r="J59" s="43"/>
      <c r="K59" s="43"/>
      <c r="L59" s="42"/>
      <c r="M59" s="43"/>
    </row>
    <row r="60" spans="1:13" ht="30" customHeight="1" x14ac:dyDescent="0.2">
      <c r="A60" s="71" t="s">
        <v>27</v>
      </c>
      <c r="B60" s="64">
        <v>2013</v>
      </c>
      <c r="C60" s="64">
        <v>2014</v>
      </c>
      <c r="D60" s="64">
        <v>2015</v>
      </c>
      <c r="E60" s="64">
        <v>2016</v>
      </c>
      <c r="F60" s="64">
        <v>2017</v>
      </c>
      <c r="G60" s="64">
        <v>2020</v>
      </c>
      <c r="H60" s="64">
        <v>2023</v>
      </c>
      <c r="I60" s="72">
        <v>2025</v>
      </c>
      <c r="J60" s="43"/>
      <c r="K60" s="43"/>
      <c r="L60" s="42"/>
      <c r="M60" s="43"/>
    </row>
    <row r="61" spans="1:13" ht="15" customHeight="1" x14ac:dyDescent="0.2">
      <c r="A61" s="65" t="s">
        <v>33</v>
      </c>
      <c r="B61" s="66">
        <f>'DATA 1'!B60</f>
        <v>342.72</v>
      </c>
      <c r="C61" s="66">
        <f>'DATA 1'!C60</f>
        <v>388.8</v>
      </c>
      <c r="D61" s="66">
        <f>'DATA 1'!D60</f>
        <v>506.48275862068965</v>
      </c>
      <c r="E61" s="66">
        <f>'DATA 1'!E60</f>
        <v>587.52</v>
      </c>
      <c r="F61" s="66">
        <f>'DATA 1'!F60</f>
        <v>681.52319999999997</v>
      </c>
      <c r="G61" s="66">
        <f>'DATA 1'!G60</f>
        <v>1063.7868367871999</v>
      </c>
      <c r="H61" s="66">
        <f>'DATA 1'!H60</f>
        <v>1660.4606183937929</v>
      </c>
      <c r="I61" s="77">
        <f>'DATA 1'!I60</f>
        <v>2591.8063374083968</v>
      </c>
      <c r="J61" s="43"/>
      <c r="K61" s="43"/>
      <c r="L61" s="42"/>
      <c r="M61" s="43"/>
    </row>
    <row r="62" spans="1:13" ht="15" customHeight="1" x14ac:dyDescent="0.2">
      <c r="A62" s="65" t="s">
        <v>30</v>
      </c>
      <c r="B62" s="66">
        <f>'DATA 1'!B61</f>
        <v>250.92</v>
      </c>
      <c r="C62" s="66">
        <f>'DATA 1'!C61</f>
        <v>302.39999999999998</v>
      </c>
      <c r="D62" s="66">
        <f>'DATA 1'!D61</f>
        <v>403.2</v>
      </c>
      <c r="E62" s="66">
        <f>'DATA 1'!E61</f>
        <v>483.84</v>
      </c>
      <c r="F62" s="66">
        <f>'DATA 1'!F61</f>
        <v>580.60799999999995</v>
      </c>
      <c r="G62" s="66">
        <f>'DATA 1'!G61</f>
        <v>1286.2533670528003</v>
      </c>
      <c r="H62" s="66">
        <f>'DATA 1'!H61</f>
        <v>2825.8986474150029</v>
      </c>
      <c r="I62" s="77">
        <f>'DATA 1'!I61</f>
        <v>6208.4993283707627</v>
      </c>
      <c r="J62" s="43"/>
      <c r="K62" s="43"/>
      <c r="L62" s="42"/>
      <c r="M62" s="43"/>
    </row>
    <row r="63" spans="1:13" ht="15" customHeight="1" x14ac:dyDescent="0.2">
      <c r="A63" s="65" t="s">
        <v>31</v>
      </c>
      <c r="B63" s="66">
        <f>'DATA 1'!B62</f>
        <v>593.64</v>
      </c>
      <c r="C63" s="66">
        <f>'DATA 1'!C62</f>
        <v>691.2</v>
      </c>
      <c r="D63" s="66">
        <f>'DATA 1'!D62</f>
        <v>909.68275862068958</v>
      </c>
      <c r="E63" s="66">
        <f>'DATA 1'!E62</f>
        <v>1071.3599999999999</v>
      </c>
      <c r="F63" s="66">
        <f>'DATA 1'!F62</f>
        <v>1262.1311999999998</v>
      </c>
      <c r="G63" s="66">
        <f>'DATA 1'!G62</f>
        <v>2350.0402038400002</v>
      </c>
      <c r="H63" s="66">
        <f>'DATA 1'!H62</f>
        <v>4486.3592658087955</v>
      </c>
      <c r="I63" s="77">
        <f>'DATA 1'!I62</f>
        <v>8800.3056657791603</v>
      </c>
      <c r="J63" s="43"/>
      <c r="K63" s="43"/>
      <c r="L63" s="42"/>
      <c r="M63" s="43"/>
    </row>
    <row r="64" spans="1:13" ht="15" customHeight="1" x14ac:dyDescent="0.2">
      <c r="A64" s="65" t="s">
        <v>32</v>
      </c>
      <c r="B64" s="66">
        <f>'DATA 1'!B63</f>
        <v>16</v>
      </c>
      <c r="C64" s="66">
        <f>'DATA 1'!C63</f>
        <v>28.799999999999955</v>
      </c>
      <c r="D64" s="66">
        <f>'DATA 1'!D63</f>
        <v>58.904109589041099</v>
      </c>
      <c r="E64" s="66">
        <f>'DATA 1'!E63</f>
        <v>86</v>
      </c>
      <c r="F64" s="66">
        <f>'DATA 1'!F63</f>
        <v>125.56</v>
      </c>
      <c r="G64" s="66">
        <f>'DATA 1'!G63</f>
        <v>390.75979615999995</v>
      </c>
      <c r="H64" s="66">
        <f>'DATA 1'!H63</f>
        <v>1216.0976289821974</v>
      </c>
      <c r="I64" s="77">
        <f>'DATA 1'!I63</f>
        <v>3784.6612106701396</v>
      </c>
    </row>
    <row r="65" spans="1:19" s="2" customFormat="1" ht="15" customHeight="1" x14ac:dyDescent="0.2">
      <c r="A65" s="65" t="s">
        <v>29</v>
      </c>
      <c r="B65" s="66">
        <f>'DATA 1'!B64</f>
        <v>609.64</v>
      </c>
      <c r="C65" s="66">
        <f>'DATA 1'!C64</f>
        <v>720</v>
      </c>
      <c r="D65" s="66">
        <f>'DATA 1'!D64</f>
        <v>968.58686820973071</v>
      </c>
      <c r="E65" s="66">
        <f>'DATA 1'!E64</f>
        <v>1157.3599999999999</v>
      </c>
      <c r="F65" s="66">
        <f>'DATA 1'!F64</f>
        <v>1387.6911999999998</v>
      </c>
      <c r="G65" s="66">
        <f>'DATA 1'!G64</f>
        <v>2740.8</v>
      </c>
      <c r="H65" s="66">
        <f>'DATA 1'!H64</f>
        <v>5702.4568947909929</v>
      </c>
      <c r="I65" s="77">
        <f>'DATA 1'!I64</f>
        <v>12584.9668764493</v>
      </c>
    </row>
    <row r="66" spans="1:19" s="2" customFormat="1" ht="15" customHeight="1" thickBot="1" x14ac:dyDescent="0.25">
      <c r="A66" s="74" t="s">
        <v>16</v>
      </c>
      <c r="B66" s="82">
        <f>'DATA 1'!B65</f>
        <v>3070</v>
      </c>
      <c r="C66" s="82">
        <f>'DATA 1'!C65</f>
        <v>3400</v>
      </c>
      <c r="D66" s="82">
        <f>'DATA 1'!D65</f>
        <v>4700</v>
      </c>
      <c r="E66" s="82">
        <f>'DATA 1'!E65</f>
        <v>6500</v>
      </c>
      <c r="F66" s="82">
        <f>'DATA 1'!F65</f>
        <v>8600</v>
      </c>
      <c r="G66" s="82">
        <f>'DATA 1'!G65</f>
        <v>17100</v>
      </c>
      <c r="H66" s="82">
        <f>'DATA 1'!H65</f>
        <v>32603.270399999998</v>
      </c>
      <c r="I66" s="83">
        <f>'DATA 1'!I65</f>
        <v>62162.177823129598</v>
      </c>
    </row>
    <row r="67" spans="1:19" s="2" customFormat="1" ht="15" customHeight="1" thickBot="1" x14ac:dyDescent="0.25">
      <c r="A67" s="92"/>
      <c r="B67" s="91"/>
      <c r="C67" s="91"/>
      <c r="D67" s="91"/>
      <c r="E67" s="91"/>
      <c r="F67" s="91"/>
      <c r="G67" s="91"/>
      <c r="H67" s="91"/>
      <c r="I67" s="91"/>
    </row>
    <row r="68" spans="1:19" s="2" customFormat="1" ht="30" customHeight="1" x14ac:dyDescent="0.2">
      <c r="A68" s="71" t="s">
        <v>28</v>
      </c>
      <c r="B68" s="64">
        <v>2013</v>
      </c>
      <c r="C68" s="64">
        <v>2014</v>
      </c>
      <c r="D68" s="64">
        <v>2015</v>
      </c>
      <c r="E68" s="64">
        <v>2016</v>
      </c>
      <c r="F68" s="64">
        <v>2017</v>
      </c>
      <c r="G68" s="64">
        <v>2020</v>
      </c>
      <c r="H68" s="64">
        <v>2023</v>
      </c>
      <c r="I68" s="72">
        <v>2025</v>
      </c>
    </row>
    <row r="69" spans="1:19" s="2" customFormat="1" ht="15" customHeight="1" x14ac:dyDescent="0.2">
      <c r="A69" s="65" t="s">
        <v>33</v>
      </c>
      <c r="B69" s="66">
        <f xml:space="preserve"> 'DATA 1'!B69*B61</f>
        <v>224.13888000000003</v>
      </c>
      <c r="C69" s="66">
        <f xml:space="preserve"> 'DATA 1'!C69*C61</f>
        <v>229.00319999999999</v>
      </c>
      <c r="D69" s="66">
        <f xml:space="preserve"> 'DATA 1'!D69*D61</f>
        <v>268.35887668965523</v>
      </c>
      <c r="E69" s="66">
        <f xml:space="preserve"> 'DATA 1'!E69*E61</f>
        <v>280.16666726400007</v>
      </c>
      <c r="F69" s="66">
        <f xml:space="preserve"> 'DATA 1'!F69*F61</f>
        <v>292.49400062361605</v>
      </c>
      <c r="G69" s="66">
        <f xml:space="preserve"> 'DATA 1'!G69*G61</f>
        <v>332.68975912366574</v>
      </c>
      <c r="H69" s="66">
        <f xml:space="preserve"> 'DATA 1'!H69*H61</f>
        <v>378.56540929342106</v>
      </c>
      <c r="I69" s="77">
        <f xml:space="preserve"> 'DATA 1'!I69*I61</f>
        <v>478.62999881461542</v>
      </c>
    </row>
    <row r="70" spans="1:19" s="2" customFormat="1" ht="15" customHeight="1" x14ac:dyDescent="0.2">
      <c r="A70" s="65" t="s">
        <v>30</v>
      </c>
      <c r="B70" s="66">
        <f xml:space="preserve"> 'DATA 1'!B70*B62</f>
        <v>57.962519999999998</v>
      </c>
      <c r="C70" s="66">
        <f xml:space="preserve"> 'DATA 1'!C70*C62</f>
        <v>62.899199999999993</v>
      </c>
      <c r="D70" s="66">
        <f xml:space="preserve"> 'DATA 1'!D70*D62</f>
        <v>75.54072960000002</v>
      </c>
      <c r="E70" s="66">
        <f xml:space="preserve"> 'DATA 1'!E70*E62</f>
        <v>81.583987968000031</v>
      </c>
      <c r="F70" s="66">
        <f xml:space="preserve"> 'DATA 1'!F70*F62</f>
        <v>88.11070700544002</v>
      </c>
      <c r="G70" s="66">
        <f xml:space="preserve"> 'DATA 1'!G70*G62</f>
        <v>142.52716309638669</v>
      </c>
      <c r="H70" s="66">
        <f xml:space="preserve"> 'DATA 1'!H70*H62</f>
        <v>228.27335726829324</v>
      </c>
      <c r="I70" s="77">
        <f xml:space="preserve"> 'DATA 1'!I70*I62</f>
        <v>406.22841839393669</v>
      </c>
    </row>
    <row r="71" spans="1:19" s="2" customFormat="1" ht="15" customHeight="1" x14ac:dyDescent="0.2">
      <c r="A71" s="65" t="s">
        <v>32</v>
      </c>
      <c r="B71" s="66">
        <f xml:space="preserve"> 'DATA 1'!B71*B64</f>
        <v>152.42105263157896</v>
      </c>
      <c r="C71" s="66">
        <f xml:space="preserve"> 'DATA 1'!C71*C64</f>
        <v>141.45882352941155</v>
      </c>
      <c r="D71" s="66">
        <f xml:space="preserve"> 'DATA 1'!D71*D64</f>
        <v>119.08161066113433</v>
      </c>
      <c r="E71" s="66">
        <f xml:space="preserve"> 'DATA 1'!E71*E64</f>
        <v>108.89332807509602</v>
      </c>
      <c r="F71" s="66">
        <f xml:space="preserve"> 'DATA 1'!F71*F64</f>
        <v>97.459044269099081</v>
      </c>
      <c r="G71" s="66">
        <f xml:space="preserve"> 'DATA 1'!G71*G64</f>
        <v>70.336763308799988</v>
      </c>
      <c r="H71" s="66">
        <f xml:space="preserve"> 'DATA 1'!H71*H64</f>
        <v>68.952735563290588</v>
      </c>
      <c r="I71" s="77">
        <f xml:space="preserve"> 'DATA 1'!I71*I64</f>
        <v>122.62302322571252</v>
      </c>
    </row>
    <row r="72" spans="1:19" s="4" customFormat="1" ht="15" customHeight="1" thickBot="1" x14ac:dyDescent="0.25">
      <c r="A72" s="74" t="s">
        <v>16</v>
      </c>
      <c r="B72" s="82">
        <f xml:space="preserve"> 'DATA 1'!B72*B66</f>
        <v>322.56369845022323</v>
      </c>
      <c r="C72" s="82">
        <f xml:space="preserve"> 'DATA 1'!C72*C66</f>
        <v>321.51300236406621</v>
      </c>
      <c r="D72" s="82">
        <f xml:space="preserve"> 'DATA 1'!D72*D66</f>
        <v>400</v>
      </c>
      <c r="E72" s="82">
        <f xml:space="preserve"> 'DATA 1'!E72*E66</f>
        <v>497.87234042553189</v>
      </c>
      <c r="F72" s="82">
        <f xml:space="preserve"> 'DATA 1'!F72*F66</f>
        <v>592.85106382978722</v>
      </c>
      <c r="G72" s="82">
        <f xml:space="preserve"> 'DATA 1'!G72*G66</f>
        <v>893.72546042553211</v>
      </c>
      <c r="H72" s="82">
        <f xml:space="preserve"> 'DATA 1'!H72*H66</f>
        <v>1242.2148425363516</v>
      </c>
      <c r="I72" s="83">
        <f xml:space="preserve"> 'DATA 1'!I72*I66</f>
        <v>1918.4336718681834</v>
      </c>
    </row>
    <row r="73" spans="1:19" s="7" customFormat="1" ht="15" customHeight="1" x14ac:dyDescent="0.2">
      <c r="K73" s="13"/>
      <c r="L73" s="13"/>
      <c r="M73" s="13"/>
      <c r="N73" s="12"/>
      <c r="P73" s="12"/>
      <c r="S73" s="15"/>
    </row>
    <row r="74" spans="1:19" s="2" customFormat="1" ht="15" customHeight="1" x14ac:dyDescent="0.2">
      <c r="A74" s="17"/>
      <c r="J74" s="6"/>
      <c r="K74" s="6"/>
      <c r="L74" s="6"/>
      <c r="M74" s="6"/>
    </row>
    <row r="75" spans="1:19" s="2" customFormat="1" ht="15" customHeight="1" thickBot="1" x14ac:dyDescent="0.25">
      <c r="A75" s="17"/>
      <c r="J75" s="6"/>
      <c r="K75" s="6"/>
      <c r="L75" s="6"/>
      <c r="M75" s="6"/>
    </row>
    <row r="76" spans="1:19" s="2" customFormat="1" ht="30" customHeight="1" x14ac:dyDescent="0.2">
      <c r="A76" s="142" t="s">
        <v>19</v>
      </c>
      <c r="B76" s="143"/>
      <c r="C76" s="143"/>
      <c r="D76" s="143"/>
      <c r="E76" s="143"/>
      <c r="F76" s="143"/>
      <c r="G76" s="143"/>
      <c r="H76" s="143"/>
      <c r="I76" s="144"/>
      <c r="J76" s="6"/>
      <c r="K76" s="6"/>
      <c r="L76" s="6"/>
      <c r="M76" s="6"/>
    </row>
    <row r="77" spans="1:19" s="2" customFormat="1" ht="30" customHeight="1" x14ac:dyDescent="0.2">
      <c r="A77" s="84" t="s">
        <v>62</v>
      </c>
      <c r="B77" s="68">
        <v>2013</v>
      </c>
      <c r="C77" s="68">
        <v>2014</v>
      </c>
      <c r="D77" s="68">
        <v>2015</v>
      </c>
      <c r="E77" s="68">
        <v>2016</v>
      </c>
      <c r="F77" s="68">
        <v>2017</v>
      </c>
      <c r="G77" s="68">
        <v>2020</v>
      </c>
      <c r="H77" s="68">
        <v>2023</v>
      </c>
      <c r="I77" s="85">
        <v>2025</v>
      </c>
      <c r="J77" s="6"/>
      <c r="K77" s="6"/>
      <c r="L77" s="6"/>
      <c r="M77" s="6"/>
    </row>
    <row r="78" spans="1:19" s="2" customFormat="1" ht="15" customHeight="1" x14ac:dyDescent="0.2">
      <c r="A78" s="86" t="s">
        <v>36</v>
      </c>
      <c r="B78" s="66">
        <f t="shared" ref="B78:I78" si="4">B57</f>
        <v>380.20497471074384</v>
      </c>
      <c r="C78" s="66">
        <f t="shared" si="4"/>
        <v>425.74254545454545</v>
      </c>
      <c r="D78" s="66">
        <f t="shared" si="4"/>
        <v>457.26961538461535</v>
      </c>
      <c r="E78" s="66">
        <f t="shared" si="4"/>
        <v>531.43380000000002</v>
      </c>
      <c r="F78" s="66">
        <f t="shared" si="4"/>
        <v>575.49202060000016</v>
      </c>
      <c r="G78" s="66">
        <f t="shared" si="4"/>
        <v>743.575055625</v>
      </c>
      <c r="H78" s="66">
        <f t="shared" si="4"/>
        <v>846.40701650000005</v>
      </c>
      <c r="I78" s="77">
        <f t="shared" si="4"/>
        <v>908.32832374999998</v>
      </c>
      <c r="J78" s="6"/>
      <c r="K78" s="6"/>
      <c r="L78" s="6"/>
      <c r="M78" s="6"/>
    </row>
    <row r="79" spans="1:19" s="2" customFormat="1" ht="15" customHeight="1" x14ac:dyDescent="0.2">
      <c r="A79" s="86" t="s">
        <v>15</v>
      </c>
      <c r="B79" s="66">
        <f t="shared" ref="B79:I79" si="5">B69+B70+B71</f>
        <v>434.52245263157897</v>
      </c>
      <c r="C79" s="66">
        <f t="shared" si="5"/>
        <v>433.36122352941152</v>
      </c>
      <c r="D79" s="66">
        <f t="shared" si="5"/>
        <v>462.98121695078959</v>
      </c>
      <c r="E79" s="66">
        <f t="shared" si="5"/>
        <v>470.64398330709611</v>
      </c>
      <c r="F79" s="66">
        <f t="shared" si="5"/>
        <v>478.06375189815515</v>
      </c>
      <c r="G79" s="66">
        <f t="shared" si="5"/>
        <v>545.55368552885238</v>
      </c>
      <c r="H79" s="66">
        <f t="shared" si="5"/>
        <v>675.79150212500485</v>
      </c>
      <c r="I79" s="77">
        <f t="shared" si="5"/>
        <v>1007.4814404342645</v>
      </c>
      <c r="J79" s="6"/>
      <c r="K79" s="6"/>
      <c r="L79" s="6"/>
      <c r="M79" s="6"/>
    </row>
    <row r="80" spans="1:19" s="2" customFormat="1" ht="15" customHeight="1" x14ac:dyDescent="0.2">
      <c r="A80" s="86" t="s">
        <v>16</v>
      </c>
      <c r="B80" s="66">
        <f t="shared" ref="B80:I80" si="6">B72</f>
        <v>322.56369845022323</v>
      </c>
      <c r="C80" s="66">
        <f t="shared" si="6"/>
        <v>321.51300236406621</v>
      </c>
      <c r="D80" s="66">
        <f t="shared" si="6"/>
        <v>400</v>
      </c>
      <c r="E80" s="66">
        <f t="shared" si="6"/>
        <v>497.87234042553189</v>
      </c>
      <c r="F80" s="66">
        <f t="shared" si="6"/>
        <v>592.85106382978722</v>
      </c>
      <c r="G80" s="66">
        <f t="shared" si="6"/>
        <v>893.72546042553211</v>
      </c>
      <c r="H80" s="66">
        <f t="shared" si="6"/>
        <v>1242.2148425363516</v>
      </c>
      <c r="I80" s="77">
        <f t="shared" si="6"/>
        <v>1918.4336718681834</v>
      </c>
      <c r="J80" s="6"/>
      <c r="K80" s="6"/>
      <c r="L80" s="6"/>
      <c r="M80" s="6"/>
    </row>
    <row r="81" spans="1:13" s="4" customFormat="1" ht="15" customHeight="1" x14ac:dyDescent="0.2">
      <c r="A81" s="84" t="s">
        <v>68</v>
      </c>
      <c r="B81" s="66">
        <f t="shared" ref="B81:I81" si="7">SUM(B78:B80)</f>
        <v>1137.2911257925462</v>
      </c>
      <c r="C81" s="66">
        <f t="shared" si="7"/>
        <v>1180.6167713480231</v>
      </c>
      <c r="D81" s="66">
        <f t="shared" si="7"/>
        <v>1320.250832335405</v>
      </c>
      <c r="E81" s="66">
        <f t="shared" si="7"/>
        <v>1499.9501237326281</v>
      </c>
      <c r="F81" s="66">
        <f t="shared" si="7"/>
        <v>1646.4068363279425</v>
      </c>
      <c r="G81" s="66">
        <f t="shared" si="7"/>
        <v>2182.8542015793846</v>
      </c>
      <c r="H81" s="66">
        <f t="shared" si="7"/>
        <v>2764.4133611613565</v>
      </c>
      <c r="I81" s="77">
        <f t="shared" si="7"/>
        <v>3834.243436052448</v>
      </c>
      <c r="J81" s="34"/>
      <c r="K81" s="34"/>
      <c r="L81" s="34"/>
      <c r="M81" s="34"/>
    </row>
    <row r="82" spans="1:13" s="2" customFormat="1" ht="15" customHeight="1" x14ac:dyDescent="0.2">
      <c r="A82" s="84" t="s">
        <v>72</v>
      </c>
      <c r="B82" s="69">
        <f>B81/'DATA 2'!B12</f>
        <v>1.0652443869271173E-2</v>
      </c>
      <c r="C82" s="69">
        <f>C81/'DATA 2'!C12</f>
        <v>1.0927316434595054E-2</v>
      </c>
      <c r="D82" s="69">
        <f>D81/'DATA 2'!D12</f>
        <v>1.2098597226478219E-2</v>
      </c>
      <c r="E82" s="69">
        <f>E81/'DATA 2'!E12</f>
        <v>1.3609244398369443E-2</v>
      </c>
      <c r="F82" s="69">
        <f>F81/'DATA 2'!F12</f>
        <v>1.4790163742360469E-2</v>
      </c>
      <c r="G82" s="69">
        <f>G81/'DATA 2'!G12</f>
        <v>1.9032525882651877E-2</v>
      </c>
      <c r="H82" s="69">
        <f>H81/'DATA 2'!H12</f>
        <v>2.3394327321977982E-2</v>
      </c>
      <c r="I82" s="87">
        <f>I81/'DATA 2'!I12</f>
        <v>3.1808597002330831E-2</v>
      </c>
      <c r="J82" s="6"/>
      <c r="K82" s="6"/>
      <c r="L82" s="6"/>
      <c r="M82" s="6"/>
    </row>
    <row r="83" spans="1:13" s="2" customFormat="1" ht="15" customHeight="1" x14ac:dyDescent="0.2">
      <c r="A83" s="84" t="s">
        <v>70</v>
      </c>
      <c r="B83" s="66">
        <f t="shared" ref="B83:I83" si="8">B37</f>
        <v>889.00851402742694</v>
      </c>
      <c r="C83" s="66">
        <f t="shared" si="8"/>
        <v>961.65191892506755</v>
      </c>
      <c r="D83" s="66">
        <f t="shared" si="8"/>
        <v>1052.735857519815</v>
      </c>
      <c r="E83" s="66">
        <f t="shared" si="8"/>
        <v>1166.0106007338072</v>
      </c>
      <c r="F83" s="66">
        <f t="shared" si="8"/>
        <v>1343.518758730429</v>
      </c>
      <c r="G83" s="66">
        <f t="shared" si="8"/>
        <v>1713.3258894516862</v>
      </c>
      <c r="H83" s="66">
        <f t="shared" si="8"/>
        <v>2096.9554583950235</v>
      </c>
      <c r="I83" s="77">
        <f t="shared" si="8"/>
        <v>2491.7754739764778</v>
      </c>
      <c r="J83" s="6"/>
      <c r="K83" s="6"/>
      <c r="L83" s="6"/>
      <c r="M83" s="6"/>
    </row>
    <row r="84" spans="1:13" s="2" customFormat="1" ht="15" customHeight="1" x14ac:dyDescent="0.2">
      <c r="A84" s="84" t="s">
        <v>69</v>
      </c>
      <c r="B84" s="69">
        <f>B83/'DATA 2'!B12</f>
        <v>8.3269033585238652E-3</v>
      </c>
      <c r="C84" s="69">
        <f>C83/'DATA 2'!C12</f>
        <v>8.9006653751254588E-3</v>
      </c>
      <c r="D84" s="69">
        <f>D83/'DATA 2'!D12</f>
        <v>9.647126753537778E-3</v>
      </c>
      <c r="E84" s="69">
        <f>E83/'DATA 2'!E12</f>
        <v>1.0579367263884155E-2</v>
      </c>
      <c r="F84" s="69">
        <f>F83/'DATA 2'!F12</f>
        <v>1.2069229788230737E-2</v>
      </c>
      <c r="G84" s="69">
        <f>G83/'DATA 2'!G12</f>
        <v>1.4938661186263779E-2</v>
      </c>
      <c r="H84" s="69">
        <f>H83/'DATA 2'!H12</f>
        <v>1.7745849105827032E-2</v>
      </c>
      <c r="I84" s="87">
        <f>I83/'DATA 2'!I12</f>
        <v>2.067158311513257E-2</v>
      </c>
      <c r="J84" s="6"/>
      <c r="K84" s="6"/>
      <c r="L84" s="6"/>
      <c r="M84" s="6"/>
    </row>
    <row r="85" spans="1:13" s="4" customFormat="1" ht="15" customHeight="1" x14ac:dyDescent="0.2">
      <c r="A85" s="81" t="s">
        <v>71</v>
      </c>
      <c r="B85" s="68">
        <f t="shared" ref="B85:I85" si="9">B81+B83</f>
        <v>2026.299639819973</v>
      </c>
      <c r="C85" s="68">
        <f t="shared" si="9"/>
        <v>2142.2686902730907</v>
      </c>
      <c r="D85" s="68">
        <f t="shared" si="9"/>
        <v>2372.98668985522</v>
      </c>
      <c r="E85" s="68">
        <f t="shared" si="9"/>
        <v>2665.9607244664353</v>
      </c>
      <c r="F85" s="68">
        <f t="shared" si="9"/>
        <v>2989.9255950583715</v>
      </c>
      <c r="G85" s="68">
        <f t="shared" si="9"/>
        <v>3896.1800910310708</v>
      </c>
      <c r="H85" s="68">
        <f t="shared" si="9"/>
        <v>4861.36881955638</v>
      </c>
      <c r="I85" s="85">
        <f t="shared" si="9"/>
        <v>6326.0189100289263</v>
      </c>
      <c r="J85" s="35"/>
      <c r="K85" s="35"/>
      <c r="L85" s="34"/>
      <c r="M85" s="34"/>
    </row>
    <row r="86" spans="1:13" s="2" customFormat="1" ht="15" customHeight="1" x14ac:dyDescent="0.2">
      <c r="A86" s="81" t="s">
        <v>40</v>
      </c>
      <c r="B86" s="70">
        <f>B85/'DATA 2'!B12</f>
        <v>1.8979347227795037E-2</v>
      </c>
      <c r="C86" s="70">
        <f>C85/'DATA 2'!C12</f>
        <v>1.9827981809720514E-2</v>
      </c>
      <c r="D86" s="70">
        <f>D85/'DATA 2'!D12</f>
        <v>2.1745723980015997E-2</v>
      </c>
      <c r="E86" s="70">
        <f>E85/'DATA 2'!E12</f>
        <v>2.4188611662253598E-2</v>
      </c>
      <c r="F86" s="70">
        <f>F85/'DATA 2'!F12</f>
        <v>2.6859393530591205E-2</v>
      </c>
      <c r="G86" s="70">
        <f>G85/'DATA 2'!G12</f>
        <v>3.3971187068915658E-2</v>
      </c>
      <c r="H86" s="70">
        <f>H85/'DATA 2'!H12</f>
        <v>4.1140176427805014E-2</v>
      </c>
      <c r="I86" s="88">
        <f>I85/'DATA 2'!I12</f>
        <v>5.2480180117463401E-2</v>
      </c>
      <c r="J86" s="6"/>
      <c r="K86" s="6"/>
      <c r="L86" s="6"/>
      <c r="M86" s="6"/>
    </row>
    <row r="87" spans="1:13" s="2" customFormat="1" ht="15" customHeight="1" x14ac:dyDescent="0.2">
      <c r="A87" s="84" t="s">
        <v>63</v>
      </c>
      <c r="B87" s="66">
        <f xml:space="preserve"> B81*0.62</f>
        <v>705.12049799137856</v>
      </c>
      <c r="C87" s="66">
        <f>C81*0.61</f>
        <v>720.17623052229408</v>
      </c>
      <c r="D87" s="66">
        <f>D81*0.61</f>
        <v>805.35300772459698</v>
      </c>
      <c r="E87" s="66">
        <f>E81*0.61</f>
        <v>914.96957547690306</v>
      </c>
      <c r="F87" s="66">
        <f>F81*0.6</f>
        <v>987.84410179676547</v>
      </c>
      <c r="G87" s="66">
        <f>G81*0.59</f>
        <v>1287.883978931837</v>
      </c>
      <c r="H87" s="66">
        <f>H81*0.59</f>
        <v>1631.0038830852002</v>
      </c>
      <c r="I87" s="77">
        <f>I81*0.58</f>
        <v>2223.8611929104195</v>
      </c>
      <c r="J87" s="6"/>
      <c r="K87" s="6"/>
      <c r="L87" s="6"/>
      <c r="M87" s="6"/>
    </row>
    <row r="88" spans="1:13" s="2" customFormat="1" ht="15" customHeight="1" x14ac:dyDescent="0.2">
      <c r="A88" s="84" t="s">
        <v>37</v>
      </c>
      <c r="B88" s="66">
        <f xml:space="preserve"> B83*0.62</f>
        <v>551.18527869700472</v>
      </c>
      <c r="C88" s="66">
        <f xml:space="preserve"> C83*0.61</f>
        <v>586.60767054429118</v>
      </c>
      <c r="D88" s="66">
        <f xml:space="preserve"> D83*0.61</f>
        <v>642.16887308708715</v>
      </c>
      <c r="E88" s="66">
        <f xml:space="preserve"> E83*0.61</f>
        <v>711.26646644762241</v>
      </c>
      <c r="F88" s="66">
        <f xml:space="preserve"> F83*0.6</f>
        <v>806.1112552382574</v>
      </c>
      <c r="G88" s="66">
        <f xml:space="preserve"> G83*0.59</f>
        <v>1010.8622747764948</v>
      </c>
      <c r="H88" s="66">
        <f xml:space="preserve"> H83*0.59</f>
        <v>1237.2037204530639</v>
      </c>
      <c r="I88" s="77">
        <f xml:space="preserve"> I83*0.58</f>
        <v>1445.2297749063571</v>
      </c>
      <c r="J88" s="6"/>
      <c r="K88" s="6"/>
      <c r="L88" s="6"/>
      <c r="M88" s="6"/>
    </row>
    <row r="89" spans="1:13" s="4" customFormat="1" ht="15" customHeight="1" x14ac:dyDescent="0.2">
      <c r="A89" s="81" t="s">
        <v>38</v>
      </c>
      <c r="B89" s="68">
        <f t="shared" ref="B89:I89" si="10">SUM(B87:B88)</f>
        <v>1256.3057766883833</v>
      </c>
      <c r="C89" s="68">
        <f t="shared" si="10"/>
        <v>1306.7839010665853</v>
      </c>
      <c r="D89" s="68">
        <f t="shared" si="10"/>
        <v>1447.5218808116842</v>
      </c>
      <c r="E89" s="68">
        <f t="shared" si="10"/>
        <v>1626.2360419245256</v>
      </c>
      <c r="F89" s="68">
        <f t="shared" si="10"/>
        <v>1793.9553570350229</v>
      </c>
      <c r="G89" s="68">
        <f t="shared" si="10"/>
        <v>2298.746253708332</v>
      </c>
      <c r="H89" s="68">
        <f t="shared" si="10"/>
        <v>2868.2076035382643</v>
      </c>
      <c r="I89" s="85">
        <f t="shared" si="10"/>
        <v>3669.0909678167764</v>
      </c>
      <c r="J89" s="35"/>
      <c r="K89" s="34"/>
      <c r="L89" s="34"/>
      <c r="M89" s="34"/>
    </row>
    <row r="90" spans="1:13" s="2" customFormat="1" ht="15" customHeight="1" thickBot="1" x14ac:dyDescent="0.25">
      <c r="A90" s="78" t="s">
        <v>39</v>
      </c>
      <c r="B90" s="89">
        <f>B89/'DATA 2'!B13</f>
        <v>2.579683319688672E-2</v>
      </c>
      <c r="C90" s="89">
        <f>C89/'DATA 2'!C13</f>
        <v>2.634644961827793E-2</v>
      </c>
      <c r="D90" s="89">
        <f>D89/'DATA 2'!D13</f>
        <v>2.8663799620033351E-2</v>
      </c>
      <c r="E90" s="89">
        <f>E89/'DATA 2'!E13</f>
        <v>3.1762422693838388E-2</v>
      </c>
      <c r="F90" s="89">
        <f>F89/'DATA 2'!F13</f>
        <v>3.4499141481442751E-2</v>
      </c>
      <c r="G90" s="89">
        <f>G89/'DATA 2'!G13</f>
        <v>4.2569375068672817E-2</v>
      </c>
      <c r="H90" s="89">
        <f>H89/'DATA 2'!H13</f>
        <v>5.6239364775260085E-2</v>
      </c>
      <c r="I90" s="90">
        <f>I89/'DATA 2'!I13</f>
        <v>7.6439395162849505E-2</v>
      </c>
      <c r="J90" s="6"/>
      <c r="K90" s="6"/>
      <c r="L90" s="6"/>
      <c r="M90" s="6"/>
    </row>
    <row r="91" spans="1:13" x14ac:dyDescent="0.2">
      <c r="A91" s="14"/>
    </row>
  </sheetData>
  <mergeCells count="4">
    <mergeCell ref="J26:K26"/>
    <mergeCell ref="L26:M26"/>
    <mergeCell ref="A76:I76"/>
    <mergeCell ref="A2:B3"/>
  </mergeCells>
  <conditionalFormatting sqref="B6:I18">
    <cfRule type="expression" dxfId="67" priority="18">
      <formula>MOD(ROW(),2)</formula>
    </cfRule>
  </conditionalFormatting>
  <conditionalFormatting sqref="B22:I36">
    <cfRule type="expression" dxfId="66" priority="17">
      <formula>MOD(ROW(),2)</formula>
    </cfRule>
  </conditionalFormatting>
  <conditionalFormatting sqref="B41:I46">
    <cfRule type="expression" dxfId="65" priority="16">
      <formula>MOD(ROW(),2)</formula>
    </cfRule>
  </conditionalFormatting>
  <conditionalFormatting sqref="B51:I56">
    <cfRule type="expression" dxfId="64" priority="15">
      <formula>MOD(ROW(),2)</formula>
    </cfRule>
  </conditionalFormatting>
  <conditionalFormatting sqref="B61:I66">
    <cfRule type="expression" dxfId="63" priority="14">
      <formula>MOD(ROW(),2)</formula>
    </cfRule>
  </conditionalFormatting>
  <conditionalFormatting sqref="B69:I72">
    <cfRule type="expression" dxfId="62" priority="13">
      <formula>MOD(ROW(),2)</formula>
    </cfRule>
  </conditionalFormatting>
  <conditionalFormatting sqref="B78:I81">
    <cfRule type="expression" dxfId="61" priority="12">
      <formula>MOD(ROW(),2)</formula>
    </cfRule>
  </conditionalFormatting>
  <conditionalFormatting sqref="B82:I82">
    <cfRule type="expression" dxfId="60" priority="11">
      <formula>MOD(ROW(),2)</formula>
    </cfRule>
  </conditionalFormatting>
  <conditionalFormatting sqref="B84:I84">
    <cfRule type="expression" dxfId="59" priority="9">
      <formula>MOD(ROW(),2)</formula>
    </cfRule>
  </conditionalFormatting>
  <conditionalFormatting sqref="B83:I83">
    <cfRule type="expression" dxfId="58" priority="5">
      <formula>MOD(ROW(),2)</formula>
    </cfRule>
  </conditionalFormatting>
  <conditionalFormatting sqref="B87:I88">
    <cfRule type="expression" dxfId="57" priority="3">
      <formula>MOD(ROW(),2)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R92"/>
  <sheetViews>
    <sheetView zoomScaleNormal="100" workbookViewId="0">
      <selection activeCell="F85" sqref="F85"/>
    </sheetView>
  </sheetViews>
  <sheetFormatPr baseColWidth="10" defaultColWidth="11" defaultRowHeight="12.75" x14ac:dyDescent="0.2"/>
  <cols>
    <col min="1" max="1" width="45.75" style="8" customWidth="1"/>
    <col min="2" max="9" width="7.75" style="8" customWidth="1"/>
    <col min="10" max="10" width="11.625" style="8" customWidth="1"/>
    <col min="11" max="11" width="11.25" style="8" customWidth="1"/>
    <col min="12" max="12" width="16.5" style="8" customWidth="1"/>
    <col min="13" max="13" width="13.125" style="8" customWidth="1"/>
    <col min="14" max="14" width="17.5" style="8" customWidth="1"/>
    <col min="15" max="15" width="11.375" style="8" customWidth="1"/>
    <col min="16" max="16" width="29.625" style="8" customWidth="1"/>
    <col min="17" max="16384" width="11" style="8"/>
  </cols>
  <sheetData>
    <row r="1" spans="1:12" ht="13.5" thickBot="1" x14ac:dyDescent="0.25"/>
    <row r="2" spans="1:12" x14ac:dyDescent="0.2">
      <c r="A2" s="108" t="s">
        <v>47</v>
      </c>
      <c r="B2" s="109"/>
    </row>
    <row r="3" spans="1:12" ht="13.5" thickBot="1" x14ac:dyDescent="0.25">
      <c r="A3" s="110"/>
      <c r="B3" s="111"/>
    </row>
    <row r="4" spans="1:12" ht="13.5" thickBot="1" x14ac:dyDescent="0.25"/>
    <row r="5" spans="1:12" ht="30" customHeight="1" x14ac:dyDescent="0.2">
      <c r="A5" s="71" t="s">
        <v>34</v>
      </c>
      <c r="B5" s="64">
        <v>2013</v>
      </c>
      <c r="C5" s="64">
        <v>2014</v>
      </c>
      <c r="D5" s="64">
        <v>2015</v>
      </c>
      <c r="E5" s="64">
        <v>2016</v>
      </c>
      <c r="F5" s="64">
        <v>2017</v>
      </c>
      <c r="G5" s="64">
        <v>2020</v>
      </c>
      <c r="H5" s="64">
        <v>2023</v>
      </c>
      <c r="I5" s="72">
        <v>2025</v>
      </c>
    </row>
    <row r="6" spans="1:12" ht="15" customHeight="1" x14ac:dyDescent="0.2">
      <c r="A6" s="65" t="s">
        <v>0</v>
      </c>
      <c r="B6" s="67">
        <v>134</v>
      </c>
      <c r="C6" s="67">
        <v>134</v>
      </c>
      <c r="D6" s="67">
        <v>113</v>
      </c>
      <c r="E6" s="67">
        <v>103</v>
      </c>
      <c r="F6" s="67">
        <v>103</v>
      </c>
      <c r="G6" s="67">
        <v>90</v>
      </c>
      <c r="H6" s="67">
        <v>80</v>
      </c>
      <c r="I6" s="73">
        <v>70</v>
      </c>
      <c r="J6" s="4"/>
      <c r="K6" s="4"/>
    </row>
    <row r="7" spans="1:12" ht="15" customHeight="1" x14ac:dyDescent="0.2">
      <c r="A7" s="65" t="s">
        <v>1</v>
      </c>
      <c r="B7" s="67">
        <v>135</v>
      </c>
      <c r="C7" s="67">
        <v>128</v>
      </c>
      <c r="D7" s="67">
        <v>120</v>
      </c>
      <c r="E7" s="67">
        <v>114</v>
      </c>
      <c r="F7" s="67">
        <v>109</v>
      </c>
      <c r="G7" s="67">
        <v>100</v>
      </c>
      <c r="H7" s="67">
        <v>90</v>
      </c>
      <c r="I7" s="73">
        <v>80</v>
      </c>
    </row>
    <row r="8" spans="1:12" ht="15" customHeight="1" x14ac:dyDescent="0.2">
      <c r="A8" s="65" t="s">
        <v>25</v>
      </c>
      <c r="B8" s="67">
        <v>181</v>
      </c>
      <c r="C8" s="67">
        <v>174</v>
      </c>
      <c r="D8" s="67">
        <v>163</v>
      </c>
      <c r="E8" s="67">
        <v>155</v>
      </c>
      <c r="F8" s="67">
        <v>163</v>
      </c>
      <c r="G8" s="67">
        <v>160</v>
      </c>
      <c r="H8" s="67">
        <v>155</v>
      </c>
      <c r="I8" s="73">
        <v>150</v>
      </c>
      <c r="J8" s="9"/>
      <c r="K8" s="9"/>
    </row>
    <row r="9" spans="1:12" ht="15" customHeight="1" x14ac:dyDescent="0.2">
      <c r="A9" s="65" t="s">
        <v>8</v>
      </c>
      <c r="B9" s="67">
        <v>969</v>
      </c>
      <c r="C9" s="67">
        <v>1244</v>
      </c>
      <c r="D9" s="67">
        <v>1423</v>
      </c>
      <c r="E9" s="67">
        <v>1495</v>
      </c>
      <c r="F9" s="66">
        <v>1569.75</v>
      </c>
      <c r="G9" s="67">
        <v>1800</v>
      </c>
      <c r="H9" s="67">
        <v>2100</v>
      </c>
      <c r="I9" s="73">
        <v>2300</v>
      </c>
      <c r="J9" s="9"/>
      <c r="K9" s="9"/>
    </row>
    <row r="10" spans="1:12" ht="15" customHeight="1" x14ac:dyDescent="0.2">
      <c r="A10" s="65" t="s">
        <v>3</v>
      </c>
      <c r="B10" s="67">
        <v>220</v>
      </c>
      <c r="C10" s="67">
        <v>230</v>
      </c>
      <c r="D10" s="67">
        <v>208</v>
      </c>
      <c r="E10" s="67">
        <v>182</v>
      </c>
      <c r="F10" s="67">
        <v>180</v>
      </c>
      <c r="G10" s="67">
        <v>190</v>
      </c>
      <c r="H10" s="67">
        <v>200</v>
      </c>
      <c r="I10" s="73">
        <v>210</v>
      </c>
      <c r="J10" s="9"/>
      <c r="K10" s="9"/>
    </row>
    <row r="11" spans="1:12" ht="15" customHeight="1" x14ac:dyDescent="0.2">
      <c r="A11" s="65" t="s">
        <v>11</v>
      </c>
      <c r="B11" s="67">
        <v>850</v>
      </c>
      <c r="C11" s="67">
        <v>634</v>
      </c>
      <c r="D11" s="67">
        <v>494</v>
      </c>
      <c r="E11" s="67">
        <v>400</v>
      </c>
      <c r="F11" s="67">
        <v>325</v>
      </c>
      <c r="G11" s="67">
        <v>200</v>
      </c>
      <c r="H11" s="67">
        <v>180</v>
      </c>
      <c r="I11" s="73">
        <v>170</v>
      </c>
      <c r="J11" s="9"/>
      <c r="K11" s="9"/>
      <c r="L11" s="4"/>
    </row>
    <row r="12" spans="1:12" ht="15" customHeight="1" x14ac:dyDescent="0.2">
      <c r="A12" s="65" t="s">
        <v>10</v>
      </c>
      <c r="B12" s="67">
        <v>0</v>
      </c>
      <c r="C12" s="67">
        <v>0</v>
      </c>
      <c r="D12" s="67">
        <v>0</v>
      </c>
      <c r="E12" s="67">
        <v>0</v>
      </c>
      <c r="F12" s="67">
        <v>0</v>
      </c>
      <c r="G12" s="67">
        <v>0</v>
      </c>
      <c r="H12" s="67">
        <v>0</v>
      </c>
      <c r="I12" s="73">
        <v>0</v>
      </c>
      <c r="J12" s="9"/>
      <c r="K12" s="9"/>
    </row>
    <row r="13" spans="1:12" ht="15" customHeight="1" x14ac:dyDescent="0.2">
      <c r="A13" s="65" t="s">
        <v>13</v>
      </c>
      <c r="B13" s="67">
        <v>0</v>
      </c>
      <c r="C13" s="67">
        <v>0</v>
      </c>
      <c r="D13" s="67">
        <v>1000</v>
      </c>
      <c r="E13" s="67">
        <v>2000</v>
      </c>
      <c r="F13" s="67">
        <v>3000</v>
      </c>
      <c r="G13" s="67">
        <v>6000</v>
      </c>
      <c r="H13" s="67">
        <v>9000</v>
      </c>
      <c r="I13" s="73">
        <v>12000</v>
      </c>
      <c r="J13" s="9"/>
      <c r="K13" s="9"/>
    </row>
    <row r="14" spans="1:12" ht="15" customHeight="1" x14ac:dyDescent="0.2">
      <c r="A14" s="65" t="s">
        <v>9</v>
      </c>
      <c r="B14" s="67">
        <v>150</v>
      </c>
      <c r="C14" s="67">
        <v>160</v>
      </c>
      <c r="D14" s="67">
        <v>172</v>
      </c>
      <c r="E14" s="67">
        <v>185</v>
      </c>
      <c r="F14" s="67">
        <v>200</v>
      </c>
      <c r="G14" s="67">
        <v>250</v>
      </c>
      <c r="H14" s="67">
        <v>270</v>
      </c>
      <c r="I14" s="73">
        <v>280</v>
      </c>
      <c r="J14" s="18"/>
      <c r="K14" s="9"/>
    </row>
    <row r="15" spans="1:12" ht="15" customHeight="1" x14ac:dyDescent="0.2">
      <c r="A15" s="65" t="s">
        <v>5</v>
      </c>
      <c r="B15" s="67">
        <v>150</v>
      </c>
      <c r="C15" s="67">
        <v>160</v>
      </c>
      <c r="D15" s="67">
        <v>172</v>
      </c>
      <c r="E15" s="67">
        <v>185</v>
      </c>
      <c r="F15" s="67">
        <v>200</v>
      </c>
      <c r="G15" s="67">
        <v>250</v>
      </c>
      <c r="H15" s="67">
        <v>270</v>
      </c>
      <c r="I15" s="73">
        <v>280</v>
      </c>
      <c r="J15" s="18"/>
      <c r="K15" s="9"/>
    </row>
    <row r="16" spans="1:12" ht="15" customHeight="1" x14ac:dyDescent="0.2">
      <c r="A16" s="65" t="s">
        <v>6</v>
      </c>
      <c r="B16" s="67">
        <v>33</v>
      </c>
      <c r="C16" s="67">
        <v>33</v>
      </c>
      <c r="D16" s="67">
        <v>35</v>
      </c>
      <c r="E16" s="66">
        <v>36.75</v>
      </c>
      <c r="F16" s="66">
        <v>38.587499999999999</v>
      </c>
      <c r="G16" s="67">
        <v>45</v>
      </c>
      <c r="H16" s="67">
        <v>50</v>
      </c>
      <c r="I16" s="73">
        <v>55</v>
      </c>
      <c r="J16" s="9"/>
      <c r="K16" s="9"/>
    </row>
    <row r="17" spans="1:18" ht="15" customHeight="1" x14ac:dyDescent="0.2">
      <c r="A17" s="65" t="s">
        <v>7</v>
      </c>
      <c r="B17" s="67">
        <v>70</v>
      </c>
      <c r="C17" s="67">
        <v>70</v>
      </c>
      <c r="D17" s="67">
        <v>70</v>
      </c>
      <c r="E17" s="67">
        <v>70</v>
      </c>
      <c r="F17" s="67">
        <v>70</v>
      </c>
      <c r="G17" s="67">
        <v>70</v>
      </c>
      <c r="H17" s="67">
        <v>70</v>
      </c>
      <c r="I17" s="73">
        <v>70</v>
      </c>
      <c r="J17" s="9"/>
      <c r="K17" s="9"/>
    </row>
    <row r="18" spans="1:18" ht="15" customHeight="1" thickBot="1" x14ac:dyDescent="0.25">
      <c r="A18" s="74" t="s">
        <v>17</v>
      </c>
      <c r="B18" s="75">
        <v>57</v>
      </c>
      <c r="C18" s="75">
        <v>57</v>
      </c>
      <c r="D18" s="75">
        <v>57</v>
      </c>
      <c r="E18" s="75">
        <v>57</v>
      </c>
      <c r="F18" s="75">
        <v>57</v>
      </c>
      <c r="G18" s="75">
        <v>50</v>
      </c>
      <c r="H18" s="75">
        <v>50</v>
      </c>
      <c r="I18" s="76">
        <v>50</v>
      </c>
      <c r="J18" s="9"/>
      <c r="K18" s="9"/>
    </row>
    <row r="19" spans="1:18" ht="15" customHeight="1" x14ac:dyDescent="0.2">
      <c r="A19" s="31"/>
      <c r="B19" s="53"/>
      <c r="C19" s="53"/>
      <c r="D19" s="53"/>
      <c r="E19" s="53"/>
      <c r="F19" s="53"/>
      <c r="G19" s="54"/>
      <c r="H19" s="54"/>
      <c r="I19" s="62"/>
      <c r="J19" s="9"/>
      <c r="K19" s="9"/>
    </row>
    <row r="20" spans="1:18" ht="15" customHeight="1" thickBot="1" x14ac:dyDescent="0.25">
      <c r="A20" s="51"/>
      <c r="B20" s="39"/>
      <c r="C20" s="39"/>
      <c r="D20" s="39"/>
      <c r="E20" s="39"/>
      <c r="F20" s="39"/>
      <c r="G20" s="39"/>
      <c r="H20" s="39"/>
      <c r="I20" s="39"/>
      <c r="J20" s="9"/>
      <c r="K20" s="9"/>
    </row>
    <row r="21" spans="1:18" ht="30" customHeight="1" x14ac:dyDescent="0.2">
      <c r="A21" s="71" t="s">
        <v>35</v>
      </c>
      <c r="B21" s="64">
        <v>2013</v>
      </c>
      <c r="C21" s="64">
        <v>2014</v>
      </c>
      <c r="D21" s="64">
        <v>2015</v>
      </c>
      <c r="E21" s="64">
        <v>2016</v>
      </c>
      <c r="F21" s="64">
        <v>2017</v>
      </c>
      <c r="G21" s="64">
        <v>2020</v>
      </c>
      <c r="H21" s="64">
        <v>2023</v>
      </c>
      <c r="I21" s="72">
        <v>2025</v>
      </c>
      <c r="J21" s="9"/>
      <c r="K21" s="9"/>
    </row>
    <row r="22" spans="1:18" s="7" customFormat="1" ht="15" customHeight="1" x14ac:dyDescent="0.2">
      <c r="A22" s="65" t="s">
        <v>0</v>
      </c>
      <c r="B22" s="66">
        <f>B6*'DATA 2'!B35/1000</f>
        <v>100.5</v>
      </c>
      <c r="C22" s="66">
        <f>C6*'DATA 2'!C35/1000</f>
        <v>100.5</v>
      </c>
      <c r="D22" s="66">
        <f>D6*'DATA 2'!D35/1000</f>
        <v>84.75</v>
      </c>
      <c r="E22" s="66">
        <f>E6*'DATA 2'!E35/1000</f>
        <v>77.25</v>
      </c>
      <c r="F22" s="66">
        <f>F6*'DATA 2'!F35/1000</f>
        <v>77.25</v>
      </c>
      <c r="G22" s="66">
        <f>G6*'DATA 2'!G35/1000</f>
        <v>67.5</v>
      </c>
      <c r="H22" s="66">
        <f>H6*'DATA 2'!H35/1000</f>
        <v>60</v>
      </c>
      <c r="I22" s="77">
        <f>I6*'DATA 2'!I35/1000</f>
        <v>52.5</v>
      </c>
    </row>
    <row r="23" spans="1:18" ht="15" customHeight="1" x14ac:dyDescent="0.2">
      <c r="A23" s="65" t="s">
        <v>1</v>
      </c>
      <c r="B23" s="66">
        <f>B7*'DATA 2'!B36/1000</f>
        <v>94.5</v>
      </c>
      <c r="C23" s="66">
        <f>C7*'DATA 2'!C36/1000</f>
        <v>89.6</v>
      </c>
      <c r="D23" s="66">
        <f>D7*'DATA 2'!D36/1000</f>
        <v>84</v>
      </c>
      <c r="E23" s="66">
        <f>E7*'DATA 2'!E36/1000</f>
        <v>85.5</v>
      </c>
      <c r="F23" s="66">
        <f>F7*'DATA 2'!F36/1000</f>
        <v>87.2</v>
      </c>
      <c r="G23" s="66">
        <f>G7*'DATA 2'!G36/1000</f>
        <v>80</v>
      </c>
      <c r="H23" s="66">
        <f>H7*'DATA 2'!H36/1000</f>
        <v>72</v>
      </c>
      <c r="I23" s="77">
        <f>I7*'DATA 2'!I36/1000</f>
        <v>64</v>
      </c>
    </row>
    <row r="24" spans="1:18" ht="15" customHeight="1" x14ac:dyDescent="0.2">
      <c r="A24" s="65" t="s">
        <v>22</v>
      </c>
      <c r="B24" s="66">
        <f>B8*'DATA 2'!B37/1000</f>
        <v>253.4</v>
      </c>
      <c r="C24" s="66">
        <f>C8*'DATA 2'!C37/1000</f>
        <v>243.6</v>
      </c>
      <c r="D24" s="66">
        <f>D8*'DATA 2'!D37/1000</f>
        <v>228.2</v>
      </c>
      <c r="E24" s="66">
        <f>E8*'DATA 2'!E37/1000</f>
        <v>232.5</v>
      </c>
      <c r="F24" s="66">
        <f>F8*'DATA 2'!F37/1000</f>
        <v>260.8</v>
      </c>
      <c r="G24" s="66">
        <f>G8*'DATA 2'!G37/1000</f>
        <v>256</v>
      </c>
      <c r="H24" s="66">
        <f>H8*'DATA 2'!H37/1000</f>
        <v>248</v>
      </c>
      <c r="I24" s="77">
        <f>I8*'DATA 2'!I37/1000</f>
        <v>240</v>
      </c>
    </row>
    <row r="25" spans="1:18" ht="15" customHeight="1" x14ac:dyDescent="0.2">
      <c r="A25" s="65" t="s">
        <v>18</v>
      </c>
      <c r="B25" s="66">
        <f>B9*'DATA 2'!B38/1000</f>
        <v>94.523411371237472</v>
      </c>
      <c r="C25" s="66">
        <f>C9*'DATA 2'!C38/1000</f>
        <v>145.61872909698997</v>
      </c>
      <c r="D25" s="66">
        <f>D9*'DATA 2'!D38/1000</f>
        <v>199.88628762541805</v>
      </c>
      <c r="E25" s="66">
        <f>E9*'DATA 2'!E38/1000</f>
        <v>252</v>
      </c>
      <c r="F25" s="66">
        <f>F9*'DATA 2'!F38/1000</f>
        <v>317.52</v>
      </c>
      <c r="G25" s="66">
        <f>G9*'DATA 2'!G38/1000</f>
        <v>436.31999999999994</v>
      </c>
      <c r="H25" s="66">
        <f>H9*'DATA 2'!H38/1000</f>
        <v>525</v>
      </c>
      <c r="I25" s="77">
        <f>I9*'DATA 2'!I38/1000</f>
        <v>575</v>
      </c>
    </row>
    <row r="26" spans="1:18" ht="15" customHeight="1" x14ac:dyDescent="0.2">
      <c r="A26" s="65" t="s">
        <v>3</v>
      </c>
      <c r="B26" s="66">
        <f>B10*'DATA 2'!B39/1000</f>
        <v>64.381270903010034</v>
      </c>
      <c r="C26" s="66">
        <f>C10*'DATA 2'!C39/1000</f>
        <v>67.307692307692292</v>
      </c>
      <c r="D26" s="66">
        <f>D10*'DATA 2'!D39/1000</f>
        <v>73.043478260869549</v>
      </c>
      <c r="E26" s="66">
        <f>E10*'DATA 2'!E39/1000</f>
        <v>76.695652173913047</v>
      </c>
      <c r="F26" s="66">
        <f>F10*'DATA 2'!F39/1000</f>
        <v>91.023411371237458</v>
      </c>
      <c r="G26" s="66">
        <f>G10*'DATA 2'!G39/1000</f>
        <v>96.080267558528433</v>
      </c>
      <c r="H26" s="66">
        <f>H10*'DATA 2'!H39/1000</f>
        <v>101.13712374581939</v>
      </c>
      <c r="I26" s="77">
        <f>I10*'DATA 2'!I39/1000</f>
        <v>106.19397993311037</v>
      </c>
      <c r="J26" s="140"/>
      <c r="K26" s="141"/>
      <c r="L26" s="140"/>
      <c r="M26" s="141"/>
      <c r="N26" s="140"/>
      <c r="O26" s="141"/>
      <c r="R26" s="2"/>
    </row>
    <row r="27" spans="1:18" ht="15" customHeight="1" x14ac:dyDescent="0.2">
      <c r="A27" s="65" t="s">
        <v>11</v>
      </c>
      <c r="B27" s="66">
        <f>B11*'DATA 2'!B40/1000</f>
        <v>10.199999999999999</v>
      </c>
      <c r="C27" s="66">
        <f>C11*'DATA 2'!C40/1000</f>
        <v>7.6079999999999997</v>
      </c>
      <c r="D27" s="66">
        <f>D11*'DATA 2'!D40/1000</f>
        <v>5.9279999999999999</v>
      </c>
      <c r="E27" s="66">
        <f>E11*'DATA 2'!E40/1000</f>
        <v>4.8</v>
      </c>
      <c r="F27" s="66">
        <f>F11*'DATA 2'!F40/1000</f>
        <v>3.9</v>
      </c>
      <c r="G27" s="66">
        <f>G11*'DATA 2'!G40/1000</f>
        <v>2.4</v>
      </c>
      <c r="H27" s="66">
        <f>H11*'DATA 2'!H40/1000</f>
        <v>2.16</v>
      </c>
      <c r="I27" s="77">
        <f>I11*'DATA 2'!I40/1000</f>
        <v>2.04</v>
      </c>
      <c r="J27" s="22"/>
      <c r="K27" s="23"/>
      <c r="L27" s="23"/>
      <c r="M27" s="23"/>
      <c r="N27" s="22"/>
      <c r="O27" s="23"/>
      <c r="R27" s="2"/>
    </row>
    <row r="28" spans="1:18" ht="15" customHeight="1" x14ac:dyDescent="0.2">
      <c r="A28" s="65" t="s">
        <v>10</v>
      </c>
      <c r="B28" s="66">
        <f>B12*'DATA 2'!B41/1000</f>
        <v>0</v>
      </c>
      <c r="C28" s="66">
        <f>C12*'DATA 2'!C41/1000</f>
        <v>0</v>
      </c>
      <c r="D28" s="66">
        <f>D12*'DATA 2'!D41/1000</f>
        <v>0</v>
      </c>
      <c r="E28" s="66">
        <f>E12*'DATA 2'!E41/1000</f>
        <v>0</v>
      </c>
      <c r="F28" s="66">
        <f>F12*'DATA 2'!F41/1000</f>
        <v>0</v>
      </c>
      <c r="G28" s="66">
        <f>G12*'DATA 2'!G41/1000</f>
        <v>0</v>
      </c>
      <c r="H28" s="66">
        <f>H12*'DATA 2'!H41/1000</f>
        <v>0</v>
      </c>
      <c r="I28" s="77">
        <f>I12*'DATA 2'!I41/1000</f>
        <v>0</v>
      </c>
      <c r="J28" s="22"/>
      <c r="K28" s="23"/>
      <c r="L28" s="23"/>
      <c r="M28" s="23"/>
      <c r="N28" s="22"/>
      <c r="O28" s="23"/>
      <c r="R28" s="2"/>
    </row>
    <row r="29" spans="1:18" ht="15" customHeight="1" x14ac:dyDescent="0.2">
      <c r="A29" s="65" t="s">
        <v>14</v>
      </c>
      <c r="B29" s="66">
        <f>B13*'DATA 2'!B42/1000</f>
        <v>0</v>
      </c>
      <c r="C29" s="66">
        <f>C13*'DATA 2'!C42/1000</f>
        <v>0</v>
      </c>
      <c r="D29" s="66">
        <f>D13*'DATA 2'!D42/1000</f>
        <v>5</v>
      </c>
      <c r="E29" s="66">
        <f>E13*'DATA 2'!E42/1000</f>
        <v>10</v>
      </c>
      <c r="F29" s="66">
        <f>F13*'DATA 2'!F42/1000</f>
        <v>15</v>
      </c>
      <c r="G29" s="66">
        <f>G13*'DATA 2'!G42/1000</f>
        <v>30</v>
      </c>
      <c r="H29" s="66">
        <f>H13*'DATA 2'!H42/1000</f>
        <v>54</v>
      </c>
      <c r="I29" s="77">
        <f>I13*'DATA 2'!I42/1000</f>
        <v>84</v>
      </c>
      <c r="J29" s="22"/>
      <c r="K29" s="23"/>
      <c r="L29" s="23"/>
      <c r="M29" s="23"/>
      <c r="N29" s="22"/>
      <c r="O29" s="23"/>
      <c r="R29" s="2"/>
    </row>
    <row r="30" spans="1:18" ht="15" customHeight="1" x14ac:dyDescent="0.2">
      <c r="A30" s="65" t="s">
        <v>4</v>
      </c>
      <c r="B30" s="66">
        <f>B14*'DATA 2'!B43/1000</f>
        <v>127.84090909090911</v>
      </c>
      <c r="C30" s="66">
        <f>C14*'DATA 2'!C43/1000</f>
        <v>163.63636363636365</v>
      </c>
      <c r="D30" s="66">
        <f>D14*'DATA 2'!D43/1000</f>
        <v>211.09090909090909</v>
      </c>
      <c r="E30" s="66">
        <f>E14*'DATA 2'!E43/1000</f>
        <v>249.75</v>
      </c>
      <c r="F30" s="66">
        <f>F14*'DATA 2'!F43/1000</f>
        <v>297.00000000000006</v>
      </c>
      <c r="G30" s="66">
        <f>G14*'DATA 2'!G43/1000</f>
        <v>494.13375000000013</v>
      </c>
      <c r="H30" s="66">
        <f>H14*'DATA 2'!H43/1000</f>
        <v>710.30738295000049</v>
      </c>
      <c r="I30" s="77">
        <f>I14*'DATA 2'!I43/1000</f>
        <v>891.3042271980006</v>
      </c>
      <c r="J30" s="22"/>
      <c r="K30" s="23"/>
      <c r="L30" s="23"/>
      <c r="M30" s="23"/>
      <c r="N30" s="22"/>
      <c r="O30" s="23"/>
      <c r="R30" s="2"/>
    </row>
    <row r="31" spans="1:18" ht="15" customHeight="1" x14ac:dyDescent="0.2">
      <c r="A31" s="65" t="s">
        <v>5</v>
      </c>
      <c r="B31" s="66">
        <f>B15*'DATA 2'!B44/1000</f>
        <v>6.75</v>
      </c>
      <c r="C31" s="66">
        <f>C15*'DATA 2'!C44/1000</f>
        <v>7.2</v>
      </c>
      <c r="D31" s="66">
        <f>D15*'DATA 2'!D44/1000</f>
        <v>7.74</v>
      </c>
      <c r="E31" s="66">
        <f>E15*'DATA 2'!E44/1000</f>
        <v>8.3249999999999993</v>
      </c>
      <c r="F31" s="66">
        <f>F15*'DATA 2'!F44/1000</f>
        <v>9</v>
      </c>
      <c r="G31" s="66">
        <f>G15*'DATA 2'!G44/1000</f>
        <v>11.25</v>
      </c>
      <c r="H31" s="66">
        <f>H15*'DATA 2'!H44/1000</f>
        <v>12.15</v>
      </c>
      <c r="I31" s="77">
        <f>I15*'DATA 2'!I44/1000</f>
        <v>12.6</v>
      </c>
      <c r="J31" s="22"/>
      <c r="K31" s="23"/>
      <c r="L31" s="23"/>
      <c r="M31" s="23"/>
      <c r="N31" s="22"/>
      <c r="O31" s="23"/>
      <c r="R31" s="2"/>
    </row>
    <row r="32" spans="1:18" ht="15" customHeight="1" x14ac:dyDescent="0.2">
      <c r="A32" s="65" t="s">
        <v>6</v>
      </c>
      <c r="B32" s="66">
        <f>B16*'DATA 2'!B45/1000</f>
        <v>4.95</v>
      </c>
      <c r="C32" s="66">
        <f>C16*'DATA 2'!C45/1000</f>
        <v>4.95</v>
      </c>
      <c r="D32" s="66">
        <f>D16*'DATA 2'!D45/1000</f>
        <v>5.25</v>
      </c>
      <c r="E32" s="66">
        <f>E16*'DATA 2'!E45/1000</f>
        <v>5.5125000000000002</v>
      </c>
      <c r="F32" s="66">
        <f>F16*'DATA 2'!F45/1000</f>
        <v>5.788125</v>
      </c>
      <c r="G32" s="66">
        <f>G16*'DATA 2'!G45/1000</f>
        <v>6.75</v>
      </c>
      <c r="H32" s="66">
        <f>H16*'DATA 2'!H45/1000</f>
        <v>7.5</v>
      </c>
      <c r="I32" s="77">
        <f>I16*'DATA 2'!I45/1000</f>
        <v>8.25</v>
      </c>
      <c r="J32" s="22"/>
      <c r="K32" s="23"/>
      <c r="L32" s="23"/>
      <c r="M32" s="23"/>
      <c r="N32" s="22"/>
      <c r="O32" s="23"/>
      <c r="R32" s="2"/>
    </row>
    <row r="33" spans="1:18" ht="15" customHeight="1" x14ac:dyDescent="0.2">
      <c r="A33" s="65" t="s">
        <v>7</v>
      </c>
      <c r="B33" s="66">
        <f>B17*'DATA 2'!B46/1000</f>
        <v>7</v>
      </c>
      <c r="C33" s="66">
        <f>C17*'DATA 2'!C46/1000</f>
        <v>7</v>
      </c>
      <c r="D33" s="66">
        <f>D17*'DATA 2'!D46/1000</f>
        <v>7</v>
      </c>
      <c r="E33" s="66">
        <f>E17*'DATA 2'!E46/1000</f>
        <v>7</v>
      </c>
      <c r="F33" s="66">
        <f>F17*'DATA 2'!F46/1000</f>
        <v>7</v>
      </c>
      <c r="G33" s="66">
        <f>G17*'DATA 2'!G46/1000</f>
        <v>7</v>
      </c>
      <c r="H33" s="66">
        <f>H17*'DATA 2'!H46/1000</f>
        <v>7</v>
      </c>
      <c r="I33" s="77">
        <f>I17*'DATA 2'!I46/1000</f>
        <v>7</v>
      </c>
      <c r="J33" s="22"/>
      <c r="K33" s="23"/>
      <c r="L33" s="23"/>
      <c r="M33" s="23"/>
      <c r="N33" s="22"/>
      <c r="O33" s="23"/>
      <c r="R33" s="2"/>
    </row>
    <row r="34" spans="1:18" ht="15" customHeight="1" x14ac:dyDescent="0.2">
      <c r="A34" s="65" t="s">
        <v>17</v>
      </c>
      <c r="B34" s="66">
        <f>B18*'DATA 2'!B47/1000</f>
        <v>11.4</v>
      </c>
      <c r="C34" s="66">
        <f>C18*'DATA 2'!C47/1000</f>
        <v>11.4</v>
      </c>
      <c r="D34" s="66">
        <f>D18*'DATA 2'!D47/1000</f>
        <v>11.4</v>
      </c>
      <c r="E34" s="66">
        <f>E18*'DATA 2'!E47/1000</f>
        <v>11.4</v>
      </c>
      <c r="F34" s="66">
        <f>F18*'DATA 2'!F47/1000</f>
        <v>11.4</v>
      </c>
      <c r="G34" s="66">
        <f>G18*'DATA 2'!G47/1000</f>
        <v>10</v>
      </c>
      <c r="H34" s="66">
        <f>H18*'DATA 2'!H47/1000</f>
        <v>10</v>
      </c>
      <c r="I34" s="77">
        <f>I18*'DATA 2'!I47/1000</f>
        <v>10</v>
      </c>
      <c r="J34" s="10"/>
      <c r="K34" s="27"/>
      <c r="L34" s="28"/>
      <c r="M34" s="27"/>
      <c r="N34" s="10"/>
      <c r="O34" s="27"/>
      <c r="P34" s="19"/>
      <c r="Q34" s="19"/>
      <c r="R34" s="1"/>
    </row>
    <row r="35" spans="1:18" ht="15" customHeight="1" x14ac:dyDescent="0.2">
      <c r="A35" s="65" t="s">
        <v>15</v>
      </c>
      <c r="B35" s="66">
        <f>0.15*(B70+B71+B72)</f>
        <v>65.178367894736837</v>
      </c>
      <c r="C35" s="66">
        <f t="shared" ref="C35:I35" si="0">0.15*(C70+C71+C72)</f>
        <v>65.004183529411719</v>
      </c>
      <c r="D35" s="66">
        <f t="shared" si="0"/>
        <v>69.447182542618435</v>
      </c>
      <c r="E35" s="66">
        <f t="shared" si="0"/>
        <v>70.596597496064419</v>
      </c>
      <c r="F35" s="66">
        <f t="shared" si="0"/>
        <v>71.709562784723275</v>
      </c>
      <c r="G35" s="66">
        <f t="shared" si="0"/>
        <v>86.388591325327866</v>
      </c>
      <c r="H35" s="66">
        <f t="shared" si="0"/>
        <v>111.60745992143603</v>
      </c>
      <c r="I35" s="77">
        <f t="shared" si="0"/>
        <v>174.95014234267802</v>
      </c>
      <c r="J35" s="10"/>
      <c r="K35" s="27"/>
      <c r="L35" s="28"/>
      <c r="M35" s="27"/>
      <c r="N35" s="10"/>
      <c r="O35" s="27"/>
      <c r="P35" s="29"/>
      <c r="Q35" s="29"/>
      <c r="R35" s="20"/>
    </row>
    <row r="36" spans="1:18" ht="15" customHeight="1" x14ac:dyDescent="0.2">
      <c r="A36" s="65" t="s">
        <v>16</v>
      </c>
      <c r="B36" s="66">
        <f>0.15*B73</f>
        <v>48.38455476753348</v>
      </c>
      <c r="C36" s="66">
        <f t="shared" ref="C36:I36" si="1">0.15*C73</f>
        <v>48.226950354609933</v>
      </c>
      <c r="D36" s="66">
        <f t="shared" si="1"/>
        <v>60</v>
      </c>
      <c r="E36" s="66">
        <f t="shared" si="1"/>
        <v>75.52340425531915</v>
      </c>
      <c r="F36" s="66">
        <f t="shared" si="1"/>
        <v>83.886510638297878</v>
      </c>
      <c r="G36" s="66">
        <f t="shared" si="1"/>
        <v>97.699208170212785</v>
      </c>
      <c r="H36" s="66">
        <f t="shared" si="1"/>
        <v>120.35812125449307</v>
      </c>
      <c r="I36" s="77">
        <f t="shared" si="1"/>
        <v>185.34026046906934</v>
      </c>
      <c r="J36" s="22"/>
      <c r="K36" s="23"/>
      <c r="L36" s="24"/>
      <c r="M36" s="23"/>
      <c r="N36" s="22"/>
      <c r="O36" s="23"/>
      <c r="P36" s="20"/>
      <c r="Q36" s="20"/>
      <c r="R36" s="20"/>
    </row>
    <row r="37" spans="1:18" ht="15" customHeight="1" thickBot="1" x14ac:dyDescent="0.25">
      <c r="A37" s="78" t="s">
        <v>12</v>
      </c>
      <c r="B37" s="79">
        <f t="shared" ref="B37:I37" si="2">SUM(B22:B36)</f>
        <v>889.00851402742694</v>
      </c>
      <c r="C37" s="79">
        <f t="shared" si="2"/>
        <v>961.65191892506755</v>
      </c>
      <c r="D37" s="79">
        <f t="shared" si="2"/>
        <v>1052.735857519815</v>
      </c>
      <c r="E37" s="79">
        <f t="shared" si="2"/>
        <v>1166.8531539252965</v>
      </c>
      <c r="F37" s="79">
        <f t="shared" si="2"/>
        <v>1338.4776097942588</v>
      </c>
      <c r="G37" s="79">
        <f t="shared" si="2"/>
        <v>1681.5218170540693</v>
      </c>
      <c r="H37" s="79">
        <f t="shared" si="2"/>
        <v>2041.220087871749</v>
      </c>
      <c r="I37" s="80">
        <f t="shared" si="2"/>
        <v>2413.1786099428582</v>
      </c>
      <c r="J37" s="22"/>
      <c r="K37" s="23"/>
      <c r="L37" s="24"/>
      <c r="M37" s="23"/>
      <c r="N37" s="22"/>
      <c r="O37" s="23"/>
      <c r="P37" s="20"/>
      <c r="Q37" s="20"/>
      <c r="R37" s="20"/>
    </row>
    <row r="38" spans="1:18" ht="15" customHeight="1" x14ac:dyDescent="0.2">
      <c r="A38" s="51"/>
      <c r="B38" s="39"/>
      <c r="C38" s="39"/>
      <c r="D38" s="52"/>
      <c r="E38" s="39"/>
      <c r="F38" s="39"/>
      <c r="G38" s="39"/>
      <c r="H38" s="39"/>
      <c r="I38" s="39"/>
      <c r="J38" s="20"/>
      <c r="L38" s="20"/>
      <c r="N38" s="20"/>
      <c r="O38" s="23"/>
      <c r="P38" s="20"/>
      <c r="Q38" s="20"/>
      <c r="R38" s="20"/>
    </row>
    <row r="39" spans="1:18" ht="15" customHeight="1" thickBot="1" x14ac:dyDescent="0.25">
      <c r="A39" s="32"/>
      <c r="B39" s="54"/>
      <c r="C39" s="54"/>
      <c r="D39" s="50"/>
      <c r="E39" s="50"/>
      <c r="F39" s="50"/>
      <c r="G39" s="54"/>
      <c r="H39" s="54"/>
      <c r="I39" s="50"/>
      <c r="J39" s="20"/>
      <c r="K39" s="23"/>
      <c r="L39" s="20"/>
      <c r="M39" s="23"/>
      <c r="N39" s="20"/>
      <c r="O39" s="23"/>
      <c r="P39" s="20"/>
      <c r="Q39" s="20"/>
      <c r="R39" s="20"/>
    </row>
    <row r="40" spans="1:18" s="7" customFormat="1" ht="30" customHeight="1" x14ac:dyDescent="0.2">
      <c r="A40" s="71" t="s">
        <v>23</v>
      </c>
      <c r="B40" s="64">
        <v>2013</v>
      </c>
      <c r="C40" s="64">
        <v>2014</v>
      </c>
      <c r="D40" s="64">
        <v>2015</v>
      </c>
      <c r="E40" s="64">
        <v>2016</v>
      </c>
      <c r="F40" s="64">
        <v>2017</v>
      </c>
      <c r="G40" s="64">
        <v>2020</v>
      </c>
      <c r="H40" s="64">
        <v>2023</v>
      </c>
      <c r="I40" s="72">
        <v>2025</v>
      </c>
      <c r="J40" s="11"/>
      <c r="K40" s="21"/>
      <c r="L40" s="21"/>
      <c r="M40" s="21"/>
      <c r="N40" s="22"/>
      <c r="O40" s="21"/>
    </row>
    <row r="41" spans="1:18" s="7" customFormat="1" ht="15" customHeight="1" x14ac:dyDescent="0.2">
      <c r="A41" s="65" t="s">
        <v>24</v>
      </c>
      <c r="B41" s="66">
        <f>$B$47*0.122</f>
        <v>1500.6</v>
      </c>
      <c r="C41" s="66">
        <f>$C$47*0.11</f>
        <v>1540</v>
      </c>
      <c r="D41" s="66">
        <f>E41/0.975</f>
        <v>1403.0769230769231</v>
      </c>
      <c r="E41" s="66">
        <f>0.08*$E$47</f>
        <v>1368</v>
      </c>
      <c r="F41" s="66">
        <f xml:space="preserve"> E41*0.975</f>
        <v>1333.8</v>
      </c>
      <c r="G41" s="66">
        <f>0.05*$G$47</f>
        <v>1250</v>
      </c>
      <c r="H41" s="66">
        <v>1190</v>
      </c>
      <c r="I41" s="77">
        <v>1150</v>
      </c>
      <c r="J41" s="11"/>
      <c r="K41" s="36"/>
      <c r="L41" s="36"/>
      <c r="M41" s="36"/>
      <c r="N41" s="37"/>
      <c r="O41" s="36"/>
    </row>
    <row r="42" spans="1:18" s="7" customFormat="1" ht="15" customHeight="1" x14ac:dyDescent="0.2">
      <c r="A42" s="65" t="s">
        <v>2</v>
      </c>
      <c r="B42" s="66">
        <f xml:space="preserve"> $B$47*0.141</f>
        <v>1734.2999999999997</v>
      </c>
      <c r="C42" s="66">
        <f xml:space="preserve"> $C$47*0.15</f>
        <v>2100</v>
      </c>
      <c r="D42" s="66">
        <f xml:space="preserve"> $D$47*0.19</f>
        <v>2945</v>
      </c>
      <c r="E42" s="66">
        <f>0.21*$E$47</f>
        <v>3591</v>
      </c>
      <c r="F42" s="66">
        <f>E42*1.11</f>
        <v>3986.01</v>
      </c>
      <c r="G42" s="66">
        <f>0.23*$G$47</f>
        <v>5750</v>
      </c>
      <c r="H42" s="66">
        <v>6200</v>
      </c>
      <c r="I42" s="77">
        <v>6500</v>
      </c>
      <c r="J42" s="11"/>
      <c r="K42" s="36"/>
      <c r="L42" s="36"/>
      <c r="M42" s="36"/>
      <c r="N42" s="37"/>
      <c r="O42" s="36"/>
    </row>
    <row r="43" spans="1:18" s="7" customFormat="1" ht="15" customHeight="1" x14ac:dyDescent="0.2">
      <c r="A43" s="65" t="s">
        <v>3</v>
      </c>
      <c r="B43" s="66">
        <f xml:space="preserve"> $B$47*0.023</f>
        <v>282.89999999999998</v>
      </c>
      <c r="C43" s="66">
        <f>$C$47*0.03</f>
        <v>420</v>
      </c>
      <c r="D43" s="66">
        <f>$D$47*0.03</f>
        <v>465</v>
      </c>
      <c r="E43" s="66">
        <f>0.03*$E$47</f>
        <v>513</v>
      </c>
      <c r="F43" s="66">
        <f>E43+200</f>
        <v>713</v>
      </c>
      <c r="G43" s="66">
        <f>0.03*$G$47</f>
        <v>750</v>
      </c>
      <c r="H43" s="66">
        <v>780</v>
      </c>
      <c r="I43" s="77">
        <v>800</v>
      </c>
      <c r="J43" s="11"/>
      <c r="K43" s="36"/>
      <c r="L43" s="36"/>
      <c r="M43" s="36"/>
      <c r="N43" s="37"/>
      <c r="O43" s="36"/>
    </row>
    <row r="44" spans="1:18" s="7" customFormat="1" ht="15" customHeight="1" x14ac:dyDescent="0.2">
      <c r="A44" s="65" t="s">
        <v>11</v>
      </c>
      <c r="B44" s="66">
        <f>$B$47*0.376</f>
        <v>4624.8</v>
      </c>
      <c r="C44" s="66">
        <f>$C$47*0.32</f>
        <v>4480</v>
      </c>
      <c r="D44" s="66">
        <f>$D$47*0.24</f>
        <v>3720</v>
      </c>
      <c r="E44" s="66">
        <f>0.19*$E$47</f>
        <v>3249</v>
      </c>
      <c r="F44" s="66">
        <f>E44- (F42-E42)</f>
        <v>2853.99</v>
      </c>
      <c r="G44" s="66">
        <f>0.06*$G$47</f>
        <v>1500</v>
      </c>
      <c r="H44" s="66">
        <v>1300</v>
      </c>
      <c r="I44" s="77">
        <v>1200</v>
      </c>
      <c r="J44" s="11"/>
      <c r="K44" s="36"/>
      <c r="L44" s="36"/>
      <c r="M44" s="36"/>
      <c r="N44" s="37"/>
      <c r="O44" s="36"/>
    </row>
    <row r="45" spans="1:18" s="7" customFormat="1" ht="15" customHeight="1" x14ac:dyDescent="0.2">
      <c r="A45" s="65" t="s">
        <v>13</v>
      </c>
      <c r="B45" s="66">
        <f>$B$47*0.186</f>
        <v>2287.8000000000002</v>
      </c>
      <c r="C45" s="66">
        <f>$C$47*0.24</f>
        <v>3360</v>
      </c>
      <c r="D45" s="66">
        <f>$D$47*0.3</f>
        <v>4650</v>
      </c>
      <c r="E45" s="66">
        <f>0.34*$E$47</f>
        <v>5814</v>
      </c>
      <c r="F45" s="66">
        <f>E45*1.19</f>
        <v>6918.66</v>
      </c>
      <c r="G45" s="66">
        <f>0.5*$G$47</f>
        <v>12500</v>
      </c>
      <c r="H45" s="66">
        <v>20000</v>
      </c>
      <c r="I45" s="77">
        <v>25000</v>
      </c>
      <c r="J45" s="11"/>
      <c r="K45" s="36"/>
      <c r="L45" s="36"/>
      <c r="M45" s="36"/>
      <c r="N45" s="37"/>
      <c r="O45" s="36"/>
    </row>
    <row r="46" spans="1:18" s="7" customFormat="1" ht="15" customHeight="1" x14ac:dyDescent="0.2">
      <c r="A46" s="65" t="s">
        <v>26</v>
      </c>
      <c r="B46" s="66">
        <f>$B$47*0.11</f>
        <v>1353</v>
      </c>
      <c r="C46" s="66">
        <f>$C$47*0.11</f>
        <v>1540</v>
      </c>
      <c r="D46" s="66">
        <f>$D$47*0.11</f>
        <v>1705</v>
      </c>
      <c r="E46" s="66">
        <f>0.12*$E$47</f>
        <v>2052</v>
      </c>
      <c r="F46" s="66">
        <f>E46*1.09</f>
        <v>2236.6800000000003</v>
      </c>
      <c r="G46" s="66">
        <f>0.12*$G$47</f>
        <v>3000</v>
      </c>
      <c r="H46" s="66">
        <v>3500</v>
      </c>
      <c r="I46" s="77">
        <v>3800</v>
      </c>
      <c r="J46" s="11"/>
      <c r="K46" s="36"/>
      <c r="L46" s="36"/>
      <c r="M46" s="36"/>
      <c r="N46" s="37"/>
      <c r="O46" s="36"/>
    </row>
    <row r="47" spans="1:18" s="7" customFormat="1" ht="15" customHeight="1" thickBot="1" x14ac:dyDescent="0.25">
      <c r="A47" s="78" t="s">
        <v>12</v>
      </c>
      <c r="B47" s="79">
        <v>12300</v>
      </c>
      <c r="C47" s="79">
        <v>14000</v>
      </c>
      <c r="D47" s="79">
        <v>15500</v>
      </c>
      <c r="E47" s="79">
        <v>17100</v>
      </c>
      <c r="F47" s="79">
        <f>E47*1.1</f>
        <v>18810</v>
      </c>
      <c r="G47" s="79">
        <v>25000</v>
      </c>
      <c r="H47" s="79">
        <f>SUM(H41:H46)</f>
        <v>32970</v>
      </c>
      <c r="I47" s="80">
        <v>38450</v>
      </c>
      <c r="J47" s="11"/>
      <c r="K47" s="36"/>
      <c r="L47" s="36"/>
      <c r="M47" s="36"/>
      <c r="N47" s="37"/>
      <c r="O47" s="36"/>
    </row>
    <row r="48" spans="1:18" s="7" customFormat="1" ht="15" customHeight="1" x14ac:dyDescent="0.2">
      <c r="A48" s="32"/>
      <c r="B48" s="54"/>
      <c r="C48" s="54"/>
      <c r="D48" s="54"/>
      <c r="E48" s="54"/>
      <c r="F48" s="54"/>
      <c r="G48" s="54"/>
      <c r="H48" s="54"/>
      <c r="I48" s="54">
        <f t="shared" ref="I48" si="3">H48</f>
        <v>0</v>
      </c>
      <c r="J48" s="11"/>
      <c r="K48" s="36"/>
      <c r="L48" s="36"/>
      <c r="M48" s="36"/>
      <c r="N48" s="37"/>
      <c r="O48" s="36"/>
    </row>
    <row r="49" spans="1:15" s="7" customFormat="1" ht="15" customHeight="1" thickBot="1" x14ac:dyDescent="0.25">
      <c r="A49" s="32"/>
      <c r="B49" s="54"/>
      <c r="C49" s="54"/>
      <c r="D49" s="54"/>
      <c r="E49" s="54"/>
      <c r="F49" s="54"/>
      <c r="G49" s="54"/>
      <c r="H49" s="54"/>
      <c r="I49" s="54"/>
      <c r="J49" s="11"/>
      <c r="K49" s="60"/>
      <c r="L49" s="60"/>
      <c r="M49" s="60"/>
      <c r="N49" s="59"/>
      <c r="O49" s="60"/>
    </row>
    <row r="50" spans="1:15" s="7" customFormat="1" ht="30" customHeight="1" x14ac:dyDescent="0.2">
      <c r="A50" s="71" t="s">
        <v>61</v>
      </c>
      <c r="B50" s="64">
        <v>2013</v>
      </c>
      <c r="C50" s="64">
        <v>2014</v>
      </c>
      <c r="D50" s="64">
        <v>2015</v>
      </c>
      <c r="E50" s="64">
        <v>2016</v>
      </c>
      <c r="F50" s="64">
        <v>2017</v>
      </c>
      <c r="G50" s="64">
        <v>2020</v>
      </c>
      <c r="H50" s="64">
        <v>2023</v>
      </c>
      <c r="I50" s="72">
        <v>2025</v>
      </c>
      <c r="J50" s="11"/>
      <c r="K50" s="36"/>
      <c r="L50" s="36"/>
      <c r="M50" s="36"/>
      <c r="N50" s="37"/>
      <c r="O50" s="36"/>
    </row>
    <row r="51" spans="1:15" ht="15" customHeight="1" x14ac:dyDescent="0.2">
      <c r="A51" s="65" t="s">
        <v>24</v>
      </c>
      <c r="B51" s="66">
        <f>'DATA 2'!B51*B41/1000</f>
        <v>90.036000000000001</v>
      </c>
      <c r="C51" s="66">
        <f>'DATA 2'!C51*C41/1000</f>
        <v>92.4</v>
      </c>
      <c r="D51" s="66">
        <f>'DATA 2'!D51*D41/1000</f>
        <v>84.184615384615384</v>
      </c>
      <c r="E51" s="66">
        <f>'DATA 2'!E51*E41/1000</f>
        <v>82.08</v>
      </c>
      <c r="F51" s="66">
        <f>'DATA 2'!F51*F41/1000</f>
        <v>80.028000000000006</v>
      </c>
      <c r="G51" s="66">
        <f>'DATA 2'!G51*G41/1000</f>
        <v>75</v>
      </c>
      <c r="H51" s="66">
        <f>'DATA 2'!H51*H41/1000</f>
        <v>71.400000000000006</v>
      </c>
      <c r="I51" s="77">
        <f>'DATA 2'!I51*I41/1000</f>
        <v>69</v>
      </c>
      <c r="J51" s="22"/>
      <c r="K51" s="23"/>
      <c r="L51" s="23"/>
      <c r="M51" s="23"/>
      <c r="N51" s="22"/>
      <c r="O51" s="23"/>
    </row>
    <row r="52" spans="1:15" ht="15" customHeight="1" x14ac:dyDescent="0.2">
      <c r="A52" s="65" t="s">
        <v>2</v>
      </c>
      <c r="B52" s="66">
        <f>'DATA 2'!B52*B42/1000</f>
        <v>8.5998347107437993</v>
      </c>
      <c r="C52" s="66">
        <f>'DATA 2'!C52*C42/1000</f>
        <v>11.454545454545453</v>
      </c>
      <c r="D52" s="66">
        <f>'DATA 2'!D52*D42/1000</f>
        <v>17.670000000000002</v>
      </c>
      <c r="E52" s="66">
        <f>'DATA 2'!E52*E42/1000</f>
        <v>23.700600000000001</v>
      </c>
      <c r="F52" s="66">
        <f>'DATA 2'!F52*F42/1000</f>
        <v>28.938432600000006</v>
      </c>
      <c r="G52" s="66">
        <f>'DATA 2'!G52*G42/1000</f>
        <v>48.325055625000019</v>
      </c>
      <c r="H52" s="66">
        <f>'DATA 2'!H52*H42/1000</f>
        <v>52.107016500000022</v>
      </c>
      <c r="I52" s="77">
        <f>'DATA 2'!I52*I42/1000</f>
        <v>54.628323750000021</v>
      </c>
      <c r="J52" s="37"/>
      <c r="K52" s="38"/>
      <c r="L52" s="38"/>
      <c r="M52" s="38"/>
      <c r="N52" s="37"/>
      <c r="O52" s="38"/>
    </row>
    <row r="53" spans="1:15" ht="15" customHeight="1" x14ac:dyDescent="0.2">
      <c r="A53" s="65" t="s">
        <v>3</v>
      </c>
      <c r="B53" s="66">
        <f>'DATA 2'!B53*B43/1000</f>
        <v>5.6580000000000004</v>
      </c>
      <c r="C53" s="66">
        <f>'DATA 2'!C53*C43/1000</f>
        <v>8.4</v>
      </c>
      <c r="D53" s="66">
        <f>'DATA 2'!D53*D43/1000</f>
        <v>9.3000000000000007</v>
      </c>
      <c r="E53" s="66">
        <f>'DATA 2'!E53*E43/1000</f>
        <v>10.26</v>
      </c>
      <c r="F53" s="66">
        <f>'DATA 2'!F53*F43/1000</f>
        <v>14.26</v>
      </c>
      <c r="G53" s="66">
        <f>'DATA 2'!G53*G43/1000</f>
        <v>15</v>
      </c>
      <c r="H53" s="66">
        <f>'DATA 2'!H53*H43/1000</f>
        <v>15.6</v>
      </c>
      <c r="I53" s="77">
        <f>'DATA 2'!I53*I43/1000</f>
        <v>16</v>
      </c>
      <c r="J53" s="37"/>
      <c r="K53" s="38"/>
      <c r="L53" s="38"/>
      <c r="M53" s="38"/>
      <c r="N53" s="37"/>
      <c r="O53" s="38"/>
    </row>
    <row r="54" spans="1:15" ht="15" customHeight="1" x14ac:dyDescent="0.2">
      <c r="A54" s="65" t="s">
        <v>11</v>
      </c>
      <c r="B54" s="66">
        <f>'DATA 2'!B54*B44/1000</f>
        <v>4.6248000000000005</v>
      </c>
      <c r="C54" s="66">
        <f>'DATA 2'!C54*C44/1000</f>
        <v>4.4800000000000004</v>
      </c>
      <c r="D54" s="66">
        <f>'DATA 2'!D54*D44/1000</f>
        <v>3.72</v>
      </c>
      <c r="E54" s="66">
        <f>'DATA 2'!E54*E44/1000</f>
        <v>3.2490000000000001</v>
      </c>
      <c r="F54" s="66">
        <f>'DATA 2'!F54*F44/1000</f>
        <v>2.8539899999999996</v>
      </c>
      <c r="G54" s="66">
        <f>'DATA 2'!G54*G44/1000</f>
        <v>1.5</v>
      </c>
      <c r="H54" s="66">
        <f>'DATA 2'!H54*H44/1000</f>
        <v>1.3</v>
      </c>
      <c r="I54" s="77">
        <f>'DATA 2'!I54*I44/1000</f>
        <v>1.2</v>
      </c>
      <c r="J54" s="37"/>
      <c r="K54" s="38"/>
      <c r="L54" s="38"/>
      <c r="M54" s="38"/>
      <c r="N54" s="37"/>
      <c r="O54" s="38"/>
    </row>
    <row r="55" spans="1:15" ht="15" customHeight="1" x14ac:dyDescent="0.2">
      <c r="A55" s="65" t="s">
        <v>13</v>
      </c>
      <c r="B55" s="66">
        <f>'DATA 2'!B55*B45/1000</f>
        <v>0.68634000000000006</v>
      </c>
      <c r="C55" s="66">
        <f>'DATA 2'!C55*C45/1000</f>
        <v>1.008</v>
      </c>
      <c r="D55" s="66">
        <f>'DATA 2'!D55*D45/1000</f>
        <v>1.395</v>
      </c>
      <c r="E55" s="66">
        <f>'DATA 2'!E55*E45/1000</f>
        <v>1.7442</v>
      </c>
      <c r="F55" s="66">
        <f>'DATA 2'!F55*F45/1000</f>
        <v>2.0755979999999998</v>
      </c>
      <c r="G55" s="66">
        <f>'DATA 2'!G55*G45/1000</f>
        <v>3.75</v>
      </c>
      <c r="H55" s="66">
        <f>'DATA 2'!H55*H45/1000</f>
        <v>6</v>
      </c>
      <c r="I55" s="77">
        <f>'DATA 2'!I55*I45/1000</f>
        <v>7.5</v>
      </c>
      <c r="J55" s="37"/>
      <c r="K55" s="38"/>
      <c r="L55" s="38"/>
      <c r="M55" s="38"/>
      <c r="N55" s="37"/>
      <c r="O55" s="38"/>
    </row>
    <row r="56" spans="1:15" ht="15" customHeight="1" x14ac:dyDescent="0.2">
      <c r="A56" s="65" t="s">
        <v>26</v>
      </c>
      <c r="B56" s="66">
        <f>'DATA 2'!B56*B46/1000</f>
        <v>270.60000000000002</v>
      </c>
      <c r="C56" s="66">
        <f>'DATA 2'!C56*C46/1000</f>
        <v>308</v>
      </c>
      <c r="D56" s="66">
        <f>'DATA 2'!D56*D46/1000</f>
        <v>341</v>
      </c>
      <c r="E56" s="66">
        <f>'DATA 2'!E56*E46/1000</f>
        <v>410.4</v>
      </c>
      <c r="F56" s="66">
        <f>'DATA 2'!F56*F46/1000</f>
        <v>447.33600000000007</v>
      </c>
      <c r="G56" s="66">
        <f>'DATA 2'!G56*G46/1000</f>
        <v>600</v>
      </c>
      <c r="H56" s="66">
        <f>'DATA 2'!H56*H46/1000</f>
        <v>700</v>
      </c>
      <c r="I56" s="77">
        <f>'DATA 2'!I56*I46/1000</f>
        <v>760</v>
      </c>
      <c r="J56" s="37"/>
      <c r="K56" s="38"/>
      <c r="L56" s="38"/>
      <c r="M56" s="38"/>
      <c r="N56" s="37"/>
      <c r="O56" s="38"/>
    </row>
    <row r="57" spans="1:15" ht="15" customHeight="1" thickBot="1" x14ac:dyDescent="0.25">
      <c r="A57" s="78" t="s">
        <v>12</v>
      </c>
      <c r="B57" s="79">
        <f t="shared" ref="B57:G57" si="4">SUM(B51:B56)</f>
        <v>380.20497471074384</v>
      </c>
      <c r="C57" s="79">
        <f t="shared" si="4"/>
        <v>425.74254545454545</v>
      </c>
      <c r="D57" s="79">
        <f t="shared" si="4"/>
        <v>457.26961538461535</v>
      </c>
      <c r="E57" s="79">
        <f t="shared" si="4"/>
        <v>531.43380000000002</v>
      </c>
      <c r="F57" s="79">
        <f t="shared" si="4"/>
        <v>575.49202060000016</v>
      </c>
      <c r="G57" s="79">
        <f t="shared" si="4"/>
        <v>743.575055625</v>
      </c>
      <c r="H57" s="79">
        <f>SUM(H51:H56)</f>
        <v>846.40701650000005</v>
      </c>
      <c r="I57" s="80">
        <f>SUM(I51:I56)</f>
        <v>908.32832374999998</v>
      </c>
      <c r="J57" s="37"/>
      <c r="K57" s="38"/>
      <c r="L57" s="38"/>
      <c r="M57" s="38"/>
      <c r="N57" s="37"/>
      <c r="O57" s="38"/>
    </row>
    <row r="58" spans="1:15" ht="15" customHeight="1" x14ac:dyDescent="0.2">
      <c r="A58" s="51"/>
      <c r="B58" s="39"/>
      <c r="C58" s="39"/>
      <c r="D58" s="39"/>
      <c r="E58" s="39"/>
      <c r="F58" s="39"/>
      <c r="G58" s="39"/>
      <c r="H58" s="39"/>
      <c r="I58" s="39"/>
      <c r="J58" s="37"/>
      <c r="K58" s="38"/>
      <c r="L58" s="38"/>
      <c r="M58" s="38"/>
      <c r="N58" s="37"/>
      <c r="O58" s="38"/>
    </row>
    <row r="59" spans="1:15" ht="15" customHeight="1" thickBot="1" x14ac:dyDescent="0.25">
      <c r="A59" s="51"/>
      <c r="B59" s="39"/>
      <c r="C59" s="39"/>
      <c r="D59" s="39"/>
      <c r="E59" s="39"/>
      <c r="F59" s="39"/>
      <c r="G59" s="39"/>
      <c r="H59" s="39"/>
      <c r="I59" s="39"/>
      <c r="J59" s="37"/>
      <c r="K59" s="38"/>
      <c r="L59" s="38"/>
      <c r="M59" s="38"/>
      <c r="N59" s="37"/>
      <c r="O59" s="38"/>
    </row>
    <row r="60" spans="1:15" ht="30" customHeight="1" x14ac:dyDescent="0.2">
      <c r="A60" s="71" t="s">
        <v>27</v>
      </c>
      <c r="B60" s="64">
        <v>2013</v>
      </c>
      <c r="C60" s="64">
        <v>2014</v>
      </c>
      <c r="D60" s="64">
        <v>2015</v>
      </c>
      <c r="E60" s="64">
        <v>2016</v>
      </c>
      <c r="F60" s="64">
        <v>2017</v>
      </c>
      <c r="G60" s="64">
        <v>2020</v>
      </c>
      <c r="H60" s="64">
        <v>2023</v>
      </c>
      <c r="I60" s="72">
        <v>2025</v>
      </c>
      <c r="J60" s="37"/>
      <c r="K60" s="38"/>
      <c r="L60" s="38"/>
      <c r="M60" s="38"/>
      <c r="N60" s="37"/>
      <c r="O60" s="38"/>
    </row>
    <row r="61" spans="1:15" ht="15" customHeight="1" x14ac:dyDescent="0.2">
      <c r="A61" s="65" t="s">
        <v>33</v>
      </c>
      <c r="B61" s="66">
        <f>'DATA 2'!B60</f>
        <v>342.72</v>
      </c>
      <c r="C61" s="66">
        <f>'DATA 2'!C60</f>
        <v>388.8</v>
      </c>
      <c r="D61" s="66">
        <f>'DATA 2'!D60</f>
        <v>506.48275862068965</v>
      </c>
      <c r="E61" s="66">
        <f>'DATA 2'!E60</f>
        <v>587.52</v>
      </c>
      <c r="F61" s="66">
        <f>'DATA 2'!F60</f>
        <v>681.52319999999997</v>
      </c>
      <c r="G61" s="66">
        <f>'DATA 2'!G60</f>
        <v>1063.7868367871999</v>
      </c>
      <c r="H61" s="66">
        <f>'DATA 2'!H60</f>
        <v>1660.4606183937929</v>
      </c>
      <c r="I61" s="77">
        <f>'DATA 2'!I60</f>
        <v>2591.8063374083968</v>
      </c>
      <c r="J61" s="37"/>
      <c r="K61" s="38"/>
      <c r="L61" s="38"/>
      <c r="M61" s="38"/>
      <c r="N61" s="37"/>
      <c r="O61" s="38"/>
    </row>
    <row r="62" spans="1:15" ht="15" customHeight="1" x14ac:dyDescent="0.2">
      <c r="A62" s="65" t="s">
        <v>30</v>
      </c>
      <c r="B62" s="66">
        <f>'DATA 2'!B61</f>
        <v>250.92</v>
      </c>
      <c r="C62" s="66">
        <f>'DATA 2'!C61</f>
        <v>302.39999999999998</v>
      </c>
      <c r="D62" s="66">
        <f>'DATA 2'!D61</f>
        <v>403.2</v>
      </c>
      <c r="E62" s="66">
        <f>'DATA 2'!E61</f>
        <v>483.84</v>
      </c>
      <c r="F62" s="66">
        <f>'DATA 2'!F61</f>
        <v>580.60799999999995</v>
      </c>
      <c r="G62" s="66">
        <f>'DATA 2'!G61</f>
        <v>1560.3333670528007</v>
      </c>
      <c r="H62" s="66">
        <f>'DATA 2'!H61</f>
        <v>3670.8980116630005</v>
      </c>
      <c r="I62" s="77">
        <f>'DATA 2'!I61</f>
        <v>8636.2904854648077</v>
      </c>
      <c r="J62" s="145"/>
      <c r="K62" s="145"/>
      <c r="L62" s="23"/>
      <c r="M62" s="23"/>
      <c r="N62" s="22"/>
      <c r="O62" s="23"/>
    </row>
    <row r="63" spans="1:15" ht="15" customHeight="1" x14ac:dyDescent="0.2">
      <c r="A63" s="65" t="s">
        <v>31</v>
      </c>
      <c r="B63" s="66">
        <f>'DATA 2'!B62</f>
        <v>593.64</v>
      </c>
      <c r="C63" s="66">
        <f>'DATA 2'!C62</f>
        <v>691.2</v>
      </c>
      <c r="D63" s="66">
        <f>'DATA 2'!D62</f>
        <v>909.68275862068958</v>
      </c>
      <c r="E63" s="66">
        <f>'DATA 2'!E62</f>
        <v>1071.3599999999999</v>
      </c>
      <c r="F63" s="66">
        <f>'DATA 2'!F62</f>
        <v>1262.1311999999998</v>
      </c>
      <c r="G63" s="66">
        <f>'DATA 2'!G62</f>
        <v>2624.1202038400006</v>
      </c>
      <c r="H63" s="66">
        <f>'DATA 2'!H62</f>
        <v>5331.3586300567931</v>
      </c>
      <c r="I63" s="77">
        <f>'DATA 2'!I62</f>
        <v>11228.096822873205</v>
      </c>
      <c r="J63" s="140"/>
      <c r="K63" s="141"/>
      <c r="L63" s="23"/>
      <c r="M63" s="23"/>
      <c r="N63" s="22"/>
      <c r="O63" s="23"/>
    </row>
    <row r="64" spans="1:15" ht="15" customHeight="1" x14ac:dyDescent="0.2">
      <c r="A64" s="65" t="s">
        <v>32</v>
      </c>
      <c r="B64" s="66">
        <f>'DATA 2'!B63</f>
        <v>16</v>
      </c>
      <c r="C64" s="66">
        <f>'DATA 2'!C63</f>
        <v>28.799999999999955</v>
      </c>
      <c r="D64" s="66">
        <f>'DATA 2'!D63</f>
        <v>58.904109589041099</v>
      </c>
      <c r="E64" s="66">
        <f>'DATA 2'!E63</f>
        <v>86</v>
      </c>
      <c r="F64" s="66">
        <f>'DATA 2'!F63</f>
        <v>125.56</v>
      </c>
      <c r="G64" s="66">
        <f>'DATA 2'!G63</f>
        <v>390.75979615999995</v>
      </c>
      <c r="H64" s="66">
        <f>'DATA 2'!H63</f>
        <v>1216.0976289821974</v>
      </c>
      <c r="I64" s="77">
        <f>'DATA 2'!I63</f>
        <v>3784.6612106701396</v>
      </c>
    </row>
    <row r="65" spans="1:9" s="2" customFormat="1" ht="15" customHeight="1" x14ac:dyDescent="0.2">
      <c r="A65" s="65" t="s">
        <v>29</v>
      </c>
      <c r="B65" s="66">
        <f>'DATA 2'!B64</f>
        <v>609.64</v>
      </c>
      <c r="C65" s="66">
        <f>'DATA 2'!C64</f>
        <v>720</v>
      </c>
      <c r="D65" s="66">
        <f>'DATA 2'!D64</f>
        <v>968.58686820973071</v>
      </c>
      <c r="E65" s="66">
        <f>'DATA 2'!E64</f>
        <v>1157.3599999999999</v>
      </c>
      <c r="F65" s="66">
        <f>'DATA 2'!F64</f>
        <v>1387.6911999999998</v>
      </c>
      <c r="G65" s="66">
        <f>'DATA 2'!G64</f>
        <v>3014.8800000000006</v>
      </c>
      <c r="H65" s="66">
        <f>'DATA 2'!H64</f>
        <v>6547.4562590389905</v>
      </c>
      <c r="I65" s="77">
        <f>'DATA 2'!I64</f>
        <v>15012.758033543345</v>
      </c>
    </row>
    <row r="66" spans="1:9" s="2" customFormat="1" ht="15" customHeight="1" thickBot="1" x14ac:dyDescent="0.25">
      <c r="A66" s="74" t="s">
        <v>16</v>
      </c>
      <c r="B66" s="82">
        <f>'DATA 2'!B65</f>
        <v>3070</v>
      </c>
      <c r="C66" s="82">
        <f>'DATA 2'!C65</f>
        <v>3400</v>
      </c>
      <c r="D66" s="82">
        <f>'DATA 2'!D65</f>
        <v>4700</v>
      </c>
      <c r="E66" s="82">
        <f>'DATA 2'!E65</f>
        <v>6800</v>
      </c>
      <c r="F66" s="82">
        <f>'DATA 2'!F65</f>
        <v>9100</v>
      </c>
      <c r="G66" s="82">
        <f>'DATA 2'!G65</f>
        <v>20700</v>
      </c>
      <c r="H66" s="82">
        <f>'DATA 2'!H65</f>
        <v>49806.352800000008</v>
      </c>
      <c r="I66" s="83">
        <f>'DATA 2'!I65</f>
        <v>119839.26469749122</v>
      </c>
    </row>
    <row r="67" spans="1:9" s="2" customFormat="1" ht="15" customHeight="1" x14ac:dyDescent="0.2">
      <c r="A67" s="54"/>
      <c r="B67" s="53"/>
      <c r="C67" s="53"/>
      <c r="D67" s="53"/>
      <c r="E67" s="53"/>
      <c r="F67" s="53"/>
      <c r="G67" s="53"/>
      <c r="H67" s="53"/>
      <c r="I67" s="53"/>
    </row>
    <row r="68" spans="1:9" s="2" customFormat="1" ht="15" customHeight="1" thickBot="1" x14ac:dyDescent="0.25">
      <c r="A68" s="54"/>
      <c r="B68" s="53"/>
      <c r="C68" s="53"/>
      <c r="D68" s="53"/>
      <c r="E68" s="53"/>
      <c r="F68" s="53"/>
      <c r="G68" s="53"/>
      <c r="H68" s="53"/>
      <c r="I68" s="53"/>
    </row>
    <row r="69" spans="1:9" s="2" customFormat="1" ht="30" customHeight="1" x14ac:dyDescent="0.2">
      <c r="A69" s="71" t="s">
        <v>28</v>
      </c>
      <c r="B69" s="64">
        <v>2013</v>
      </c>
      <c r="C69" s="64">
        <v>2014</v>
      </c>
      <c r="D69" s="64">
        <v>2015</v>
      </c>
      <c r="E69" s="64">
        <v>2016</v>
      </c>
      <c r="F69" s="64">
        <v>2017</v>
      </c>
      <c r="G69" s="64">
        <v>2020</v>
      </c>
      <c r="H69" s="64">
        <v>2023</v>
      </c>
      <c r="I69" s="72">
        <v>2025</v>
      </c>
    </row>
    <row r="70" spans="1:9" s="2" customFormat="1" ht="15" customHeight="1" x14ac:dyDescent="0.2">
      <c r="A70" s="65" t="s">
        <v>33</v>
      </c>
      <c r="B70" s="66">
        <f xml:space="preserve"> 'DATA 2'!B60*'DATA 2'!B69</f>
        <v>224.13888000000003</v>
      </c>
      <c r="C70" s="66">
        <f xml:space="preserve"> 'DATA 2'!C60*'DATA 2'!C69</f>
        <v>229.00319999999999</v>
      </c>
      <c r="D70" s="66">
        <f xml:space="preserve"> 'DATA 2'!D60*'DATA 2'!D69</f>
        <v>268.35887668965523</v>
      </c>
      <c r="E70" s="66">
        <f xml:space="preserve"> 'DATA 2'!E60*'DATA 2'!E69</f>
        <v>280.16666726400007</v>
      </c>
      <c r="F70" s="66">
        <f xml:space="preserve"> 'DATA 2'!F60*'DATA 2'!F69</f>
        <v>292.49400062361605</v>
      </c>
      <c r="G70" s="66">
        <f xml:space="preserve"> 'DATA 2'!G60*'DATA 2'!G69</f>
        <v>332.68975912366574</v>
      </c>
      <c r="H70" s="66">
        <f xml:space="preserve"> 'DATA 2'!H60*'DATA 2'!H69</f>
        <v>378.56540929342106</v>
      </c>
      <c r="I70" s="77">
        <f xml:space="preserve"> 'DATA 2'!I60*'DATA 2'!I69</f>
        <v>478.62999881461542</v>
      </c>
    </row>
    <row r="71" spans="1:9" s="2" customFormat="1" ht="15" customHeight="1" x14ac:dyDescent="0.2">
      <c r="A71" s="65" t="s">
        <v>30</v>
      </c>
      <c r="B71" s="66">
        <f xml:space="preserve"> 'DATA 2'!B61*'DATA 2'!B70</f>
        <v>57.962519999999998</v>
      </c>
      <c r="C71" s="66">
        <f xml:space="preserve"> 'DATA 2'!C61*'DATA 2'!C70</f>
        <v>62.899199999999993</v>
      </c>
      <c r="D71" s="66">
        <f xml:space="preserve"> 'DATA 2'!D61*'DATA 2'!D70</f>
        <v>75.54072960000002</v>
      </c>
      <c r="E71" s="66">
        <f xml:space="preserve"> 'DATA 2'!E61*'DATA 2'!E70</f>
        <v>81.583987968000031</v>
      </c>
      <c r="F71" s="66">
        <f xml:space="preserve"> 'DATA 2'!F61*'DATA 2'!F70</f>
        <v>88.11070700544002</v>
      </c>
      <c r="G71" s="66">
        <f xml:space="preserve"> 'DATA 2'!G61*'DATA 2'!G70</f>
        <v>172.89741973638675</v>
      </c>
      <c r="H71" s="66">
        <f xml:space="preserve"> 'DATA 2'!H61*'DATA 2'!H70</f>
        <v>296.53158795286191</v>
      </c>
      <c r="I71" s="77">
        <f xml:space="preserve"> 'DATA 2'!I61*'DATA 2'!I70</f>
        <v>565.08126024419232</v>
      </c>
    </row>
    <row r="72" spans="1:9" s="2" customFormat="1" ht="15" customHeight="1" x14ac:dyDescent="0.2">
      <c r="A72" s="65" t="s">
        <v>32</v>
      </c>
      <c r="B72" s="66">
        <f xml:space="preserve"> 'DATA 2'!B63*'DATA 2'!B71</f>
        <v>152.42105263157896</v>
      </c>
      <c r="C72" s="66">
        <f xml:space="preserve"> 'DATA 2'!C63*'DATA 2'!C71</f>
        <v>141.45882352941155</v>
      </c>
      <c r="D72" s="66">
        <f xml:space="preserve"> 'DATA 2'!D63*'DATA 2'!D71</f>
        <v>119.08161066113433</v>
      </c>
      <c r="E72" s="66">
        <f xml:space="preserve"> 'DATA 2'!E63*'DATA 2'!E71</f>
        <v>108.89332807509602</v>
      </c>
      <c r="F72" s="66">
        <f xml:space="preserve"> 'DATA 2'!F63*'DATA 2'!F71</f>
        <v>97.459044269099081</v>
      </c>
      <c r="G72" s="66">
        <f xml:space="preserve"> 'DATA 2'!G63*'DATA 2'!G71</f>
        <v>70.336763308799988</v>
      </c>
      <c r="H72" s="66">
        <f xml:space="preserve"> 'DATA 2'!H63*'DATA 2'!H71</f>
        <v>68.952735563290588</v>
      </c>
      <c r="I72" s="77">
        <f xml:space="preserve"> 'DATA 2'!I63*'DATA 2'!I71</f>
        <v>122.62302322571252</v>
      </c>
    </row>
    <row r="73" spans="1:9" s="4" customFormat="1" ht="15" customHeight="1" thickBot="1" x14ac:dyDescent="0.25">
      <c r="A73" s="74" t="s">
        <v>16</v>
      </c>
      <c r="B73" s="82">
        <f xml:space="preserve"> 'DATA 2'!B65*'DATA 2'!B72</f>
        <v>322.56369845022323</v>
      </c>
      <c r="C73" s="82">
        <f xml:space="preserve"> 'DATA 2'!C65*'DATA 2'!C72</f>
        <v>321.51300236406621</v>
      </c>
      <c r="D73" s="82">
        <f xml:space="preserve"> 'DATA 2'!D65*'DATA 2'!D72</f>
        <v>400</v>
      </c>
      <c r="E73" s="82">
        <f xml:space="preserve"> 'DATA 2'!E65*'DATA 2'!E72</f>
        <v>503.48936170212767</v>
      </c>
      <c r="F73" s="82">
        <f xml:space="preserve"> 'DATA 2'!F65*'DATA 2'!F72</f>
        <v>559.24340425531921</v>
      </c>
      <c r="G73" s="82">
        <f xml:space="preserve"> 'DATA 2'!G65*'DATA 2'!G72</f>
        <v>651.32805446808527</v>
      </c>
      <c r="H73" s="82">
        <f xml:space="preserve"> 'DATA 2'!H65*'DATA 2'!H72</f>
        <v>802.38747502995386</v>
      </c>
      <c r="I73" s="83">
        <f xml:space="preserve"> 'DATA 2'!I65*'DATA 2'!I72</f>
        <v>1235.6017364604622</v>
      </c>
    </row>
    <row r="74" spans="1:9" s="2" customFormat="1" ht="15" customHeight="1" x14ac:dyDescent="0.2">
      <c r="A74" s="50"/>
      <c r="B74" s="31"/>
      <c r="C74" s="31"/>
      <c r="D74" s="31"/>
      <c r="E74" s="31"/>
      <c r="F74" s="31"/>
      <c r="G74" s="31"/>
      <c r="H74" s="31"/>
      <c r="I74" s="31"/>
    </row>
    <row r="75" spans="1:9" s="2" customFormat="1" ht="15" customHeight="1" x14ac:dyDescent="0.2">
      <c r="A75" s="17"/>
    </row>
    <row r="76" spans="1:9" s="2" customFormat="1" ht="15" customHeight="1" thickBot="1" x14ac:dyDescent="0.25">
      <c r="A76" s="17"/>
    </row>
    <row r="77" spans="1:9" ht="30" customHeight="1" x14ac:dyDescent="0.2">
      <c r="A77" s="142" t="s">
        <v>21</v>
      </c>
      <c r="B77" s="143"/>
      <c r="C77" s="143"/>
      <c r="D77" s="143"/>
      <c r="E77" s="143"/>
      <c r="F77" s="143"/>
      <c r="G77" s="143"/>
      <c r="H77" s="143"/>
      <c r="I77" s="144"/>
    </row>
    <row r="78" spans="1:9" ht="30" customHeight="1" x14ac:dyDescent="0.2">
      <c r="A78" s="84" t="s">
        <v>62</v>
      </c>
      <c r="B78" s="68">
        <v>2013</v>
      </c>
      <c r="C78" s="68">
        <v>2014</v>
      </c>
      <c r="D78" s="68">
        <v>2015</v>
      </c>
      <c r="E78" s="68">
        <v>2016</v>
      </c>
      <c r="F78" s="68">
        <v>2017</v>
      </c>
      <c r="G78" s="68">
        <v>2020</v>
      </c>
      <c r="H78" s="68">
        <v>2023</v>
      </c>
      <c r="I78" s="85">
        <v>2025</v>
      </c>
    </row>
    <row r="79" spans="1:9" ht="15" customHeight="1" x14ac:dyDescent="0.2">
      <c r="A79" s="86" t="s">
        <v>36</v>
      </c>
      <c r="B79" s="66">
        <f t="shared" ref="B79:I79" si="5">B57</f>
        <v>380.20497471074384</v>
      </c>
      <c r="C79" s="66">
        <f t="shared" si="5"/>
        <v>425.74254545454545</v>
      </c>
      <c r="D79" s="66">
        <f t="shared" si="5"/>
        <v>457.26961538461535</v>
      </c>
      <c r="E79" s="66">
        <f t="shared" si="5"/>
        <v>531.43380000000002</v>
      </c>
      <c r="F79" s="66">
        <f t="shared" si="5"/>
        <v>575.49202060000016</v>
      </c>
      <c r="G79" s="66">
        <f t="shared" si="5"/>
        <v>743.575055625</v>
      </c>
      <c r="H79" s="66">
        <f t="shared" si="5"/>
        <v>846.40701650000005</v>
      </c>
      <c r="I79" s="77">
        <f t="shared" si="5"/>
        <v>908.32832374999998</v>
      </c>
    </row>
    <row r="80" spans="1:9" ht="15" customHeight="1" x14ac:dyDescent="0.2">
      <c r="A80" s="86" t="s">
        <v>15</v>
      </c>
      <c r="B80" s="66">
        <f t="shared" ref="B80:I80" si="6">B70+B71+B72</f>
        <v>434.52245263157897</v>
      </c>
      <c r="C80" s="66">
        <f t="shared" si="6"/>
        <v>433.36122352941152</v>
      </c>
      <c r="D80" s="66">
        <f t="shared" si="6"/>
        <v>462.98121695078959</v>
      </c>
      <c r="E80" s="66">
        <f t="shared" si="6"/>
        <v>470.64398330709611</v>
      </c>
      <c r="F80" s="66">
        <f t="shared" si="6"/>
        <v>478.06375189815515</v>
      </c>
      <c r="G80" s="66">
        <f t="shared" si="6"/>
        <v>575.92394216885248</v>
      </c>
      <c r="H80" s="66">
        <f t="shared" si="6"/>
        <v>744.04973280957358</v>
      </c>
      <c r="I80" s="77">
        <f t="shared" si="6"/>
        <v>1166.3342822845202</v>
      </c>
    </row>
    <row r="81" spans="1:9" ht="15" customHeight="1" x14ac:dyDescent="0.2">
      <c r="A81" s="86" t="s">
        <v>16</v>
      </c>
      <c r="B81" s="66">
        <f t="shared" ref="B81:I81" si="7">B73</f>
        <v>322.56369845022323</v>
      </c>
      <c r="C81" s="66">
        <f t="shared" si="7"/>
        <v>321.51300236406621</v>
      </c>
      <c r="D81" s="66">
        <f t="shared" si="7"/>
        <v>400</v>
      </c>
      <c r="E81" s="66">
        <f t="shared" si="7"/>
        <v>503.48936170212767</v>
      </c>
      <c r="F81" s="66">
        <f t="shared" si="7"/>
        <v>559.24340425531921</v>
      </c>
      <c r="G81" s="66">
        <f t="shared" si="7"/>
        <v>651.32805446808527</v>
      </c>
      <c r="H81" s="66">
        <f t="shared" si="7"/>
        <v>802.38747502995386</v>
      </c>
      <c r="I81" s="77">
        <f t="shared" si="7"/>
        <v>1235.6017364604622</v>
      </c>
    </row>
    <row r="82" spans="1:9" ht="15" customHeight="1" x14ac:dyDescent="0.2">
      <c r="A82" s="84" t="s">
        <v>68</v>
      </c>
      <c r="B82" s="66">
        <f t="shared" ref="B82:I82" si="8">SUM(B79:B81)</f>
        <v>1137.2911257925462</v>
      </c>
      <c r="C82" s="66">
        <f t="shared" si="8"/>
        <v>1180.6167713480231</v>
      </c>
      <c r="D82" s="66">
        <f t="shared" si="8"/>
        <v>1320.250832335405</v>
      </c>
      <c r="E82" s="66">
        <f t="shared" si="8"/>
        <v>1505.5671450092236</v>
      </c>
      <c r="F82" s="66">
        <f t="shared" si="8"/>
        <v>1612.7991767534745</v>
      </c>
      <c r="G82" s="66">
        <f t="shared" si="8"/>
        <v>1970.8270522619378</v>
      </c>
      <c r="H82" s="66">
        <f t="shared" si="8"/>
        <v>2392.8442243395275</v>
      </c>
      <c r="I82" s="77">
        <f t="shared" si="8"/>
        <v>3310.2643424949824</v>
      </c>
    </row>
    <row r="83" spans="1:9" ht="15" customHeight="1" x14ac:dyDescent="0.2">
      <c r="A83" s="84" t="s">
        <v>72</v>
      </c>
      <c r="B83" s="69">
        <f>B82/'DATA 2'!B12</f>
        <v>1.0652443869271173E-2</v>
      </c>
      <c r="C83" s="69">
        <f>C82/'DATA 2'!C12</f>
        <v>1.0927316434595054E-2</v>
      </c>
      <c r="D83" s="69">
        <f>D82/'DATA 2'!D12</f>
        <v>1.2098597226478219E-2</v>
      </c>
      <c r="E83" s="69">
        <f>E82/'DATA 2'!E12</f>
        <v>1.3660208369860575E-2</v>
      </c>
      <c r="F83" s="69">
        <f>F82/'DATA 2'!F12</f>
        <v>1.448825611106533E-2</v>
      </c>
      <c r="G83" s="69">
        <f>G82/'DATA 2'!G12</f>
        <v>1.7183839788871811E-2</v>
      </c>
      <c r="H83" s="69">
        <f>H82/'DATA 2'!H12</f>
        <v>2.0249859084455486E-2</v>
      </c>
      <c r="I83" s="87">
        <f>I82/'DATA 2'!I12</f>
        <v>2.74617056005226E-2</v>
      </c>
    </row>
    <row r="84" spans="1:9" ht="15" customHeight="1" x14ac:dyDescent="0.2">
      <c r="A84" s="84" t="s">
        <v>70</v>
      </c>
      <c r="B84" s="66">
        <f t="shared" ref="B84:I84" si="9">B37</f>
        <v>889.00851402742694</v>
      </c>
      <c r="C84" s="66">
        <f t="shared" si="9"/>
        <v>961.65191892506755</v>
      </c>
      <c r="D84" s="66">
        <f t="shared" si="9"/>
        <v>1052.735857519815</v>
      </c>
      <c r="E84" s="66">
        <f t="shared" si="9"/>
        <v>1166.8531539252965</v>
      </c>
      <c r="F84" s="66">
        <f t="shared" si="9"/>
        <v>1338.4776097942588</v>
      </c>
      <c r="G84" s="66">
        <f t="shared" si="9"/>
        <v>1681.5218170540693</v>
      </c>
      <c r="H84" s="66">
        <f t="shared" si="9"/>
        <v>2041.220087871749</v>
      </c>
      <c r="I84" s="77">
        <f t="shared" si="9"/>
        <v>2413.1786099428582</v>
      </c>
    </row>
    <row r="85" spans="1:9" ht="15" customHeight="1" x14ac:dyDescent="0.2">
      <c r="A85" s="84" t="s">
        <v>69</v>
      </c>
      <c r="B85" s="69">
        <f>B84/'DATA 2'!B12</f>
        <v>8.3269033585238652E-3</v>
      </c>
      <c r="C85" s="69">
        <f>C84/'DATA 2'!C12</f>
        <v>8.9006653751254588E-3</v>
      </c>
      <c r="D85" s="69">
        <f>D84/'DATA 2'!D12</f>
        <v>9.647126753537778E-3</v>
      </c>
      <c r="E85" s="69">
        <f>E84/'DATA 2'!E12</f>
        <v>1.0587011859607824E-2</v>
      </c>
      <c r="F85" s="69">
        <f>F84/'DATA 2'!F12</f>
        <v>1.2023943643536466E-2</v>
      </c>
      <c r="G85" s="69">
        <f>G84/'DATA 2'!G12</f>
        <v>1.4661358272196771E-2</v>
      </c>
      <c r="H85" s="69">
        <f>H84/'DATA 2'!H12</f>
        <v>1.7274178870198657E-2</v>
      </c>
      <c r="I85" s="87">
        <f>I84/'DATA 2'!I12</f>
        <v>2.001954940486134E-2</v>
      </c>
    </row>
    <row r="86" spans="1:9" ht="15" customHeight="1" x14ac:dyDescent="0.2">
      <c r="A86" s="81" t="s">
        <v>71</v>
      </c>
      <c r="B86" s="68">
        <f t="shared" ref="B86:I86" si="10">B82+B84</f>
        <v>2026.299639819973</v>
      </c>
      <c r="C86" s="68">
        <f t="shared" si="10"/>
        <v>2142.2686902730907</v>
      </c>
      <c r="D86" s="68">
        <f t="shared" si="10"/>
        <v>2372.98668985522</v>
      </c>
      <c r="E86" s="68">
        <f t="shared" si="10"/>
        <v>2672.4202989345204</v>
      </c>
      <c r="F86" s="68">
        <f t="shared" si="10"/>
        <v>2951.2767865477335</v>
      </c>
      <c r="G86" s="68">
        <f t="shared" si="10"/>
        <v>3652.348869316007</v>
      </c>
      <c r="H86" s="68">
        <f t="shared" si="10"/>
        <v>4434.064312211276</v>
      </c>
      <c r="I86" s="85">
        <f t="shared" si="10"/>
        <v>5723.4429524378411</v>
      </c>
    </row>
    <row r="87" spans="1:9" ht="15" customHeight="1" x14ac:dyDescent="0.2">
      <c r="A87" s="81" t="s">
        <v>40</v>
      </c>
      <c r="B87" s="70">
        <f>B86/'DATA 2'!B12</f>
        <v>1.8979347227795037E-2</v>
      </c>
      <c r="C87" s="70">
        <f>C86/'DATA 2'!C12</f>
        <v>1.9827981809720514E-2</v>
      </c>
      <c r="D87" s="70">
        <f>D86/'DATA 2'!D12</f>
        <v>2.1745723980015997E-2</v>
      </c>
      <c r="E87" s="70">
        <f>E86/'DATA 2'!E12</f>
        <v>2.4247220229468402E-2</v>
      </c>
      <c r="F87" s="70">
        <f>F86/'DATA 2'!F12</f>
        <v>2.6512199754601798E-2</v>
      </c>
      <c r="G87" s="70">
        <f>G86/'DATA 2'!G12</f>
        <v>3.1845198061068579E-2</v>
      </c>
      <c r="H87" s="70">
        <f>H86/'DATA 2'!H12</f>
        <v>3.7524037954654144E-2</v>
      </c>
      <c r="I87" s="88">
        <f>I86/'DATA 2'!I12</f>
        <v>4.7481255005383943E-2</v>
      </c>
    </row>
    <row r="88" spans="1:9" ht="15" customHeight="1" x14ac:dyDescent="0.2">
      <c r="A88" s="84" t="s">
        <v>63</v>
      </c>
      <c r="B88" s="66">
        <f xml:space="preserve"> B82*0.62</f>
        <v>705.12049799137856</v>
      </c>
      <c r="C88" s="66">
        <f>C82*0.61</f>
        <v>720.17623052229408</v>
      </c>
      <c r="D88" s="66">
        <f>D82*0.61</f>
        <v>805.35300772459698</v>
      </c>
      <c r="E88" s="66">
        <f>E82*0.61</f>
        <v>918.39595845562644</v>
      </c>
      <c r="F88" s="66">
        <f>F82*0.6</f>
        <v>967.67950605208466</v>
      </c>
      <c r="G88" s="66">
        <f>G82*0.59</f>
        <v>1162.7879608345431</v>
      </c>
      <c r="H88" s="66">
        <f>H82*0.59</f>
        <v>1411.7780923603211</v>
      </c>
      <c r="I88" s="77">
        <f>I82*0.58</f>
        <v>1919.9533186470896</v>
      </c>
    </row>
    <row r="89" spans="1:9" ht="15" customHeight="1" x14ac:dyDescent="0.2">
      <c r="A89" s="84" t="s">
        <v>37</v>
      </c>
      <c r="B89" s="66">
        <f xml:space="preserve"> B84*0.62</f>
        <v>551.18527869700472</v>
      </c>
      <c r="C89" s="66">
        <f xml:space="preserve"> C84*0.61</f>
        <v>586.60767054429118</v>
      </c>
      <c r="D89" s="66">
        <f xml:space="preserve"> D84*0.61</f>
        <v>642.16887308708715</v>
      </c>
      <c r="E89" s="66">
        <f xml:space="preserve"> E84*0.61</f>
        <v>711.7804238944309</v>
      </c>
      <c r="F89" s="66">
        <f xml:space="preserve"> F84*0.6</f>
        <v>803.08656587655526</v>
      </c>
      <c r="G89" s="66">
        <f xml:space="preserve"> G84*0.59</f>
        <v>992.09787206190083</v>
      </c>
      <c r="H89" s="66">
        <f xml:space="preserve"> H84*0.59</f>
        <v>1204.3198518443319</v>
      </c>
      <c r="I89" s="77">
        <f xml:space="preserve"> I84*0.58</f>
        <v>1399.6435937668577</v>
      </c>
    </row>
    <row r="90" spans="1:9" ht="15" customHeight="1" x14ac:dyDescent="0.2">
      <c r="A90" s="81" t="s">
        <v>38</v>
      </c>
      <c r="B90" s="68">
        <f t="shared" ref="B90:I90" si="11">SUM(B88:B89)</f>
        <v>1256.3057766883833</v>
      </c>
      <c r="C90" s="68">
        <f t="shared" si="11"/>
        <v>1306.7839010665853</v>
      </c>
      <c r="D90" s="68">
        <f t="shared" si="11"/>
        <v>1447.5218808116842</v>
      </c>
      <c r="E90" s="68">
        <f t="shared" si="11"/>
        <v>1630.1763823500573</v>
      </c>
      <c r="F90" s="68">
        <f t="shared" si="11"/>
        <v>1770.76607192864</v>
      </c>
      <c r="G90" s="68">
        <f t="shared" si="11"/>
        <v>2154.8858328964438</v>
      </c>
      <c r="H90" s="68">
        <f t="shared" si="11"/>
        <v>2616.0979442046528</v>
      </c>
      <c r="I90" s="85">
        <f t="shared" si="11"/>
        <v>3319.5969124139474</v>
      </c>
    </row>
    <row r="91" spans="1:9" ht="15" customHeight="1" thickBot="1" x14ac:dyDescent="0.25">
      <c r="A91" s="78" t="s">
        <v>39</v>
      </c>
      <c r="B91" s="89">
        <f>B90/'DATA 2'!B13</f>
        <v>2.579683319688672E-2</v>
      </c>
      <c r="C91" s="89">
        <f>C90/'DATA 2'!C13</f>
        <v>2.634644961827793E-2</v>
      </c>
      <c r="D91" s="89">
        <f>D90/'DATA 2'!D13</f>
        <v>2.8663799620033351E-2</v>
      </c>
      <c r="E91" s="89">
        <f>E90/'DATA 2'!E13</f>
        <v>3.1839382467774555E-2</v>
      </c>
      <c r="F91" s="89">
        <f>F90/'DATA 2'!F13</f>
        <v>3.4053193690935388E-2</v>
      </c>
      <c r="G91" s="89">
        <f>G90/'DATA 2'!G13</f>
        <v>3.9905293201785999E-2</v>
      </c>
      <c r="H91" s="89">
        <f>H90/'DATA 2'!H13</f>
        <v>5.1296038121659858E-2</v>
      </c>
      <c r="I91" s="90">
        <f>I90/'DATA 2'!I13</f>
        <v>6.9158269008623902E-2</v>
      </c>
    </row>
    <row r="92" spans="1:9" x14ac:dyDescent="0.2">
      <c r="A92" s="14"/>
    </row>
  </sheetData>
  <mergeCells count="7">
    <mergeCell ref="N26:O26"/>
    <mergeCell ref="A2:B3"/>
    <mergeCell ref="A77:I77"/>
    <mergeCell ref="J26:K26"/>
    <mergeCell ref="L26:M26"/>
    <mergeCell ref="J62:K62"/>
    <mergeCell ref="J63:K63"/>
  </mergeCells>
  <conditionalFormatting sqref="B6:I18">
    <cfRule type="expression" dxfId="56" priority="12">
      <formula>MOD(ROW(),2)</formula>
    </cfRule>
  </conditionalFormatting>
  <conditionalFormatting sqref="B22:I36">
    <cfRule type="expression" dxfId="55" priority="11">
      <formula>MOD(ROW(),2)</formula>
    </cfRule>
  </conditionalFormatting>
  <conditionalFormatting sqref="B41:I46">
    <cfRule type="expression" dxfId="54" priority="10">
      <formula>MOD(ROW(),2)</formula>
    </cfRule>
  </conditionalFormatting>
  <conditionalFormatting sqref="B51:I56">
    <cfRule type="expression" dxfId="53" priority="9">
      <formula>MOD(ROW(),2)</formula>
    </cfRule>
  </conditionalFormatting>
  <conditionalFormatting sqref="B61:I66">
    <cfRule type="expression" dxfId="52" priority="8">
      <formula>MOD(ROW(),2)</formula>
    </cfRule>
  </conditionalFormatting>
  <conditionalFormatting sqref="B70:I73">
    <cfRule type="expression" dxfId="51" priority="7">
      <formula>MOD(ROW(),2)</formula>
    </cfRule>
  </conditionalFormatting>
  <conditionalFormatting sqref="B88:I89">
    <cfRule type="expression" dxfId="50" priority="1">
      <formula>MOD(ROW(),2)</formula>
    </cfRule>
  </conditionalFormatting>
  <conditionalFormatting sqref="B79:I82">
    <cfRule type="expression" dxfId="49" priority="6">
      <formula>MOD(ROW(),2)</formula>
    </cfRule>
  </conditionalFormatting>
  <conditionalFormatting sqref="B83:I83">
    <cfRule type="expression" dxfId="48" priority="5">
      <formula>MOD(ROW(),2)</formula>
    </cfRule>
  </conditionalFormatting>
  <conditionalFormatting sqref="B85:I85">
    <cfRule type="expression" dxfId="47" priority="3">
      <formula>MOD(ROW(),2)</formula>
    </cfRule>
  </conditionalFormatting>
  <conditionalFormatting sqref="B84:I84">
    <cfRule type="expression" dxfId="46" priority="2">
      <formula>MOD(ROW(),2)</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91"/>
  <sheetViews>
    <sheetView zoomScaleNormal="100" workbookViewId="0">
      <selection activeCell="L85" sqref="L85"/>
    </sheetView>
  </sheetViews>
  <sheetFormatPr baseColWidth="10" defaultColWidth="11" defaultRowHeight="12.75" x14ac:dyDescent="0.2"/>
  <cols>
    <col min="1" max="1" width="45.75" style="8" customWidth="1"/>
    <col min="2" max="9" width="7.75" style="8" customWidth="1"/>
    <col min="10" max="10" width="7.625" style="8" customWidth="1"/>
    <col min="11" max="11" width="7.125" style="8" customWidth="1"/>
    <col min="12" max="12" width="14.25" style="8" customWidth="1"/>
    <col min="13" max="13" width="17.375" style="8" customWidth="1"/>
    <col min="14" max="16" width="13.75" style="8" customWidth="1"/>
    <col min="17" max="17" width="11.625" style="8" customWidth="1"/>
    <col min="18" max="18" width="11.25" style="8" customWidth="1"/>
    <col min="19" max="19" width="16.5" style="8" customWidth="1"/>
    <col min="20" max="20" width="13.125" style="8" customWidth="1"/>
    <col min="21" max="21" width="17.5" style="8" customWidth="1"/>
    <col min="22" max="22" width="11.375" style="8" customWidth="1"/>
    <col min="23" max="23" width="29.625" style="8" customWidth="1"/>
    <col min="24" max="16384" width="11" style="8"/>
  </cols>
  <sheetData>
    <row r="1" spans="1:9" ht="13.5" thickBot="1" x14ac:dyDescent="0.25"/>
    <row r="2" spans="1:9" x14ac:dyDescent="0.2">
      <c r="A2" s="108" t="s">
        <v>49</v>
      </c>
      <c r="B2" s="109"/>
    </row>
    <row r="3" spans="1:9" ht="13.5" thickBot="1" x14ac:dyDescent="0.25">
      <c r="A3" s="110"/>
      <c r="B3" s="111"/>
    </row>
    <row r="4" spans="1:9" ht="13.5" thickBot="1" x14ac:dyDescent="0.25"/>
    <row r="5" spans="1:9" ht="30" customHeight="1" x14ac:dyDescent="0.2">
      <c r="A5" s="71" t="s">
        <v>34</v>
      </c>
      <c r="B5" s="64">
        <v>2013</v>
      </c>
      <c r="C5" s="64">
        <v>2014</v>
      </c>
      <c r="D5" s="64">
        <v>2015</v>
      </c>
      <c r="E5" s="64">
        <v>2016</v>
      </c>
      <c r="F5" s="64">
        <v>2017</v>
      </c>
      <c r="G5" s="64">
        <v>2020</v>
      </c>
      <c r="H5" s="64">
        <v>2023</v>
      </c>
      <c r="I5" s="72">
        <v>2025</v>
      </c>
    </row>
    <row r="6" spans="1:9" ht="15" customHeight="1" x14ac:dyDescent="0.2">
      <c r="A6" s="65" t="s">
        <v>0</v>
      </c>
      <c r="B6" s="67">
        <f>'DATA 3'!B19</f>
        <v>134</v>
      </c>
      <c r="C6" s="67">
        <f>'DATA 3'!C19</f>
        <v>134</v>
      </c>
      <c r="D6" s="67">
        <f>'DATA 3'!D19</f>
        <v>113</v>
      </c>
      <c r="E6" s="67">
        <f>'DATA 3'!E19</f>
        <v>103</v>
      </c>
      <c r="F6" s="67">
        <f>'DATA 3'!F19</f>
        <v>103</v>
      </c>
      <c r="G6" s="67">
        <f>'DATA 3'!G19</f>
        <v>90</v>
      </c>
      <c r="H6" s="67">
        <f>'DATA 3'!H19</f>
        <v>80</v>
      </c>
      <c r="I6" s="73">
        <f>'DATA 3'!I19</f>
        <v>70</v>
      </c>
    </row>
    <row r="7" spans="1:9" ht="15" customHeight="1" x14ac:dyDescent="0.2">
      <c r="A7" s="65" t="s">
        <v>1</v>
      </c>
      <c r="B7" s="67">
        <f>'DATA 3'!B20</f>
        <v>135</v>
      </c>
      <c r="C7" s="67">
        <f>'DATA 3'!C20</f>
        <v>128</v>
      </c>
      <c r="D7" s="67">
        <f>'DATA 3'!D20</f>
        <v>120</v>
      </c>
      <c r="E7" s="67">
        <f>'DATA 3'!E20</f>
        <v>114</v>
      </c>
      <c r="F7" s="67">
        <f>'DATA 3'!F20</f>
        <v>109</v>
      </c>
      <c r="G7" s="67">
        <f>'DATA 3'!G20</f>
        <v>100</v>
      </c>
      <c r="H7" s="67">
        <f>'DATA 3'!H20</f>
        <v>90</v>
      </c>
      <c r="I7" s="73">
        <f>'DATA 3'!I20</f>
        <v>80</v>
      </c>
    </row>
    <row r="8" spans="1:9" ht="15" customHeight="1" x14ac:dyDescent="0.2">
      <c r="A8" s="65" t="s">
        <v>25</v>
      </c>
      <c r="B8" s="67">
        <f>'DATA 3'!B21</f>
        <v>181</v>
      </c>
      <c r="C8" s="67">
        <f>'DATA 3'!C21</f>
        <v>174</v>
      </c>
      <c r="D8" s="67">
        <f>'DATA 3'!D21</f>
        <v>163</v>
      </c>
      <c r="E8" s="67">
        <f>'DATA 3'!E21</f>
        <v>155</v>
      </c>
      <c r="F8" s="67">
        <f>'DATA 3'!F21</f>
        <v>163</v>
      </c>
      <c r="G8" s="67">
        <f>'DATA 3'!G21</f>
        <v>160</v>
      </c>
      <c r="H8" s="67">
        <f>'DATA 3'!H21</f>
        <v>155</v>
      </c>
      <c r="I8" s="73">
        <f>'DATA 3'!I21</f>
        <v>150</v>
      </c>
    </row>
    <row r="9" spans="1:9" ht="15" customHeight="1" x14ac:dyDescent="0.2">
      <c r="A9" s="65" t="s">
        <v>8</v>
      </c>
      <c r="B9" s="67">
        <f>'DATA 3'!B22</f>
        <v>969</v>
      </c>
      <c r="C9" s="67">
        <f>'DATA 3'!C22</f>
        <v>1244</v>
      </c>
      <c r="D9" s="67">
        <f>'DATA 3'!D22</f>
        <v>1423</v>
      </c>
      <c r="E9" s="67">
        <f>'DATA 3'!E22</f>
        <v>1495</v>
      </c>
      <c r="F9" s="66">
        <f>'DATA 3'!F22</f>
        <v>1569.75</v>
      </c>
      <c r="G9" s="67">
        <f>'DATA 3'!G22</f>
        <v>1800</v>
      </c>
      <c r="H9" s="67">
        <f>'DATA 3'!H22</f>
        <v>2200</v>
      </c>
      <c r="I9" s="73">
        <f>'DATA 3'!I22</f>
        <v>2500</v>
      </c>
    </row>
    <row r="10" spans="1:9" ht="15" customHeight="1" x14ac:dyDescent="0.2">
      <c r="A10" s="65" t="s">
        <v>3</v>
      </c>
      <c r="B10" s="67">
        <f>'DATA 3'!B23</f>
        <v>220</v>
      </c>
      <c r="C10" s="67">
        <f>'DATA 3'!C23</f>
        <v>230</v>
      </c>
      <c r="D10" s="67">
        <f>'DATA 3'!D23</f>
        <v>208</v>
      </c>
      <c r="E10" s="67">
        <f>'DATA 3'!E23</f>
        <v>182</v>
      </c>
      <c r="F10" s="67">
        <f>'DATA 3'!F23</f>
        <v>180</v>
      </c>
      <c r="G10" s="67">
        <f>'DATA 3'!G23</f>
        <v>190</v>
      </c>
      <c r="H10" s="67">
        <f>'DATA 3'!H23</f>
        <v>200</v>
      </c>
      <c r="I10" s="73">
        <f>'DATA 3'!I23</f>
        <v>210</v>
      </c>
    </row>
    <row r="11" spans="1:9" ht="15" customHeight="1" x14ac:dyDescent="0.2">
      <c r="A11" s="65" t="s">
        <v>11</v>
      </c>
      <c r="B11" s="67">
        <f>'DATA 3'!B24</f>
        <v>850</v>
      </c>
      <c r="C11" s="67">
        <f>'DATA 3'!C24</f>
        <v>634</v>
      </c>
      <c r="D11" s="67">
        <f>'DATA 3'!D24</f>
        <v>494</v>
      </c>
      <c r="E11" s="67">
        <f>'DATA 3'!E24</f>
        <v>400</v>
      </c>
      <c r="F11" s="67">
        <f>'DATA 3'!F24</f>
        <v>325</v>
      </c>
      <c r="G11" s="67">
        <f>'DATA 3'!G24</f>
        <v>200</v>
      </c>
      <c r="H11" s="67">
        <f>'DATA 3'!H24</f>
        <v>180</v>
      </c>
      <c r="I11" s="73">
        <f>'DATA 3'!I24</f>
        <v>170</v>
      </c>
    </row>
    <row r="12" spans="1:9" ht="15" customHeight="1" x14ac:dyDescent="0.2">
      <c r="A12" s="65" t="s">
        <v>10</v>
      </c>
      <c r="B12" s="67">
        <f>'DATA 3'!B25</f>
        <v>0</v>
      </c>
      <c r="C12" s="67">
        <f>'DATA 3'!C25</f>
        <v>0</v>
      </c>
      <c r="D12" s="67">
        <f>'DATA 3'!D25</f>
        <v>0</v>
      </c>
      <c r="E12" s="67">
        <f>'DATA 3'!E25</f>
        <v>0</v>
      </c>
      <c r="F12" s="67">
        <f>'DATA 3'!F25</f>
        <v>0</v>
      </c>
      <c r="G12" s="67">
        <f>'DATA 3'!G25</f>
        <v>0</v>
      </c>
      <c r="H12" s="67">
        <f>'DATA 3'!H25</f>
        <v>0</v>
      </c>
      <c r="I12" s="73">
        <f>'DATA 3'!I25</f>
        <v>0</v>
      </c>
    </row>
    <row r="13" spans="1:9" ht="15" customHeight="1" x14ac:dyDescent="0.2">
      <c r="A13" s="65" t="s">
        <v>13</v>
      </c>
      <c r="B13" s="67">
        <f>'DATA 3'!B26</f>
        <v>0</v>
      </c>
      <c r="C13" s="67">
        <f>'DATA 3'!C26</f>
        <v>0</v>
      </c>
      <c r="D13" s="67">
        <f>'DATA 3'!D26</f>
        <v>1000</v>
      </c>
      <c r="E13" s="67">
        <f>'DATA 3'!E26</f>
        <v>2000</v>
      </c>
      <c r="F13" s="67">
        <f>'DATA 3'!F26</f>
        <v>3000</v>
      </c>
      <c r="G13" s="67">
        <f>'DATA 3'!G26</f>
        <v>8000</v>
      </c>
      <c r="H13" s="67">
        <f>'DATA 3'!H26</f>
        <v>16000</v>
      </c>
      <c r="I13" s="73">
        <f>'DATA 3'!I26</f>
        <v>25000</v>
      </c>
    </row>
    <row r="14" spans="1:9" ht="15" customHeight="1" x14ac:dyDescent="0.2">
      <c r="A14" s="65" t="s">
        <v>9</v>
      </c>
      <c r="B14" s="67">
        <f>'DATA 3'!B27</f>
        <v>150</v>
      </c>
      <c r="C14" s="67">
        <f>'DATA 3'!C27</f>
        <v>160</v>
      </c>
      <c r="D14" s="67">
        <f>'DATA 3'!D27</f>
        <v>172</v>
      </c>
      <c r="E14" s="67">
        <f>'DATA 3'!E27</f>
        <v>185</v>
      </c>
      <c r="F14" s="67">
        <f>'DATA 3'!F27</f>
        <v>200</v>
      </c>
      <c r="G14" s="67">
        <f>'DATA 3'!G27</f>
        <v>250</v>
      </c>
      <c r="H14" s="67">
        <f>'DATA 3'!H27</f>
        <v>270</v>
      </c>
      <c r="I14" s="73">
        <f>'DATA 3'!I27</f>
        <v>280</v>
      </c>
    </row>
    <row r="15" spans="1:9" ht="15" customHeight="1" x14ac:dyDescent="0.2">
      <c r="A15" s="65" t="s">
        <v>5</v>
      </c>
      <c r="B15" s="67">
        <f>'DATA 3'!B28</f>
        <v>150</v>
      </c>
      <c r="C15" s="67">
        <f>'DATA 3'!C28</f>
        <v>160</v>
      </c>
      <c r="D15" s="67">
        <f>'DATA 3'!D28</f>
        <v>172</v>
      </c>
      <c r="E15" s="67">
        <f>'DATA 3'!E28</f>
        <v>185</v>
      </c>
      <c r="F15" s="67">
        <f>'DATA 3'!F28</f>
        <v>200</v>
      </c>
      <c r="G15" s="67">
        <f>'DATA 3'!G28</f>
        <v>250</v>
      </c>
      <c r="H15" s="67">
        <f>'DATA 3'!H28</f>
        <v>270</v>
      </c>
      <c r="I15" s="73">
        <f>'DATA 3'!I28</f>
        <v>280</v>
      </c>
    </row>
    <row r="16" spans="1:9" ht="15" customHeight="1" x14ac:dyDescent="0.2">
      <c r="A16" s="65" t="s">
        <v>6</v>
      </c>
      <c r="B16" s="67">
        <f>'DATA 3'!B29</f>
        <v>33</v>
      </c>
      <c r="C16" s="67">
        <f>'DATA 3'!C29</f>
        <v>33</v>
      </c>
      <c r="D16" s="67">
        <f>'DATA 3'!D29</f>
        <v>35</v>
      </c>
      <c r="E16" s="66">
        <f>'DATA 3'!E29</f>
        <v>36.75</v>
      </c>
      <c r="F16" s="66">
        <f>'DATA 3'!F29</f>
        <v>38.587499999999999</v>
      </c>
      <c r="G16" s="67">
        <f>'DATA 3'!G29</f>
        <v>45</v>
      </c>
      <c r="H16" s="67">
        <f>'DATA 3'!H29</f>
        <v>50</v>
      </c>
      <c r="I16" s="73">
        <f>'DATA 3'!I29</f>
        <v>55</v>
      </c>
    </row>
    <row r="17" spans="1:9" ht="15" customHeight="1" x14ac:dyDescent="0.2">
      <c r="A17" s="65" t="s">
        <v>7</v>
      </c>
      <c r="B17" s="67">
        <f>'DATA 3'!B30</f>
        <v>70</v>
      </c>
      <c r="C17" s="67">
        <f>'DATA 3'!C30</f>
        <v>70</v>
      </c>
      <c r="D17" s="67">
        <f>'DATA 3'!D30</f>
        <v>70</v>
      </c>
      <c r="E17" s="67">
        <f>'DATA 3'!E30</f>
        <v>70</v>
      </c>
      <c r="F17" s="67">
        <f>'DATA 3'!F30</f>
        <v>70</v>
      </c>
      <c r="G17" s="67">
        <f>'DATA 3'!G30</f>
        <v>70</v>
      </c>
      <c r="H17" s="67">
        <f>'DATA 3'!H30</f>
        <v>70</v>
      </c>
      <c r="I17" s="73">
        <f>'DATA 3'!I30</f>
        <v>70</v>
      </c>
    </row>
    <row r="18" spans="1:9" ht="15" customHeight="1" thickBot="1" x14ac:dyDescent="0.25">
      <c r="A18" s="74" t="s">
        <v>17</v>
      </c>
      <c r="B18" s="75">
        <f>'DATA 3'!B31</f>
        <v>57</v>
      </c>
      <c r="C18" s="75">
        <f>'DATA 3'!C31</f>
        <v>57</v>
      </c>
      <c r="D18" s="75">
        <f>'DATA 3'!D31</f>
        <v>57</v>
      </c>
      <c r="E18" s="75">
        <f>'DATA 3'!E31</f>
        <v>57</v>
      </c>
      <c r="F18" s="75">
        <f>'DATA 3'!F31</f>
        <v>57</v>
      </c>
      <c r="G18" s="75">
        <f>'DATA 3'!G31</f>
        <v>50</v>
      </c>
      <c r="H18" s="75">
        <f>'DATA 3'!H31</f>
        <v>50</v>
      </c>
      <c r="I18" s="76">
        <f>'DATA 3'!I31</f>
        <v>50</v>
      </c>
    </row>
    <row r="19" spans="1:9" ht="15" customHeight="1" x14ac:dyDescent="0.2">
      <c r="A19" s="31"/>
      <c r="B19" s="53"/>
      <c r="C19" s="53"/>
      <c r="D19" s="53"/>
      <c r="E19" s="53"/>
      <c r="F19" s="53"/>
      <c r="G19" s="54"/>
      <c r="H19" s="54"/>
      <c r="I19" s="62"/>
    </row>
    <row r="20" spans="1:9" ht="15" customHeight="1" thickBot="1" x14ac:dyDescent="0.25">
      <c r="A20" s="51"/>
      <c r="B20" s="45"/>
      <c r="C20" s="45"/>
      <c r="D20" s="45"/>
      <c r="E20" s="45"/>
      <c r="F20" s="45"/>
      <c r="G20" s="45"/>
      <c r="H20" s="45"/>
      <c r="I20" s="45"/>
    </row>
    <row r="21" spans="1:9" ht="30" customHeight="1" x14ac:dyDescent="0.2">
      <c r="A21" s="71" t="s">
        <v>35</v>
      </c>
      <c r="B21" s="64">
        <v>2013</v>
      </c>
      <c r="C21" s="64">
        <v>2014</v>
      </c>
      <c r="D21" s="64">
        <v>2015</v>
      </c>
      <c r="E21" s="64">
        <v>2016</v>
      </c>
      <c r="F21" s="64">
        <v>2017</v>
      </c>
      <c r="G21" s="64">
        <v>2020</v>
      </c>
      <c r="H21" s="64">
        <v>2023</v>
      </c>
      <c r="I21" s="72">
        <v>2025</v>
      </c>
    </row>
    <row r="22" spans="1:9" ht="15" customHeight="1" x14ac:dyDescent="0.2">
      <c r="A22" s="65" t="s">
        <v>0</v>
      </c>
      <c r="B22" s="66">
        <f>B6*'DATA 3'!B35/1000</f>
        <v>100.5</v>
      </c>
      <c r="C22" s="66">
        <f>C6*'DATA 3'!C35/1000</f>
        <v>100.5</v>
      </c>
      <c r="D22" s="66">
        <f>D6*'DATA 3'!D35/1000</f>
        <v>84.75</v>
      </c>
      <c r="E22" s="66">
        <f>E6*'DATA 3'!E35/1000</f>
        <v>77.25</v>
      </c>
      <c r="F22" s="66">
        <f>F6*'DATA 3'!F35/1000</f>
        <v>77.25</v>
      </c>
      <c r="G22" s="66">
        <f>G6*'DATA 3'!G35/1000</f>
        <v>67.5</v>
      </c>
      <c r="H22" s="66">
        <f>H6*'DATA 3'!H35/1000</f>
        <v>60</v>
      </c>
      <c r="I22" s="77">
        <f>I6*'DATA 3'!I35/1000</f>
        <v>52.5</v>
      </c>
    </row>
    <row r="23" spans="1:9" ht="15" customHeight="1" x14ac:dyDescent="0.2">
      <c r="A23" s="65" t="s">
        <v>1</v>
      </c>
      <c r="B23" s="66">
        <f>B7*'DATA 3'!B36/1000</f>
        <v>94.5</v>
      </c>
      <c r="C23" s="66">
        <f>C7*'DATA 3'!C36/1000</f>
        <v>89.6</v>
      </c>
      <c r="D23" s="66">
        <f>D7*'DATA 3'!D36/1000</f>
        <v>84</v>
      </c>
      <c r="E23" s="66">
        <f>E7*'DATA 3'!E36/1000</f>
        <v>85.5</v>
      </c>
      <c r="F23" s="66">
        <f>F7*'DATA 3'!F36/1000</f>
        <v>87.2</v>
      </c>
      <c r="G23" s="66">
        <f>G7*'DATA 3'!G36/1000</f>
        <v>80</v>
      </c>
      <c r="H23" s="66">
        <f>H7*'DATA 3'!H36/1000</f>
        <v>72</v>
      </c>
      <c r="I23" s="77">
        <f>I7*'DATA 3'!I36/1000</f>
        <v>64</v>
      </c>
    </row>
    <row r="24" spans="1:9" ht="15" customHeight="1" x14ac:dyDescent="0.2">
      <c r="A24" s="65" t="s">
        <v>22</v>
      </c>
      <c r="B24" s="66">
        <f>B8*'DATA 3'!B37/1000</f>
        <v>253.4</v>
      </c>
      <c r="C24" s="66">
        <f>C8*'DATA 3'!C37/1000</f>
        <v>243.6</v>
      </c>
      <c r="D24" s="66">
        <f>D8*'DATA 3'!D37/1000</f>
        <v>228.2</v>
      </c>
      <c r="E24" s="66">
        <f>E8*'DATA 3'!E37/1000</f>
        <v>232.5</v>
      </c>
      <c r="F24" s="66">
        <f>F8*'DATA 3'!F37/1000</f>
        <v>260.8</v>
      </c>
      <c r="G24" s="66">
        <f>G8*'DATA 3'!G37/1000</f>
        <v>256</v>
      </c>
      <c r="H24" s="66">
        <f>H8*'DATA 3'!H37/1000</f>
        <v>248</v>
      </c>
      <c r="I24" s="77">
        <f>I8*'DATA 3'!I37/1000</f>
        <v>240</v>
      </c>
    </row>
    <row r="25" spans="1:9" ht="15" customHeight="1" x14ac:dyDescent="0.2">
      <c r="A25" s="65" t="s">
        <v>18</v>
      </c>
      <c r="B25" s="66">
        <f>B9*'DATA 3'!B38/1000</f>
        <v>94.523411371237472</v>
      </c>
      <c r="C25" s="66">
        <f>C9*'DATA 3'!C38/1000</f>
        <v>145.61872909698997</v>
      </c>
      <c r="D25" s="66">
        <f>D9*'DATA 3'!D38/1000</f>
        <v>199.88628762541805</v>
      </c>
      <c r="E25" s="66">
        <f>E9*'DATA 3'!E38/1000</f>
        <v>252</v>
      </c>
      <c r="F25" s="66">
        <f>F9*'DATA 3'!F38/1000</f>
        <v>317.52</v>
      </c>
      <c r="G25" s="66">
        <f>G9*'DATA 3'!G38/1000</f>
        <v>436.31999999999994</v>
      </c>
      <c r="H25" s="66">
        <f>H9*'DATA 3'!H38/1000</f>
        <v>550</v>
      </c>
      <c r="I25" s="77">
        <f>I9*'DATA 3'!I38/1000</f>
        <v>650</v>
      </c>
    </row>
    <row r="26" spans="1:9" ht="15" customHeight="1" x14ac:dyDescent="0.2">
      <c r="A26" s="65" t="s">
        <v>3</v>
      </c>
      <c r="B26" s="66">
        <f>B10*'DATA 3'!B39/1000</f>
        <v>64.381270903010034</v>
      </c>
      <c r="C26" s="66">
        <f>C10*'DATA 3'!C39/1000</f>
        <v>67.307692307692292</v>
      </c>
      <c r="D26" s="66">
        <f>D10*'DATA 3'!D39/1000</f>
        <v>73.043478260869549</v>
      </c>
      <c r="E26" s="66">
        <f>E10*'DATA 3'!E39/1000</f>
        <v>76.695652173913047</v>
      </c>
      <c r="F26" s="66">
        <f>F10*'DATA 3'!F39/1000</f>
        <v>91.023411371237458</v>
      </c>
      <c r="G26" s="66">
        <f>G10*'DATA 3'!G39/1000</f>
        <v>96.080267558528433</v>
      </c>
      <c r="H26" s="66">
        <f>H10*'DATA 3'!H39/1000</f>
        <v>101.13712374581939</v>
      </c>
      <c r="I26" s="77">
        <f>I10*'DATA 3'!I39/1000</f>
        <v>106.19397993311037</v>
      </c>
    </row>
    <row r="27" spans="1:9" ht="15" customHeight="1" x14ac:dyDescent="0.2">
      <c r="A27" s="65" t="s">
        <v>11</v>
      </c>
      <c r="B27" s="66">
        <f>B11*'DATA 3'!B40/1000</f>
        <v>10.199999999999999</v>
      </c>
      <c r="C27" s="66">
        <f>C11*'DATA 3'!C40/1000</f>
        <v>7.6079999999999997</v>
      </c>
      <c r="D27" s="66">
        <f>D11*'DATA 3'!D40/1000</f>
        <v>5.9279999999999999</v>
      </c>
      <c r="E27" s="66">
        <f>E11*'DATA 3'!E40/1000</f>
        <v>4.8</v>
      </c>
      <c r="F27" s="66">
        <f>F11*'DATA 3'!F40/1000</f>
        <v>3.9</v>
      </c>
      <c r="G27" s="66">
        <f>G11*'DATA 3'!G40/1000</f>
        <v>2.4</v>
      </c>
      <c r="H27" s="66">
        <f>H11*'DATA 3'!H40/1000</f>
        <v>2.16</v>
      </c>
      <c r="I27" s="77">
        <f>I11*'DATA 3'!I40/1000</f>
        <v>2.04</v>
      </c>
    </row>
    <row r="28" spans="1:9" ht="15" customHeight="1" x14ac:dyDescent="0.2">
      <c r="A28" s="65" t="s">
        <v>10</v>
      </c>
      <c r="B28" s="66">
        <f>B12*'DATA 3'!B41/1000</f>
        <v>0</v>
      </c>
      <c r="C28" s="66">
        <f>C12*'DATA 3'!C41/1000</f>
        <v>0</v>
      </c>
      <c r="D28" s="66">
        <f>D12*'DATA 3'!D41/1000</f>
        <v>0</v>
      </c>
      <c r="E28" s="66">
        <f>E12*'DATA 3'!E41/1000</f>
        <v>0</v>
      </c>
      <c r="F28" s="66">
        <f>F12*'DATA 3'!F41/1000</f>
        <v>0</v>
      </c>
      <c r="G28" s="66">
        <f>G12*'DATA 3'!G41/1000</f>
        <v>0</v>
      </c>
      <c r="H28" s="66">
        <f>H12*'DATA 3'!H41/1000</f>
        <v>0</v>
      </c>
      <c r="I28" s="77">
        <f>I12*'DATA 3'!I41/1000</f>
        <v>0</v>
      </c>
    </row>
    <row r="29" spans="1:9" ht="15" customHeight="1" x14ac:dyDescent="0.2">
      <c r="A29" s="65" t="s">
        <v>14</v>
      </c>
      <c r="B29" s="66">
        <f>B13*'DATA 3'!B42/1000</f>
        <v>0</v>
      </c>
      <c r="C29" s="66">
        <f>C13*'DATA 3'!C42/1000</f>
        <v>0</v>
      </c>
      <c r="D29" s="66">
        <f>D13*'DATA 3'!D42/1000</f>
        <v>5</v>
      </c>
      <c r="E29" s="66">
        <f>E13*'DATA 3'!E42/1000</f>
        <v>10</v>
      </c>
      <c r="F29" s="66">
        <f>F13*'DATA 3'!F42/1000</f>
        <v>15</v>
      </c>
      <c r="G29" s="66">
        <f>G13*'DATA 3'!G42/1000</f>
        <v>40</v>
      </c>
      <c r="H29" s="66">
        <f>H13*'DATA 3'!H42/1000</f>
        <v>96</v>
      </c>
      <c r="I29" s="77">
        <f>I13*'DATA 3'!I42/1000</f>
        <v>175</v>
      </c>
    </row>
    <row r="30" spans="1:9" ht="15" customHeight="1" x14ac:dyDescent="0.2">
      <c r="A30" s="65" t="s">
        <v>4</v>
      </c>
      <c r="B30" s="66">
        <f>B14*'DATA 3'!B43/1000</f>
        <v>127.84090909090911</v>
      </c>
      <c r="C30" s="66">
        <f>C14*'DATA 3'!C43/1000</f>
        <v>163.63636363636365</v>
      </c>
      <c r="D30" s="66">
        <f>D14*'DATA 3'!D43/1000</f>
        <v>211.09090909090909</v>
      </c>
      <c r="E30" s="66">
        <f>E14*'DATA 3'!E43/1000</f>
        <v>249.75</v>
      </c>
      <c r="F30" s="66">
        <f>F14*'DATA 3'!F43/1000</f>
        <v>297.00000000000006</v>
      </c>
      <c r="G30" s="66">
        <f>G14*'DATA 3'!G43/1000</f>
        <v>494.13375000000013</v>
      </c>
      <c r="H30" s="66">
        <f>H14*'DATA 3'!H43/1000</f>
        <v>710.30738295000049</v>
      </c>
      <c r="I30" s="77">
        <f>I14*'DATA 3'!I43/1000</f>
        <v>891.3042271980006</v>
      </c>
    </row>
    <row r="31" spans="1:9" ht="15" customHeight="1" x14ac:dyDescent="0.2">
      <c r="A31" s="65" t="s">
        <v>5</v>
      </c>
      <c r="B31" s="66">
        <f>B15*'DATA 3'!B44/1000</f>
        <v>6.75</v>
      </c>
      <c r="C31" s="66">
        <f>C15*'DATA 3'!C44/1000</f>
        <v>7.2</v>
      </c>
      <c r="D31" s="66">
        <f>D15*'DATA 3'!D44/1000</f>
        <v>7.74</v>
      </c>
      <c r="E31" s="66">
        <f>E15*'DATA 3'!E44/1000</f>
        <v>8.3249999999999993</v>
      </c>
      <c r="F31" s="66">
        <f>F15*'DATA 3'!F44/1000</f>
        <v>9</v>
      </c>
      <c r="G31" s="66">
        <f>G15*'DATA 3'!G44/1000</f>
        <v>11.25</v>
      </c>
      <c r="H31" s="66">
        <f>H15*'DATA 3'!H44/1000</f>
        <v>12.15</v>
      </c>
      <c r="I31" s="77">
        <f>I15*'DATA 3'!I44/1000</f>
        <v>12.6</v>
      </c>
    </row>
    <row r="32" spans="1:9" ht="15" customHeight="1" x14ac:dyDescent="0.2">
      <c r="A32" s="65" t="s">
        <v>6</v>
      </c>
      <c r="B32" s="66">
        <f>B16*'DATA 3'!B45/1000</f>
        <v>4.95</v>
      </c>
      <c r="C32" s="66">
        <f>C16*'DATA 3'!C45/1000</f>
        <v>4.95</v>
      </c>
      <c r="D32" s="66">
        <f>D16*'DATA 3'!D45/1000</f>
        <v>5.25</v>
      </c>
      <c r="E32" s="66">
        <f>E16*'DATA 3'!E45/1000</f>
        <v>5.5125000000000002</v>
      </c>
      <c r="F32" s="66">
        <f>F16*'DATA 3'!F45/1000</f>
        <v>5.788125</v>
      </c>
      <c r="G32" s="66">
        <f>G16*'DATA 3'!G45/1000</f>
        <v>6.75</v>
      </c>
      <c r="H32" s="66">
        <f>H16*'DATA 3'!H45/1000</f>
        <v>7.5</v>
      </c>
      <c r="I32" s="77">
        <f>I16*'DATA 3'!I45/1000</f>
        <v>8.25</v>
      </c>
    </row>
    <row r="33" spans="1:9" ht="15" customHeight="1" x14ac:dyDescent="0.2">
      <c r="A33" s="65" t="s">
        <v>7</v>
      </c>
      <c r="B33" s="66">
        <f>B17*'DATA 3'!B46/1000</f>
        <v>7</v>
      </c>
      <c r="C33" s="66">
        <f>C17*'DATA 3'!C46/1000</f>
        <v>7</v>
      </c>
      <c r="D33" s="66">
        <f>D17*'DATA 3'!D46/1000</f>
        <v>7</v>
      </c>
      <c r="E33" s="66">
        <f>E17*'DATA 3'!E46/1000</f>
        <v>7</v>
      </c>
      <c r="F33" s="66">
        <f>F17*'DATA 3'!F46/1000</f>
        <v>7</v>
      </c>
      <c r="G33" s="66">
        <f>G17*'DATA 3'!G46/1000</f>
        <v>7</v>
      </c>
      <c r="H33" s="66">
        <f>H17*'DATA 3'!H46/1000</f>
        <v>7</v>
      </c>
      <c r="I33" s="77">
        <f>I17*'DATA 3'!I46/1000</f>
        <v>7</v>
      </c>
    </row>
    <row r="34" spans="1:9" ht="15" customHeight="1" x14ac:dyDescent="0.2">
      <c r="A34" s="65" t="s">
        <v>17</v>
      </c>
      <c r="B34" s="66">
        <f>B18*'DATA 3'!B47/1000</f>
        <v>11.4</v>
      </c>
      <c r="C34" s="66">
        <f>C18*'DATA 3'!C47/1000</f>
        <v>11.4</v>
      </c>
      <c r="D34" s="66">
        <f>D18*'DATA 3'!D47/1000</f>
        <v>11.4</v>
      </c>
      <c r="E34" s="66">
        <f>E18*'DATA 3'!E47/1000</f>
        <v>11.4</v>
      </c>
      <c r="F34" s="66">
        <f>F18*'DATA 3'!F47/1000</f>
        <v>11.4</v>
      </c>
      <c r="G34" s="66">
        <f>G18*'DATA 3'!G47/1000</f>
        <v>10</v>
      </c>
      <c r="H34" s="66">
        <f>H18*'DATA 3'!H47/1000</f>
        <v>10</v>
      </c>
      <c r="I34" s="77">
        <f>I18*'DATA 3'!I47/1000</f>
        <v>10</v>
      </c>
    </row>
    <row r="35" spans="1:9" ht="15" customHeight="1" x14ac:dyDescent="0.2">
      <c r="A35" s="65" t="s">
        <v>15</v>
      </c>
      <c r="B35" s="66">
        <f>0.15*(B70+B71+B72)</f>
        <v>65.178367894736837</v>
      </c>
      <c r="C35" s="66">
        <f t="shared" ref="C35:I35" si="0">0.15*(C70+C71+C72)</f>
        <v>65.004183529411719</v>
      </c>
      <c r="D35" s="66">
        <f t="shared" si="0"/>
        <v>69.447182542618435</v>
      </c>
      <c r="E35" s="66">
        <f t="shared" si="0"/>
        <v>70.596597496064419</v>
      </c>
      <c r="F35" s="66">
        <f t="shared" si="0"/>
        <v>71.709562784723275</v>
      </c>
      <c r="G35" s="66">
        <f t="shared" si="0"/>
        <v>86.388591325327866</v>
      </c>
      <c r="H35" s="66">
        <f t="shared" si="0"/>
        <v>131.98533672876619</v>
      </c>
      <c r="I35" s="77">
        <f t="shared" si="0"/>
        <v>234.33550676285165</v>
      </c>
    </row>
    <row r="36" spans="1:9" ht="15" customHeight="1" x14ac:dyDescent="0.2">
      <c r="A36" s="65" t="s">
        <v>16</v>
      </c>
      <c r="B36" s="66">
        <f>0.15*B73</f>
        <v>48.38455476753348</v>
      </c>
      <c r="C36" s="66">
        <f t="shared" ref="C36:I36" si="1">0.15*C73</f>
        <v>48.226950354609933</v>
      </c>
      <c r="D36" s="66">
        <f t="shared" si="1"/>
        <v>60</v>
      </c>
      <c r="E36" s="66">
        <f t="shared" si="1"/>
        <v>75.52340425531915</v>
      </c>
      <c r="F36" s="66">
        <f t="shared" si="1"/>
        <v>83.886510638297878</v>
      </c>
      <c r="G36" s="66">
        <f t="shared" si="1"/>
        <v>97.699208170212785</v>
      </c>
      <c r="H36" s="66">
        <f t="shared" si="1"/>
        <v>152.09673550492644</v>
      </c>
      <c r="I36" s="77">
        <f t="shared" si="1"/>
        <v>306.02652918512888</v>
      </c>
    </row>
    <row r="37" spans="1:9" ht="15" customHeight="1" thickBot="1" x14ac:dyDescent="0.25">
      <c r="A37" s="78" t="s">
        <v>12</v>
      </c>
      <c r="B37" s="79">
        <f t="shared" ref="B37:I37" si="2">SUM(B22:B36)</f>
        <v>889.00851402742694</v>
      </c>
      <c r="C37" s="79">
        <f t="shared" si="2"/>
        <v>961.65191892506755</v>
      </c>
      <c r="D37" s="79">
        <f t="shared" si="2"/>
        <v>1052.735857519815</v>
      </c>
      <c r="E37" s="79">
        <f t="shared" si="2"/>
        <v>1166.8531539252965</v>
      </c>
      <c r="F37" s="79">
        <f t="shared" si="2"/>
        <v>1338.4776097942588</v>
      </c>
      <c r="G37" s="79">
        <f t="shared" si="2"/>
        <v>1691.5218170540693</v>
      </c>
      <c r="H37" s="79">
        <f t="shared" si="2"/>
        <v>2160.3365789295126</v>
      </c>
      <c r="I37" s="80">
        <f t="shared" si="2"/>
        <v>2759.2502430790914</v>
      </c>
    </row>
    <row r="38" spans="1:9" ht="15" customHeight="1" x14ac:dyDescent="0.2">
      <c r="A38" s="51"/>
      <c r="B38" s="45"/>
      <c r="C38" s="45"/>
      <c r="D38" s="52"/>
      <c r="E38" s="45"/>
      <c r="F38" s="45"/>
      <c r="G38" s="45"/>
      <c r="H38" s="45"/>
      <c r="I38" s="45"/>
    </row>
    <row r="39" spans="1:9" ht="15" customHeight="1" thickBot="1" x14ac:dyDescent="0.25">
      <c r="A39" s="32"/>
      <c r="B39" s="54"/>
      <c r="C39" s="54"/>
      <c r="D39" s="50"/>
      <c r="E39" s="50"/>
      <c r="F39" s="50"/>
      <c r="G39" s="54"/>
      <c r="H39" s="54"/>
      <c r="I39" s="50"/>
    </row>
    <row r="40" spans="1:9" ht="30" customHeight="1" x14ac:dyDescent="0.2">
      <c r="A40" s="71" t="s">
        <v>23</v>
      </c>
      <c r="B40" s="64">
        <v>2013</v>
      </c>
      <c r="C40" s="64">
        <v>2014</v>
      </c>
      <c r="D40" s="64">
        <v>2015</v>
      </c>
      <c r="E40" s="64">
        <v>2016</v>
      </c>
      <c r="F40" s="64">
        <v>2017</v>
      </c>
      <c r="G40" s="64">
        <v>2020</v>
      </c>
      <c r="H40" s="64">
        <v>2023</v>
      </c>
      <c r="I40" s="72">
        <v>2025</v>
      </c>
    </row>
    <row r="41" spans="1:9" ht="15" customHeight="1" x14ac:dyDescent="0.2">
      <c r="A41" s="65" t="s">
        <v>24</v>
      </c>
      <c r="B41" s="66">
        <f>$B$47*0.122</f>
        <v>1500.6</v>
      </c>
      <c r="C41" s="66">
        <f>$C$47*0.11</f>
        <v>1540</v>
      </c>
      <c r="D41" s="66">
        <f>E41/0.975</f>
        <v>1403.0769230769231</v>
      </c>
      <c r="E41" s="66">
        <f>0.08*$E$47</f>
        <v>1368</v>
      </c>
      <c r="F41" s="66">
        <f xml:space="preserve"> E41*0.975</f>
        <v>1333.8</v>
      </c>
      <c r="G41" s="66">
        <f>0.05*$G$47</f>
        <v>1250</v>
      </c>
      <c r="H41" s="66">
        <v>1190</v>
      </c>
      <c r="I41" s="77">
        <v>1150</v>
      </c>
    </row>
    <row r="42" spans="1:9" ht="15" customHeight="1" x14ac:dyDescent="0.2">
      <c r="A42" s="65" t="s">
        <v>2</v>
      </c>
      <c r="B42" s="66">
        <f xml:space="preserve"> $B$47*0.141</f>
        <v>1734.2999999999997</v>
      </c>
      <c r="C42" s="66">
        <f xml:space="preserve"> $C$47*0.15</f>
        <v>2100</v>
      </c>
      <c r="D42" s="66">
        <f xml:space="preserve"> $D$47*0.19</f>
        <v>2945</v>
      </c>
      <c r="E42" s="66">
        <f>0.21*$E$47</f>
        <v>3591</v>
      </c>
      <c r="F42" s="66">
        <f>E42*1.11</f>
        <v>3986.01</v>
      </c>
      <c r="G42" s="66">
        <f>0.23*$G$47</f>
        <v>5750</v>
      </c>
      <c r="H42" s="66">
        <v>6200</v>
      </c>
      <c r="I42" s="77">
        <v>6500</v>
      </c>
    </row>
    <row r="43" spans="1:9" ht="15" customHeight="1" x14ac:dyDescent="0.2">
      <c r="A43" s="65" t="s">
        <v>3</v>
      </c>
      <c r="B43" s="66">
        <f xml:space="preserve"> $B$47*0.023</f>
        <v>282.89999999999998</v>
      </c>
      <c r="C43" s="66">
        <f>$C$47*0.03</f>
        <v>420</v>
      </c>
      <c r="D43" s="66">
        <f>$D$47*0.03</f>
        <v>465</v>
      </c>
      <c r="E43" s="66">
        <f>0.03*$E$47</f>
        <v>513</v>
      </c>
      <c r="F43" s="66">
        <f>E43+200</f>
        <v>713</v>
      </c>
      <c r="G43" s="66">
        <f>0.03*$G$47</f>
        <v>750</v>
      </c>
      <c r="H43" s="66">
        <v>780</v>
      </c>
      <c r="I43" s="77">
        <v>800</v>
      </c>
    </row>
    <row r="44" spans="1:9" ht="15" customHeight="1" x14ac:dyDescent="0.2">
      <c r="A44" s="65" t="s">
        <v>11</v>
      </c>
      <c r="B44" s="66">
        <f>$B$47*0.376</f>
        <v>4624.8</v>
      </c>
      <c r="C44" s="66">
        <f>$C$47*0.32</f>
        <v>4480</v>
      </c>
      <c r="D44" s="66">
        <f>$D$47*0.24</f>
        <v>3720</v>
      </c>
      <c r="E44" s="66">
        <f>0.19*$E$47</f>
        <v>3249</v>
      </c>
      <c r="F44" s="66">
        <f>E44- (F42-E42)</f>
        <v>2853.99</v>
      </c>
      <c r="G44" s="66">
        <f>0.06*$G$47</f>
        <v>1500</v>
      </c>
      <c r="H44" s="66">
        <v>1300</v>
      </c>
      <c r="I44" s="77">
        <v>1200</v>
      </c>
    </row>
    <row r="45" spans="1:9" ht="15" customHeight="1" x14ac:dyDescent="0.2">
      <c r="A45" s="65" t="s">
        <v>13</v>
      </c>
      <c r="B45" s="66">
        <f>$B$47*0.186</f>
        <v>2287.8000000000002</v>
      </c>
      <c r="C45" s="66">
        <f>$C$47*0.24</f>
        <v>3360</v>
      </c>
      <c r="D45" s="66">
        <f>$D$47*0.3</f>
        <v>4650</v>
      </c>
      <c r="E45" s="66">
        <f>0.34*$E$47</f>
        <v>5814</v>
      </c>
      <c r="F45" s="66">
        <f>E45*1.19</f>
        <v>6918.66</v>
      </c>
      <c r="G45" s="66">
        <f>0.5*$G$47</f>
        <v>12500</v>
      </c>
      <c r="H45" s="66">
        <v>20000</v>
      </c>
      <c r="I45" s="77">
        <v>25000</v>
      </c>
    </row>
    <row r="46" spans="1:9" ht="15" customHeight="1" x14ac:dyDescent="0.2">
      <c r="A46" s="65" t="s">
        <v>26</v>
      </c>
      <c r="B46" s="66">
        <f>$B$47*0.11</f>
        <v>1353</v>
      </c>
      <c r="C46" s="66">
        <f>$C$47*0.11</f>
        <v>1540</v>
      </c>
      <c r="D46" s="66">
        <f>$D$47*0.11</f>
        <v>1705</v>
      </c>
      <c r="E46" s="66">
        <f>0.12*$E$47</f>
        <v>2052</v>
      </c>
      <c r="F46" s="66">
        <f>E46*1.09</f>
        <v>2236.6800000000003</v>
      </c>
      <c r="G46" s="66">
        <f>0.12*$G$47</f>
        <v>3000</v>
      </c>
      <c r="H46" s="66">
        <v>3500</v>
      </c>
      <c r="I46" s="77">
        <v>3800</v>
      </c>
    </row>
    <row r="47" spans="1:9" ht="15" customHeight="1" thickBot="1" x14ac:dyDescent="0.25">
      <c r="A47" s="78" t="s">
        <v>12</v>
      </c>
      <c r="B47" s="79">
        <v>12300</v>
      </c>
      <c r="C47" s="79">
        <v>14000</v>
      </c>
      <c r="D47" s="79">
        <v>15500</v>
      </c>
      <c r="E47" s="79">
        <v>17100</v>
      </c>
      <c r="F47" s="79">
        <f>E47*1.1</f>
        <v>18810</v>
      </c>
      <c r="G47" s="79">
        <v>25000</v>
      </c>
      <c r="H47" s="79">
        <f>SUM(H41:H46)</f>
        <v>32970</v>
      </c>
      <c r="I47" s="80">
        <v>38450</v>
      </c>
    </row>
    <row r="48" spans="1:9" ht="15" customHeight="1" x14ac:dyDescent="0.2">
      <c r="A48" s="32"/>
      <c r="B48" s="54"/>
      <c r="C48" s="54"/>
      <c r="D48" s="54"/>
      <c r="E48" s="54"/>
      <c r="F48" s="54"/>
      <c r="G48" s="54"/>
      <c r="H48" s="54"/>
      <c r="I48" s="54"/>
    </row>
    <row r="49" spans="1:9" ht="15" customHeight="1" thickBot="1" x14ac:dyDescent="0.25">
      <c r="A49" s="32"/>
      <c r="B49" s="54"/>
      <c r="C49" s="54"/>
      <c r="D49" s="54"/>
      <c r="E49" s="54"/>
      <c r="F49" s="54"/>
      <c r="G49" s="54"/>
      <c r="H49" s="54"/>
      <c r="I49" s="54"/>
    </row>
    <row r="50" spans="1:9" ht="30" customHeight="1" x14ac:dyDescent="0.2">
      <c r="A50" s="71" t="s">
        <v>61</v>
      </c>
      <c r="B50" s="64">
        <v>2013</v>
      </c>
      <c r="C50" s="64">
        <v>2014</v>
      </c>
      <c r="D50" s="64">
        <v>2015</v>
      </c>
      <c r="E50" s="64">
        <v>2016</v>
      </c>
      <c r="F50" s="64">
        <v>2017</v>
      </c>
      <c r="G50" s="64">
        <v>2020</v>
      </c>
      <c r="H50" s="64">
        <v>2023</v>
      </c>
      <c r="I50" s="72">
        <v>2025</v>
      </c>
    </row>
    <row r="51" spans="1:9" ht="15" customHeight="1" x14ac:dyDescent="0.2">
      <c r="A51" s="65" t="s">
        <v>24</v>
      </c>
      <c r="B51" s="66">
        <f>'DATA 3'!B51*B41/1000</f>
        <v>90.036000000000001</v>
      </c>
      <c r="C51" s="66">
        <f>'DATA 3'!C51*C41/1000</f>
        <v>92.4</v>
      </c>
      <c r="D51" s="66">
        <f>'DATA 3'!D51*D41/1000</f>
        <v>84.184615384615384</v>
      </c>
      <c r="E51" s="66">
        <f>'DATA 3'!E51*E41/1000</f>
        <v>82.08</v>
      </c>
      <c r="F51" s="66">
        <f>'DATA 3'!F51*F41/1000</f>
        <v>80.028000000000006</v>
      </c>
      <c r="G51" s="66">
        <f>'DATA 3'!G51*G41/1000</f>
        <v>75</v>
      </c>
      <c r="H51" s="66">
        <f>'DATA 3'!H51*H41/1000</f>
        <v>71.400000000000006</v>
      </c>
      <c r="I51" s="77">
        <f>'DATA 3'!I51*I41/1000</f>
        <v>69</v>
      </c>
    </row>
    <row r="52" spans="1:9" ht="15" customHeight="1" x14ac:dyDescent="0.2">
      <c r="A52" s="65" t="s">
        <v>2</v>
      </c>
      <c r="B52" s="66">
        <f>'DATA 3'!B52*B42/1000</f>
        <v>8.5998347107437993</v>
      </c>
      <c r="C52" s="66">
        <f>'DATA 3'!C52*C42/1000</f>
        <v>11.454545454545453</v>
      </c>
      <c r="D52" s="66">
        <f>'DATA 3'!D52*D42/1000</f>
        <v>17.670000000000002</v>
      </c>
      <c r="E52" s="66">
        <f>'DATA 3'!E52*E42/1000</f>
        <v>23.700600000000001</v>
      </c>
      <c r="F52" s="66">
        <f>'DATA 3'!F52*F42/1000</f>
        <v>28.938432600000006</v>
      </c>
      <c r="G52" s="66">
        <f>'DATA 3'!G52*G42/1000</f>
        <v>48.325055625000019</v>
      </c>
      <c r="H52" s="66">
        <f>'DATA 3'!H52*H42/1000</f>
        <v>52.107016500000022</v>
      </c>
      <c r="I52" s="77">
        <f>'DATA 3'!I52*I42/1000</f>
        <v>54.628323750000021</v>
      </c>
    </row>
    <row r="53" spans="1:9" ht="15" customHeight="1" x14ac:dyDescent="0.2">
      <c r="A53" s="65" t="s">
        <v>3</v>
      </c>
      <c r="B53" s="66">
        <f>'DATA 3'!B53*B43/1000</f>
        <v>5.6580000000000004</v>
      </c>
      <c r="C53" s="66">
        <f>'DATA 3'!C53*C43/1000</f>
        <v>8.4</v>
      </c>
      <c r="D53" s="66">
        <f>'DATA 3'!D53*D43/1000</f>
        <v>9.3000000000000007</v>
      </c>
      <c r="E53" s="66">
        <f>'DATA 3'!E53*E43/1000</f>
        <v>10.26</v>
      </c>
      <c r="F53" s="66">
        <f>'DATA 3'!F53*F43/1000</f>
        <v>14.26</v>
      </c>
      <c r="G53" s="66">
        <f>'DATA 3'!G53*G43/1000</f>
        <v>15</v>
      </c>
      <c r="H53" s="66">
        <f>'DATA 3'!H53*H43/1000</f>
        <v>15.6</v>
      </c>
      <c r="I53" s="77">
        <f>'DATA 3'!I53*I43/1000</f>
        <v>16</v>
      </c>
    </row>
    <row r="54" spans="1:9" ht="15" customHeight="1" x14ac:dyDescent="0.2">
      <c r="A54" s="65" t="s">
        <v>11</v>
      </c>
      <c r="B54" s="66">
        <f>'DATA 3'!B54*B44/1000</f>
        <v>4.6248000000000005</v>
      </c>
      <c r="C54" s="66">
        <f>'DATA 3'!C54*C44/1000</f>
        <v>4.4800000000000004</v>
      </c>
      <c r="D54" s="66">
        <f>'DATA 3'!D54*D44/1000</f>
        <v>3.72</v>
      </c>
      <c r="E54" s="66">
        <f>'DATA 3'!E54*E44/1000</f>
        <v>3.2490000000000001</v>
      </c>
      <c r="F54" s="66">
        <f>'DATA 3'!F54*F44/1000</f>
        <v>2.8539899999999996</v>
      </c>
      <c r="G54" s="66">
        <f>'DATA 3'!G54*G44/1000</f>
        <v>1.5</v>
      </c>
      <c r="H54" s="66">
        <f>'DATA 3'!H54*H44/1000</f>
        <v>1.3</v>
      </c>
      <c r="I54" s="77">
        <f>'DATA 3'!I54*I44/1000</f>
        <v>1.2</v>
      </c>
    </row>
    <row r="55" spans="1:9" ht="15" customHeight="1" x14ac:dyDescent="0.2">
      <c r="A55" s="65" t="s">
        <v>13</v>
      </c>
      <c r="B55" s="66">
        <f>'DATA 3'!B55*B45/1000</f>
        <v>0.68634000000000006</v>
      </c>
      <c r="C55" s="66">
        <f>'DATA 3'!C55*C45/1000</f>
        <v>1.008</v>
      </c>
      <c r="D55" s="66">
        <f>'DATA 3'!D55*D45/1000</f>
        <v>1.395</v>
      </c>
      <c r="E55" s="66">
        <f>'DATA 3'!E55*E45/1000</f>
        <v>1.7442</v>
      </c>
      <c r="F55" s="66">
        <f>'DATA 3'!F55*F45/1000</f>
        <v>2.0755979999999998</v>
      </c>
      <c r="G55" s="66">
        <f>'DATA 3'!G55*G45/1000</f>
        <v>3.75</v>
      </c>
      <c r="H55" s="66">
        <f>'DATA 3'!H55*H45/1000</f>
        <v>6</v>
      </c>
      <c r="I55" s="77">
        <f>'DATA 3'!I55*I45/1000</f>
        <v>7.5</v>
      </c>
    </row>
    <row r="56" spans="1:9" ht="15" customHeight="1" x14ac:dyDescent="0.2">
      <c r="A56" s="65" t="s">
        <v>26</v>
      </c>
      <c r="B56" s="66">
        <f>'DATA 3'!B56*B46/1000</f>
        <v>270.60000000000002</v>
      </c>
      <c r="C56" s="66">
        <f>'DATA 3'!C56*C46/1000</f>
        <v>308</v>
      </c>
      <c r="D56" s="66">
        <f>'DATA 3'!D56*D46/1000</f>
        <v>341</v>
      </c>
      <c r="E56" s="66">
        <f>'DATA 3'!E56*E46/1000</f>
        <v>410.4</v>
      </c>
      <c r="F56" s="66">
        <f>'DATA 3'!F56*F46/1000</f>
        <v>447.33600000000007</v>
      </c>
      <c r="G56" s="66">
        <f>'DATA 3'!G56*G46/1000</f>
        <v>600</v>
      </c>
      <c r="H56" s="66">
        <f>'DATA 3'!H56*H46/1000</f>
        <v>700</v>
      </c>
      <c r="I56" s="77">
        <f>'DATA 3'!I56*I46/1000</f>
        <v>760</v>
      </c>
    </row>
    <row r="57" spans="1:9" ht="15" customHeight="1" thickBot="1" x14ac:dyDescent="0.25">
      <c r="A57" s="78" t="s">
        <v>12</v>
      </c>
      <c r="B57" s="79">
        <f t="shared" ref="B57:G57" si="3">SUM(B51:B56)</f>
        <v>380.20497471074384</v>
      </c>
      <c r="C57" s="79">
        <f t="shared" si="3"/>
        <v>425.74254545454545</v>
      </c>
      <c r="D57" s="79">
        <f t="shared" si="3"/>
        <v>457.26961538461535</v>
      </c>
      <c r="E57" s="79">
        <f t="shared" si="3"/>
        <v>531.43380000000002</v>
      </c>
      <c r="F57" s="79">
        <f t="shared" si="3"/>
        <v>575.49202060000016</v>
      </c>
      <c r="G57" s="79">
        <f t="shared" si="3"/>
        <v>743.575055625</v>
      </c>
      <c r="H57" s="79">
        <f>SUM(H51:H56)</f>
        <v>846.40701650000005</v>
      </c>
      <c r="I57" s="80">
        <f>SUM(I51:I56)</f>
        <v>908.32832374999998</v>
      </c>
    </row>
    <row r="58" spans="1:9" ht="15" customHeight="1" x14ac:dyDescent="0.2">
      <c r="A58" s="51"/>
      <c r="B58" s="45"/>
      <c r="C58" s="45"/>
      <c r="D58" s="45"/>
      <c r="E58" s="45"/>
      <c r="F58" s="45"/>
      <c r="G58" s="45"/>
      <c r="H58" s="45"/>
      <c r="I58" s="45"/>
    </row>
    <row r="59" spans="1:9" ht="15" customHeight="1" thickBot="1" x14ac:dyDescent="0.25">
      <c r="A59" s="51"/>
      <c r="B59" s="45"/>
      <c r="C59" s="45"/>
      <c r="D59" s="45"/>
      <c r="E59" s="45"/>
      <c r="F59" s="45"/>
      <c r="G59" s="45"/>
      <c r="H59" s="45"/>
      <c r="I59" s="45"/>
    </row>
    <row r="60" spans="1:9" ht="30" customHeight="1" x14ac:dyDescent="0.2">
      <c r="A60" s="71" t="s">
        <v>27</v>
      </c>
      <c r="B60" s="64">
        <v>2013</v>
      </c>
      <c r="C60" s="64">
        <v>2014</v>
      </c>
      <c r="D60" s="64">
        <v>2015</v>
      </c>
      <c r="E60" s="64">
        <v>2016</v>
      </c>
      <c r="F60" s="64">
        <v>2017</v>
      </c>
      <c r="G60" s="64">
        <v>2020</v>
      </c>
      <c r="H60" s="64">
        <v>2023</v>
      </c>
      <c r="I60" s="72">
        <v>2025</v>
      </c>
    </row>
    <row r="61" spans="1:9" ht="15" customHeight="1" x14ac:dyDescent="0.2">
      <c r="A61" s="65" t="s">
        <v>33</v>
      </c>
      <c r="B61" s="66">
        <f>'DATA 3'!B60</f>
        <v>342.72</v>
      </c>
      <c r="C61" s="66">
        <f>'DATA 3'!C60</f>
        <v>388.8</v>
      </c>
      <c r="D61" s="66">
        <f>'DATA 3'!D60</f>
        <v>506.48275862068965</v>
      </c>
      <c r="E61" s="66">
        <f>'DATA 3'!E60</f>
        <v>587.52</v>
      </c>
      <c r="F61" s="66">
        <f>'DATA 3'!F60</f>
        <v>681.52319999999997</v>
      </c>
      <c r="G61" s="66">
        <f>'DATA 3'!G60</f>
        <v>1063.7868367871999</v>
      </c>
      <c r="H61" s="66">
        <f>'DATA 3'!H60</f>
        <v>1747.8358140201465</v>
      </c>
      <c r="I61" s="77">
        <f>'DATA 3'!I60</f>
        <v>2871.7501731811494</v>
      </c>
    </row>
    <row r="62" spans="1:9" ht="15" customHeight="1" x14ac:dyDescent="0.2">
      <c r="A62" s="65" t="s">
        <v>30</v>
      </c>
      <c r="B62" s="66">
        <f>'DATA 3'!B61</f>
        <v>250.92</v>
      </c>
      <c r="C62" s="66">
        <f>'DATA 3'!C61</f>
        <v>302.39999999999998</v>
      </c>
      <c r="D62" s="66">
        <f>'DATA 3'!D61</f>
        <v>403.2</v>
      </c>
      <c r="E62" s="66">
        <f>'DATA 3'!E61</f>
        <v>483.84</v>
      </c>
      <c r="F62" s="66">
        <f>'DATA 3'!F61</f>
        <v>580.60799999999995</v>
      </c>
      <c r="G62" s="66">
        <f>'DATA 3'!G61</f>
        <v>1560.3333670528007</v>
      </c>
      <c r="H62" s="66">
        <f>'DATA 3'!H61</f>
        <v>4012.1678843713207</v>
      </c>
      <c r="I62" s="77">
        <f>'DATA 3'!I61</f>
        <v>10316.699925981851</v>
      </c>
    </row>
    <row r="63" spans="1:9" ht="15" customHeight="1" x14ac:dyDescent="0.2">
      <c r="A63" s="65" t="s">
        <v>31</v>
      </c>
      <c r="B63" s="66">
        <f>'DATA 3'!B62</f>
        <v>593.64</v>
      </c>
      <c r="C63" s="66">
        <f>'DATA 3'!C62</f>
        <v>691.2</v>
      </c>
      <c r="D63" s="66">
        <f>'DATA 3'!D62</f>
        <v>909.68275862068958</v>
      </c>
      <c r="E63" s="66">
        <f>'DATA 3'!E62</f>
        <v>1071.3599999999999</v>
      </c>
      <c r="F63" s="66">
        <f>'DATA 3'!F62</f>
        <v>1262.1311999999998</v>
      </c>
      <c r="G63" s="66">
        <f>'DATA 3'!G62</f>
        <v>2624.1202038400006</v>
      </c>
      <c r="H63" s="66">
        <f>'DATA 3'!H62</f>
        <v>5760.003698391467</v>
      </c>
      <c r="I63" s="77">
        <f>'DATA 3'!I62</f>
        <v>13188.450099163001</v>
      </c>
    </row>
    <row r="64" spans="1:9" ht="15" customHeight="1" x14ac:dyDescent="0.2">
      <c r="A64" s="65" t="s">
        <v>32</v>
      </c>
      <c r="B64" s="66">
        <f>'DATA 3'!B63</f>
        <v>16</v>
      </c>
      <c r="C64" s="66">
        <f>'DATA 3'!C63</f>
        <v>28.799999999999955</v>
      </c>
      <c r="D64" s="66">
        <f>'DATA 3'!D63</f>
        <v>58.904109589041099</v>
      </c>
      <c r="E64" s="66">
        <f>'DATA 3'!E63</f>
        <v>86</v>
      </c>
      <c r="F64" s="66">
        <f>'DATA 3'!F63</f>
        <v>125.56</v>
      </c>
      <c r="G64" s="66">
        <f>'DATA 3'!G63</f>
        <v>390.75979615999995</v>
      </c>
      <c r="H64" s="66">
        <f>'DATA 3'!H63</f>
        <v>1372.2733782330572</v>
      </c>
      <c r="I64" s="77">
        <f>'DATA 3'!I63</f>
        <v>4819.1606278658764</v>
      </c>
    </row>
    <row r="65" spans="1:9" ht="15" customHeight="1" x14ac:dyDescent="0.2">
      <c r="A65" s="65" t="s">
        <v>29</v>
      </c>
      <c r="B65" s="66">
        <f>'DATA 3'!B64</f>
        <v>609.64</v>
      </c>
      <c r="C65" s="66">
        <f>'DATA 3'!C64</f>
        <v>720</v>
      </c>
      <c r="D65" s="66">
        <f>'DATA 3'!D64</f>
        <v>968.58686820973071</v>
      </c>
      <c r="E65" s="66">
        <f>'DATA 3'!E64</f>
        <v>1157.3599999999999</v>
      </c>
      <c r="F65" s="66">
        <f>'DATA 3'!F64</f>
        <v>1387.6911999999998</v>
      </c>
      <c r="G65" s="66">
        <f>'DATA 3'!G64</f>
        <v>3014.8800000000006</v>
      </c>
      <c r="H65" s="66">
        <f>'DATA 3'!H64</f>
        <v>7132.2770766245239</v>
      </c>
      <c r="I65" s="77">
        <f>'DATA 3'!I64</f>
        <v>18007.610727028878</v>
      </c>
    </row>
    <row r="66" spans="1:9" ht="15" customHeight="1" thickBot="1" x14ac:dyDescent="0.25">
      <c r="A66" s="74" t="s">
        <v>16</v>
      </c>
      <c r="B66" s="82">
        <f>'DATA 3'!B65</f>
        <v>3070</v>
      </c>
      <c r="C66" s="82">
        <f>'DATA 3'!C65</f>
        <v>3400</v>
      </c>
      <c r="D66" s="82">
        <f>'DATA 3'!D65</f>
        <v>4700</v>
      </c>
      <c r="E66" s="82">
        <f>'DATA 3'!E65</f>
        <v>6800</v>
      </c>
      <c r="F66" s="82">
        <f>'DATA 3'!F65</f>
        <v>9100</v>
      </c>
      <c r="G66" s="82">
        <f>'DATA 3'!G65</f>
        <v>20700</v>
      </c>
      <c r="H66" s="82">
        <f>'DATA 3'!H65</f>
        <v>54401.090399999986</v>
      </c>
      <c r="I66" s="83">
        <f>'DATA 3'!I65</f>
        <v>142969.98244970874</v>
      </c>
    </row>
    <row r="67" spans="1:9" ht="15" customHeight="1" x14ac:dyDescent="0.2">
      <c r="A67" s="54"/>
      <c r="B67" s="45"/>
      <c r="C67" s="45"/>
      <c r="D67" s="45"/>
      <c r="E67" s="45"/>
      <c r="F67" s="45"/>
      <c r="G67" s="45"/>
      <c r="H67" s="45"/>
      <c r="I67" s="45"/>
    </row>
    <row r="68" spans="1:9" ht="15" customHeight="1" thickBot="1" x14ac:dyDescent="0.25">
      <c r="A68" s="54"/>
      <c r="B68" s="55"/>
      <c r="C68" s="55"/>
      <c r="D68" s="55"/>
      <c r="E68" s="55"/>
      <c r="F68" s="55"/>
      <c r="G68" s="55"/>
      <c r="H68" s="55"/>
      <c r="I68" s="55"/>
    </row>
    <row r="69" spans="1:9" ht="30" customHeight="1" x14ac:dyDescent="0.2">
      <c r="A69" s="71" t="s">
        <v>28</v>
      </c>
      <c r="B69" s="64">
        <v>2013</v>
      </c>
      <c r="C69" s="64">
        <v>2014</v>
      </c>
      <c r="D69" s="64">
        <v>2015</v>
      </c>
      <c r="E69" s="64">
        <v>2016</v>
      </c>
      <c r="F69" s="64">
        <v>2017</v>
      </c>
      <c r="G69" s="64">
        <v>2020</v>
      </c>
      <c r="H69" s="64">
        <v>2023</v>
      </c>
      <c r="I69" s="72">
        <v>2025</v>
      </c>
    </row>
    <row r="70" spans="1:9" ht="15" customHeight="1" x14ac:dyDescent="0.2">
      <c r="A70" s="65" t="s">
        <v>33</v>
      </c>
      <c r="B70" s="66">
        <f xml:space="preserve"> 'DATA 3'!B60*'DATA 3'!B69</f>
        <v>224.13888000000003</v>
      </c>
      <c r="C70" s="66">
        <f xml:space="preserve"> 'DATA 3'!C60*'DATA 3'!C69</f>
        <v>229.00319999999999</v>
      </c>
      <c r="D70" s="66">
        <f xml:space="preserve"> 'DATA 3'!D60*'DATA 3'!D69</f>
        <v>268.35887668965523</v>
      </c>
      <c r="E70" s="66">
        <f xml:space="preserve"> 'DATA 3'!E60*'DATA 3'!E69</f>
        <v>280.16666726400007</v>
      </c>
      <c r="F70" s="66">
        <f xml:space="preserve"> 'DATA 3'!F60*'DATA 3'!F69</f>
        <v>292.49400062361605</v>
      </c>
      <c r="G70" s="66">
        <f xml:space="preserve"> 'DATA 3'!G60*'DATA 3'!G69</f>
        <v>332.68975912366574</v>
      </c>
      <c r="H70" s="66">
        <f xml:space="preserve"> 'DATA 3'!H60*'DATA 3'!H69</f>
        <v>425.64637250828042</v>
      </c>
      <c r="I70" s="77">
        <f xml:space="preserve"> 'DATA 3'!I60*'DATA 3'!I69</f>
        <v>591.93035690919726</v>
      </c>
    </row>
    <row r="71" spans="1:9" ht="15" customHeight="1" x14ac:dyDescent="0.2">
      <c r="A71" s="65" t="s">
        <v>30</v>
      </c>
      <c r="B71" s="66">
        <f xml:space="preserve"> 'DATA 3'!B61*'DATA 3'!B70</f>
        <v>57.962519999999998</v>
      </c>
      <c r="C71" s="66">
        <f xml:space="preserve"> 'DATA 3'!C61*'DATA 3'!C70</f>
        <v>62.899199999999993</v>
      </c>
      <c r="D71" s="66">
        <f xml:space="preserve"> 'DATA 3'!D61*'DATA 3'!D70</f>
        <v>75.54072960000002</v>
      </c>
      <c r="E71" s="66">
        <f xml:space="preserve"> 'DATA 3'!E61*'DATA 3'!E70</f>
        <v>81.583987968000031</v>
      </c>
      <c r="F71" s="66">
        <f xml:space="preserve"> 'DATA 3'!F61*'DATA 3'!F70</f>
        <v>88.11070700544002</v>
      </c>
      <c r="G71" s="66">
        <f xml:space="preserve"> 'DATA 3'!G61*'DATA 3'!G70</f>
        <v>172.89741973638675</v>
      </c>
      <c r="H71" s="66">
        <f xml:space="preserve"> 'DATA 3'!H61*'DATA 3'!H70</f>
        <v>346.18934381430756</v>
      </c>
      <c r="I71" s="77">
        <f xml:space="preserve"> 'DATA 3'!I61*'DATA 3'!I70</f>
        <v>753.44412658918293</v>
      </c>
    </row>
    <row r="72" spans="1:9" ht="15" customHeight="1" x14ac:dyDescent="0.2">
      <c r="A72" s="65" t="s">
        <v>32</v>
      </c>
      <c r="B72" s="66">
        <f xml:space="preserve"> 'DATA 3'!B63*'DATA 3'!B71</f>
        <v>152.42105263157896</v>
      </c>
      <c r="C72" s="66">
        <f xml:space="preserve"> 'DATA 3'!C63*'DATA 3'!C71</f>
        <v>141.45882352941155</v>
      </c>
      <c r="D72" s="66">
        <f xml:space="preserve"> 'DATA 3'!D63*'DATA 3'!D71</f>
        <v>119.08161066113433</v>
      </c>
      <c r="E72" s="66">
        <f xml:space="preserve"> 'DATA 3'!E63*'DATA 3'!E71</f>
        <v>108.89332807509602</v>
      </c>
      <c r="F72" s="66">
        <f xml:space="preserve"> 'DATA 3'!F63*'DATA 3'!F71</f>
        <v>97.459044269099081</v>
      </c>
      <c r="G72" s="66">
        <f xml:space="preserve"> 'DATA 3'!G63*'DATA 3'!G71</f>
        <v>70.336763308799988</v>
      </c>
      <c r="H72" s="66">
        <f xml:space="preserve"> 'DATA 3'!H63*'DATA 3'!H71</f>
        <v>108.06652853585325</v>
      </c>
      <c r="I72" s="77">
        <f xml:space="preserve"> 'DATA 3'!I63*'DATA 3'!I71</f>
        <v>216.86222825396439</v>
      </c>
    </row>
    <row r="73" spans="1:9" ht="15" customHeight="1" thickBot="1" x14ac:dyDescent="0.25">
      <c r="A73" s="74" t="s">
        <v>16</v>
      </c>
      <c r="B73" s="82">
        <f xml:space="preserve"> 'DATA 3'!B65*'DATA 3'!B72</f>
        <v>322.56369845022323</v>
      </c>
      <c r="C73" s="82">
        <f xml:space="preserve"> 'DATA 3'!C65*'DATA 3'!C72</f>
        <v>321.51300236406621</v>
      </c>
      <c r="D73" s="82">
        <f xml:space="preserve"> 'DATA 3'!D65*'DATA 3'!D72</f>
        <v>400</v>
      </c>
      <c r="E73" s="82">
        <f xml:space="preserve"> 'DATA 3'!E65*'DATA 3'!E72</f>
        <v>503.48936170212767</v>
      </c>
      <c r="F73" s="82">
        <f xml:space="preserve"> 'DATA 3'!F65*'DATA 3'!F72</f>
        <v>559.24340425531921</v>
      </c>
      <c r="G73" s="82">
        <f xml:space="preserve"> 'DATA 3'!G65*'DATA 3'!G72</f>
        <v>651.32805446808527</v>
      </c>
      <c r="H73" s="82">
        <f xml:space="preserve"> 'DATA 3'!H65*'DATA 3'!H72</f>
        <v>1013.9782366995097</v>
      </c>
      <c r="I73" s="83">
        <f xml:space="preserve"> 'DATA 3'!I65*'DATA 3'!I72</f>
        <v>2040.1768612341928</v>
      </c>
    </row>
    <row r="74" spans="1:9" ht="15" customHeight="1" x14ac:dyDescent="0.2">
      <c r="A74" s="50"/>
      <c r="B74" s="31"/>
      <c r="C74" s="31"/>
      <c r="D74" s="31"/>
      <c r="E74" s="31"/>
      <c r="F74" s="31"/>
      <c r="G74" s="31"/>
      <c r="H74" s="31"/>
      <c r="I74" s="31"/>
    </row>
    <row r="75" spans="1:9" ht="15" customHeight="1" x14ac:dyDescent="0.2">
      <c r="A75" s="17"/>
      <c r="B75" s="2"/>
      <c r="C75" s="2"/>
      <c r="D75" s="2"/>
      <c r="E75" s="2"/>
      <c r="F75" s="2"/>
      <c r="G75" s="2"/>
      <c r="H75" s="2"/>
      <c r="I75" s="2"/>
    </row>
    <row r="76" spans="1:9" ht="15" customHeight="1" thickBot="1" x14ac:dyDescent="0.25">
      <c r="A76" s="17"/>
      <c r="B76" s="2"/>
      <c r="C76" s="2"/>
      <c r="D76" s="2"/>
      <c r="E76" s="2"/>
      <c r="F76" s="2"/>
      <c r="G76" s="2"/>
      <c r="H76" s="2"/>
      <c r="I76" s="2"/>
    </row>
    <row r="77" spans="1:9" ht="30" customHeight="1" x14ac:dyDescent="0.2">
      <c r="A77" s="142" t="s">
        <v>20</v>
      </c>
      <c r="B77" s="143"/>
      <c r="C77" s="143"/>
      <c r="D77" s="143"/>
      <c r="E77" s="143"/>
      <c r="F77" s="143"/>
      <c r="G77" s="143"/>
      <c r="H77" s="143"/>
      <c r="I77" s="144"/>
    </row>
    <row r="78" spans="1:9" ht="30" customHeight="1" x14ac:dyDescent="0.2">
      <c r="A78" s="84" t="s">
        <v>62</v>
      </c>
      <c r="B78" s="68">
        <v>2013</v>
      </c>
      <c r="C78" s="68">
        <v>2014</v>
      </c>
      <c r="D78" s="68">
        <v>2015</v>
      </c>
      <c r="E78" s="68">
        <v>2016</v>
      </c>
      <c r="F78" s="68">
        <v>2017</v>
      </c>
      <c r="G78" s="68">
        <v>2020</v>
      </c>
      <c r="H78" s="68">
        <v>2023</v>
      </c>
      <c r="I78" s="85">
        <v>2025</v>
      </c>
    </row>
    <row r="79" spans="1:9" ht="15" customHeight="1" x14ac:dyDescent="0.2">
      <c r="A79" s="86" t="s">
        <v>36</v>
      </c>
      <c r="B79" s="66">
        <f t="shared" ref="B79:I79" si="4">B57</f>
        <v>380.20497471074384</v>
      </c>
      <c r="C79" s="66">
        <f t="shared" si="4"/>
        <v>425.74254545454545</v>
      </c>
      <c r="D79" s="66">
        <f t="shared" si="4"/>
        <v>457.26961538461535</v>
      </c>
      <c r="E79" s="66">
        <f t="shared" si="4"/>
        <v>531.43380000000002</v>
      </c>
      <c r="F79" s="66">
        <f t="shared" si="4"/>
        <v>575.49202060000016</v>
      </c>
      <c r="G79" s="66">
        <f t="shared" si="4"/>
        <v>743.575055625</v>
      </c>
      <c r="H79" s="66">
        <f t="shared" si="4"/>
        <v>846.40701650000005</v>
      </c>
      <c r="I79" s="77">
        <f t="shared" si="4"/>
        <v>908.32832374999998</v>
      </c>
    </row>
    <row r="80" spans="1:9" ht="15" customHeight="1" x14ac:dyDescent="0.2">
      <c r="A80" s="86" t="s">
        <v>15</v>
      </c>
      <c r="B80" s="66">
        <f t="shared" ref="B80:I80" si="5">B70+B71+B72</f>
        <v>434.52245263157897</v>
      </c>
      <c r="C80" s="66">
        <f t="shared" si="5"/>
        <v>433.36122352941152</v>
      </c>
      <c r="D80" s="66">
        <f t="shared" si="5"/>
        <v>462.98121695078959</v>
      </c>
      <c r="E80" s="66">
        <f t="shared" si="5"/>
        <v>470.64398330709611</v>
      </c>
      <c r="F80" s="66">
        <f t="shared" si="5"/>
        <v>478.06375189815515</v>
      </c>
      <c r="G80" s="66">
        <f t="shared" si="5"/>
        <v>575.92394216885248</v>
      </c>
      <c r="H80" s="66">
        <f t="shared" si="5"/>
        <v>879.90224485844124</v>
      </c>
      <c r="I80" s="77">
        <f t="shared" si="5"/>
        <v>1562.2367117523445</v>
      </c>
    </row>
    <row r="81" spans="1:9" ht="15" customHeight="1" x14ac:dyDescent="0.2">
      <c r="A81" s="86" t="s">
        <v>16</v>
      </c>
      <c r="B81" s="66">
        <f t="shared" ref="B81:I81" si="6">B73</f>
        <v>322.56369845022323</v>
      </c>
      <c r="C81" s="66">
        <f t="shared" si="6"/>
        <v>321.51300236406621</v>
      </c>
      <c r="D81" s="66">
        <f t="shared" si="6"/>
        <v>400</v>
      </c>
      <c r="E81" s="66">
        <f t="shared" si="6"/>
        <v>503.48936170212767</v>
      </c>
      <c r="F81" s="66">
        <f t="shared" si="6"/>
        <v>559.24340425531921</v>
      </c>
      <c r="G81" s="66">
        <f t="shared" si="6"/>
        <v>651.32805446808527</v>
      </c>
      <c r="H81" s="66">
        <f t="shared" si="6"/>
        <v>1013.9782366995097</v>
      </c>
      <c r="I81" s="77">
        <f t="shared" si="6"/>
        <v>2040.1768612341928</v>
      </c>
    </row>
    <row r="82" spans="1:9" ht="15" customHeight="1" x14ac:dyDescent="0.2">
      <c r="A82" s="84" t="s">
        <v>68</v>
      </c>
      <c r="B82" s="66">
        <f t="shared" ref="B82:I82" si="7">SUM(B79:B81)</f>
        <v>1137.2911257925462</v>
      </c>
      <c r="C82" s="66">
        <f t="shared" si="7"/>
        <v>1180.6167713480231</v>
      </c>
      <c r="D82" s="66">
        <f t="shared" si="7"/>
        <v>1320.250832335405</v>
      </c>
      <c r="E82" s="66">
        <f t="shared" si="7"/>
        <v>1505.5671450092236</v>
      </c>
      <c r="F82" s="66">
        <f t="shared" si="7"/>
        <v>1612.7991767534745</v>
      </c>
      <c r="G82" s="66">
        <f t="shared" si="7"/>
        <v>1970.8270522619378</v>
      </c>
      <c r="H82" s="66">
        <f t="shared" si="7"/>
        <v>2740.2874980579509</v>
      </c>
      <c r="I82" s="77">
        <f t="shared" si="7"/>
        <v>4510.7418967365375</v>
      </c>
    </row>
    <row r="83" spans="1:9" ht="15" customHeight="1" x14ac:dyDescent="0.2">
      <c r="A83" s="84" t="s">
        <v>72</v>
      </c>
      <c r="B83" s="69">
        <f>B82/'DATA 3'!B12</f>
        <v>1.0652443869271173E-2</v>
      </c>
      <c r="C83" s="69">
        <f>C82/'DATA 3'!C12</f>
        <v>1.0927316434595054E-2</v>
      </c>
      <c r="D83" s="69">
        <f>D82/'DATA 3'!D12</f>
        <v>1.2098597226478219E-2</v>
      </c>
      <c r="E83" s="69">
        <f>E82/'DATA 3'!E12</f>
        <v>1.3660208369860575E-2</v>
      </c>
      <c r="F83" s="69">
        <f>F82/'DATA 3'!F12</f>
        <v>1.448825611106533E-2</v>
      </c>
      <c r="G83" s="69">
        <f>G82/'DATA 3'!G12</f>
        <v>1.7183839788871811E-2</v>
      </c>
      <c r="H83" s="69">
        <f>H82/'DATA 3'!H12</f>
        <v>2.319015802287968E-2</v>
      </c>
      <c r="I83" s="87">
        <f>I82/'DATA 3'!I12</f>
        <v>3.7420777675645542E-2</v>
      </c>
    </row>
    <row r="84" spans="1:9" ht="15" customHeight="1" x14ac:dyDescent="0.2">
      <c r="A84" s="84" t="s">
        <v>70</v>
      </c>
      <c r="B84" s="66">
        <f t="shared" ref="B84:I84" si="8">B37</f>
        <v>889.00851402742694</v>
      </c>
      <c r="C84" s="66">
        <f t="shared" si="8"/>
        <v>961.65191892506755</v>
      </c>
      <c r="D84" s="66">
        <f t="shared" si="8"/>
        <v>1052.735857519815</v>
      </c>
      <c r="E84" s="66">
        <f t="shared" si="8"/>
        <v>1166.8531539252965</v>
      </c>
      <c r="F84" s="66">
        <f t="shared" si="8"/>
        <v>1338.4776097942588</v>
      </c>
      <c r="G84" s="66">
        <f t="shared" si="8"/>
        <v>1691.5218170540693</v>
      </c>
      <c r="H84" s="66">
        <f t="shared" si="8"/>
        <v>2160.3365789295126</v>
      </c>
      <c r="I84" s="77">
        <f t="shared" si="8"/>
        <v>2759.2502430790914</v>
      </c>
    </row>
    <row r="85" spans="1:9" ht="15" customHeight="1" x14ac:dyDescent="0.2">
      <c r="A85" s="84" t="s">
        <v>69</v>
      </c>
      <c r="B85" s="69">
        <f>B84/'DATA 3'!B12</f>
        <v>8.3269033585238652E-3</v>
      </c>
      <c r="C85" s="69">
        <f>C84/'DATA 3'!C12</f>
        <v>8.9006653751254588E-3</v>
      </c>
      <c r="D85" s="69">
        <f>D84/'DATA 3'!D12</f>
        <v>9.647126753537778E-3</v>
      </c>
      <c r="E85" s="69">
        <f>E84/'DATA 3'!E12</f>
        <v>1.0587011859607824E-2</v>
      </c>
      <c r="F85" s="69">
        <f>F84/'DATA 3'!F12</f>
        <v>1.2023943643536466E-2</v>
      </c>
      <c r="G85" s="69">
        <f>G84/'DATA 3'!G12</f>
        <v>1.474854928050544E-2</v>
      </c>
      <c r="H85" s="69">
        <f>H84/'DATA 3'!H12</f>
        <v>1.82822228264325E-2</v>
      </c>
      <c r="I85" s="87">
        <f>I84/'DATA 3'!I12</f>
        <v>2.2890533810510417E-2</v>
      </c>
    </row>
    <row r="86" spans="1:9" ht="15" customHeight="1" x14ac:dyDescent="0.2">
      <c r="A86" s="81" t="s">
        <v>71</v>
      </c>
      <c r="B86" s="68">
        <f t="shared" ref="B86:I86" si="9">B82+B84</f>
        <v>2026.299639819973</v>
      </c>
      <c r="C86" s="68">
        <f t="shared" si="9"/>
        <v>2142.2686902730907</v>
      </c>
      <c r="D86" s="68">
        <f t="shared" si="9"/>
        <v>2372.98668985522</v>
      </c>
      <c r="E86" s="68">
        <f t="shared" si="9"/>
        <v>2672.4202989345204</v>
      </c>
      <c r="F86" s="68">
        <f t="shared" si="9"/>
        <v>2951.2767865477335</v>
      </c>
      <c r="G86" s="68">
        <f t="shared" si="9"/>
        <v>3662.348869316007</v>
      </c>
      <c r="H86" s="68">
        <f t="shared" si="9"/>
        <v>4900.6240769874639</v>
      </c>
      <c r="I86" s="85">
        <f t="shared" si="9"/>
        <v>7269.9921398156293</v>
      </c>
    </row>
    <row r="87" spans="1:9" ht="15" customHeight="1" x14ac:dyDescent="0.2">
      <c r="A87" s="81" t="s">
        <v>40</v>
      </c>
      <c r="B87" s="70">
        <f>B86/'DATA 3'!B12</f>
        <v>1.8979347227795037E-2</v>
      </c>
      <c r="C87" s="70">
        <f>C86/'DATA 3'!C12</f>
        <v>1.9827981809720514E-2</v>
      </c>
      <c r="D87" s="70">
        <f>D86/'DATA 3'!D12</f>
        <v>2.1745723980015997E-2</v>
      </c>
      <c r="E87" s="70">
        <f>E86/'DATA 3'!E12</f>
        <v>2.4247220229468402E-2</v>
      </c>
      <c r="F87" s="70">
        <f>F86/'DATA 3'!F12</f>
        <v>2.6512199754601798E-2</v>
      </c>
      <c r="G87" s="70">
        <f>G86/'DATA 3'!G12</f>
        <v>3.1932389069377246E-2</v>
      </c>
      <c r="H87" s="70">
        <f>H86/'DATA 3'!H12</f>
        <v>4.1472380849312179E-2</v>
      </c>
      <c r="I87" s="88">
        <f>I86/'DATA 3'!I12</f>
        <v>6.0311311486155962E-2</v>
      </c>
    </row>
    <row r="88" spans="1:9" ht="15" customHeight="1" x14ac:dyDescent="0.2">
      <c r="A88" s="84" t="s">
        <v>63</v>
      </c>
      <c r="B88" s="66">
        <f xml:space="preserve"> B82*0.62</f>
        <v>705.12049799137856</v>
      </c>
      <c r="C88" s="66">
        <f>C82*0.61</f>
        <v>720.17623052229408</v>
      </c>
      <c r="D88" s="66">
        <f>D82*0.61</f>
        <v>805.35300772459698</v>
      </c>
      <c r="E88" s="66">
        <f>E82*0.61</f>
        <v>918.39595845562644</v>
      </c>
      <c r="F88" s="66">
        <f>F82*0.6</f>
        <v>967.67950605208466</v>
      </c>
      <c r="G88" s="66">
        <f>G82*0.59</f>
        <v>1162.7879608345431</v>
      </c>
      <c r="H88" s="66">
        <f>H82*0.59</f>
        <v>1616.769623854191</v>
      </c>
      <c r="I88" s="77">
        <f>I82*0.58</f>
        <v>2616.2303001071914</v>
      </c>
    </row>
    <row r="89" spans="1:9" ht="15" customHeight="1" x14ac:dyDescent="0.2">
      <c r="A89" s="84" t="s">
        <v>37</v>
      </c>
      <c r="B89" s="66">
        <f xml:space="preserve"> B84*0.62</f>
        <v>551.18527869700472</v>
      </c>
      <c r="C89" s="66">
        <f xml:space="preserve"> C84*0.61</f>
        <v>586.60767054429118</v>
      </c>
      <c r="D89" s="66">
        <f xml:space="preserve"> D84*0.61</f>
        <v>642.16887308708715</v>
      </c>
      <c r="E89" s="66">
        <f xml:space="preserve"> E84*0.61</f>
        <v>711.7804238944309</v>
      </c>
      <c r="F89" s="66">
        <f xml:space="preserve"> F84*0.6</f>
        <v>803.08656587655526</v>
      </c>
      <c r="G89" s="66">
        <f xml:space="preserve"> G84*0.59</f>
        <v>997.99787206190081</v>
      </c>
      <c r="H89" s="66">
        <f xml:space="preserve"> H84*0.59</f>
        <v>1274.5985815684123</v>
      </c>
      <c r="I89" s="77">
        <f xml:space="preserve"> I84*0.58</f>
        <v>1600.3651409858728</v>
      </c>
    </row>
    <row r="90" spans="1:9" ht="15" customHeight="1" x14ac:dyDescent="0.2">
      <c r="A90" s="81" t="s">
        <v>38</v>
      </c>
      <c r="B90" s="68">
        <f t="shared" ref="B90:I90" si="10">SUM(B88:B89)</f>
        <v>1256.3057766883833</v>
      </c>
      <c r="C90" s="68">
        <f t="shared" si="10"/>
        <v>1306.7839010665853</v>
      </c>
      <c r="D90" s="68">
        <f t="shared" si="10"/>
        <v>1447.5218808116842</v>
      </c>
      <c r="E90" s="68">
        <f t="shared" si="10"/>
        <v>1630.1763823500573</v>
      </c>
      <c r="F90" s="68">
        <f t="shared" si="10"/>
        <v>1770.76607192864</v>
      </c>
      <c r="G90" s="68">
        <f t="shared" si="10"/>
        <v>2160.7858328964439</v>
      </c>
      <c r="H90" s="68">
        <f t="shared" si="10"/>
        <v>2891.3682054226033</v>
      </c>
      <c r="I90" s="85">
        <f t="shared" si="10"/>
        <v>4216.5954410930644</v>
      </c>
    </row>
    <row r="91" spans="1:9" ht="15" customHeight="1" thickBot="1" x14ac:dyDescent="0.25">
      <c r="A91" s="78" t="s">
        <v>39</v>
      </c>
      <c r="B91" s="89">
        <f>B90/'DATA 3'!B13</f>
        <v>2.579683319688672E-2</v>
      </c>
      <c r="C91" s="89">
        <f>C90/'DATA 3'!C13</f>
        <v>2.634644961827793E-2</v>
      </c>
      <c r="D91" s="89">
        <f>D90/'DATA 3'!D13</f>
        <v>2.8663799620033351E-2</v>
      </c>
      <c r="E91" s="89">
        <f>E90/'DATA 3'!E13</f>
        <v>3.1839382467774555E-2</v>
      </c>
      <c r="F91" s="89">
        <f>F90/'DATA 3'!F13</f>
        <v>3.4053193690935388E-2</v>
      </c>
      <c r="G91" s="89">
        <f>G90/'DATA 3'!G13</f>
        <v>4.0014552461045259E-2</v>
      </c>
      <c r="H91" s="89">
        <f>H90/'DATA 3'!H13</f>
        <v>5.6693494223972615E-2</v>
      </c>
      <c r="I91" s="90">
        <f>I90/'DATA 3'!I13</f>
        <v>8.7845738356105513E-2</v>
      </c>
    </row>
  </sheetData>
  <mergeCells count="2">
    <mergeCell ref="A77:I77"/>
    <mergeCell ref="A2:B3"/>
  </mergeCells>
  <conditionalFormatting sqref="B6:I18">
    <cfRule type="expression" dxfId="45" priority="12">
      <formula>MOD(ROW(),2)</formula>
    </cfRule>
  </conditionalFormatting>
  <conditionalFormatting sqref="B22:I36">
    <cfRule type="expression" dxfId="44" priority="11">
      <formula>MOD(ROW(),2)</formula>
    </cfRule>
  </conditionalFormatting>
  <conditionalFormatting sqref="B41:I46">
    <cfRule type="expression" dxfId="43" priority="10">
      <formula>MOD(ROW(),2)</formula>
    </cfRule>
  </conditionalFormatting>
  <conditionalFormatting sqref="B51:I56">
    <cfRule type="expression" dxfId="42" priority="9">
      <formula>MOD(ROW(),2)</formula>
    </cfRule>
  </conditionalFormatting>
  <conditionalFormatting sqref="B61:I66">
    <cfRule type="expression" dxfId="41" priority="8">
      <formula>MOD(ROW(),2)</formula>
    </cfRule>
  </conditionalFormatting>
  <conditionalFormatting sqref="B70:I73">
    <cfRule type="expression" dxfId="40" priority="7">
      <formula>MOD(ROW(),2)</formula>
    </cfRule>
  </conditionalFormatting>
  <conditionalFormatting sqref="B88:I89">
    <cfRule type="expression" dxfId="39" priority="1">
      <formula>MOD(ROW(),2)</formula>
    </cfRule>
  </conditionalFormatting>
  <conditionalFormatting sqref="B79:I82">
    <cfRule type="expression" dxfId="38" priority="6">
      <formula>MOD(ROW(),2)</formula>
    </cfRule>
  </conditionalFormatting>
  <conditionalFormatting sqref="B83:I83">
    <cfRule type="expression" dxfId="37" priority="5">
      <formula>MOD(ROW(),2)</formula>
    </cfRule>
  </conditionalFormatting>
  <conditionalFormatting sqref="B85:I85">
    <cfRule type="expression" dxfId="36" priority="3">
      <formula>MOD(ROW(),2)</formula>
    </cfRule>
  </conditionalFormatting>
  <conditionalFormatting sqref="B84:I84">
    <cfRule type="expression" dxfId="35" priority="2">
      <formula>MOD(ROW(),2)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J91"/>
  <sheetViews>
    <sheetView zoomScaleNormal="100" workbookViewId="0">
      <selection activeCell="L86" sqref="L86"/>
    </sheetView>
  </sheetViews>
  <sheetFormatPr baseColWidth="10" defaultColWidth="11" defaultRowHeight="12.75" x14ac:dyDescent="0.2"/>
  <cols>
    <col min="1" max="1" width="45.75" style="8" customWidth="1"/>
    <col min="2" max="9" width="7.75" style="8" customWidth="1"/>
    <col min="10" max="10" width="7.625" style="8" customWidth="1"/>
    <col min="11" max="11" width="7.125" style="8" customWidth="1"/>
    <col min="12" max="12" width="14.25" style="8" customWidth="1"/>
    <col min="13" max="13" width="17.375" style="8" customWidth="1"/>
    <col min="14" max="16" width="13.75" style="8" customWidth="1"/>
    <col min="17" max="17" width="11.625" style="8" customWidth="1"/>
    <col min="18" max="18" width="11.25" style="8" customWidth="1"/>
    <col min="19" max="19" width="16.5" style="8" customWidth="1"/>
    <col min="20" max="20" width="13.125" style="8" customWidth="1"/>
    <col min="21" max="21" width="17.5" style="8" customWidth="1"/>
    <col min="22" max="22" width="11.375" style="8" customWidth="1"/>
    <col min="23" max="23" width="29.625" style="8" customWidth="1"/>
    <col min="24" max="16384" width="11" style="8"/>
  </cols>
  <sheetData>
    <row r="1" spans="1:9" ht="13.5" thickBot="1" x14ac:dyDescent="0.25"/>
    <row r="2" spans="1:9" x14ac:dyDescent="0.2">
      <c r="A2" s="108" t="s">
        <v>42</v>
      </c>
      <c r="B2" s="109"/>
    </row>
    <row r="3" spans="1:9" ht="13.5" thickBot="1" x14ac:dyDescent="0.25">
      <c r="A3" s="110"/>
      <c r="B3" s="111"/>
    </row>
    <row r="4" spans="1:9" ht="13.5" thickBot="1" x14ac:dyDescent="0.25"/>
    <row r="5" spans="1:9" ht="30" customHeight="1" x14ac:dyDescent="0.2">
      <c r="A5" s="71" t="s">
        <v>34</v>
      </c>
      <c r="B5" s="64">
        <v>2013</v>
      </c>
      <c r="C5" s="64">
        <v>2014</v>
      </c>
      <c r="D5" s="64">
        <v>2015</v>
      </c>
      <c r="E5" s="64">
        <v>2016</v>
      </c>
      <c r="F5" s="64">
        <v>2017</v>
      </c>
      <c r="G5" s="64">
        <v>2020</v>
      </c>
      <c r="H5" s="64">
        <v>2023</v>
      </c>
      <c r="I5" s="72">
        <v>2025</v>
      </c>
    </row>
    <row r="6" spans="1:9" ht="15" customHeight="1" x14ac:dyDescent="0.2">
      <c r="A6" s="65" t="s">
        <v>0</v>
      </c>
      <c r="B6" s="67">
        <f>'DATA 4'!B19</f>
        <v>134</v>
      </c>
      <c r="C6" s="67">
        <f>'DATA 4'!C19</f>
        <v>134</v>
      </c>
      <c r="D6" s="67">
        <f>'DATA 4'!D19</f>
        <v>113</v>
      </c>
      <c r="E6" s="67">
        <f>'DATA 4'!E19</f>
        <v>103</v>
      </c>
      <c r="F6" s="67">
        <f>'DATA 4'!F19</f>
        <v>103</v>
      </c>
      <c r="G6" s="67">
        <f>'DATA 4'!G19</f>
        <v>90</v>
      </c>
      <c r="H6" s="66">
        <f>'DATA 4'!H19</f>
        <v>77.163749999999993</v>
      </c>
      <c r="I6" s="77">
        <f>'DATA 4'!I19</f>
        <v>75.620474999999999</v>
      </c>
    </row>
    <row r="7" spans="1:9" ht="15" customHeight="1" x14ac:dyDescent="0.2">
      <c r="A7" s="65" t="s">
        <v>1</v>
      </c>
      <c r="B7" s="67">
        <f>'DATA 4'!B20</f>
        <v>135</v>
      </c>
      <c r="C7" s="67">
        <f>'DATA 4'!C20</f>
        <v>128</v>
      </c>
      <c r="D7" s="67">
        <f>'DATA 4'!D20</f>
        <v>120</v>
      </c>
      <c r="E7" s="67">
        <f>'DATA 4'!E20</f>
        <v>114</v>
      </c>
      <c r="F7" s="67">
        <f>'DATA 4'!F20</f>
        <v>109</v>
      </c>
      <c r="G7" s="67">
        <f>'DATA 4'!G20</f>
        <v>100</v>
      </c>
      <c r="H7" s="66">
        <f>'DATA 4'!H20</f>
        <v>85.737499999999997</v>
      </c>
      <c r="I7" s="77">
        <f>'DATA 4'!I20</f>
        <v>84.022750000000002</v>
      </c>
    </row>
    <row r="8" spans="1:9" ht="15" customHeight="1" x14ac:dyDescent="0.2">
      <c r="A8" s="65" t="s">
        <v>25</v>
      </c>
      <c r="B8" s="67">
        <f>'DATA 4'!B21</f>
        <v>181</v>
      </c>
      <c r="C8" s="67">
        <f>'DATA 4'!C21</f>
        <v>174</v>
      </c>
      <c r="D8" s="67">
        <f>'DATA 4'!D21</f>
        <v>163</v>
      </c>
      <c r="E8" s="67">
        <f>'DATA 4'!E21</f>
        <v>155</v>
      </c>
      <c r="F8" s="67">
        <f>'DATA 4'!F21</f>
        <v>163</v>
      </c>
      <c r="G8" s="67">
        <f>'DATA 4'!G21</f>
        <v>160</v>
      </c>
      <c r="H8" s="66">
        <f>'DATA 4'!H21</f>
        <v>137.18</v>
      </c>
      <c r="I8" s="77">
        <f>'DATA 4'!I21</f>
        <v>134.43639999999999</v>
      </c>
    </row>
    <row r="9" spans="1:9" ht="15" customHeight="1" x14ac:dyDescent="0.2">
      <c r="A9" s="65" t="s">
        <v>8</v>
      </c>
      <c r="B9" s="67">
        <f>'DATA 4'!B22</f>
        <v>969</v>
      </c>
      <c r="C9" s="67">
        <f>'DATA 4'!C22</f>
        <v>1244</v>
      </c>
      <c r="D9" s="67">
        <f>'DATA 4'!D22</f>
        <v>1423</v>
      </c>
      <c r="E9" s="67">
        <f>'DATA 4'!E22</f>
        <v>1495</v>
      </c>
      <c r="F9" s="66">
        <f>'DATA 4'!F22</f>
        <v>1569.75</v>
      </c>
      <c r="G9" s="67">
        <f>'DATA 4'!G22</f>
        <v>1800</v>
      </c>
      <c r="H9" s="66">
        <f>'DATA 4'!H22</f>
        <v>1543.2749999999999</v>
      </c>
      <c r="I9" s="77">
        <f>'DATA 4'!I22</f>
        <v>1512.4094999999998</v>
      </c>
    </row>
    <row r="10" spans="1:9" ht="15" customHeight="1" x14ac:dyDescent="0.2">
      <c r="A10" s="65" t="s">
        <v>3</v>
      </c>
      <c r="B10" s="67">
        <f>'DATA 4'!B23</f>
        <v>220</v>
      </c>
      <c r="C10" s="67">
        <f>'DATA 4'!C23</f>
        <v>230</v>
      </c>
      <c r="D10" s="67">
        <f>'DATA 4'!D23</f>
        <v>208</v>
      </c>
      <c r="E10" s="67">
        <f>'DATA 4'!E23</f>
        <v>182</v>
      </c>
      <c r="F10" s="67">
        <f>'DATA 4'!F23</f>
        <v>180</v>
      </c>
      <c r="G10" s="67">
        <f>'DATA 4'!G23</f>
        <v>190</v>
      </c>
      <c r="H10" s="66">
        <f>'DATA 4'!H23</f>
        <v>162.90124999999998</v>
      </c>
      <c r="I10" s="77">
        <f>'DATA 4'!I23</f>
        <v>159.64322499999997</v>
      </c>
    </row>
    <row r="11" spans="1:9" ht="15" customHeight="1" x14ac:dyDescent="0.2">
      <c r="A11" s="65" t="s">
        <v>11</v>
      </c>
      <c r="B11" s="67">
        <f>'DATA 4'!B24</f>
        <v>850</v>
      </c>
      <c r="C11" s="67">
        <f>'DATA 4'!C24</f>
        <v>634</v>
      </c>
      <c r="D11" s="67">
        <f>'DATA 4'!D24</f>
        <v>494</v>
      </c>
      <c r="E11" s="67">
        <f>'DATA 4'!E24</f>
        <v>400</v>
      </c>
      <c r="F11" s="67">
        <f>'DATA 4'!F24</f>
        <v>325</v>
      </c>
      <c r="G11" s="67">
        <f>'DATA 4'!G24</f>
        <v>200</v>
      </c>
      <c r="H11" s="66">
        <f>'DATA 4'!H24</f>
        <v>171.47499999999999</v>
      </c>
      <c r="I11" s="77">
        <f>'DATA 4'!I24</f>
        <v>168.0455</v>
      </c>
    </row>
    <row r="12" spans="1:9" ht="15" customHeight="1" x14ac:dyDescent="0.2">
      <c r="A12" s="65" t="s">
        <v>10</v>
      </c>
      <c r="B12" s="67">
        <f>'DATA 4'!B25</f>
        <v>0</v>
      </c>
      <c r="C12" s="67">
        <f>'DATA 4'!C25</f>
        <v>0</v>
      </c>
      <c r="D12" s="67">
        <f>'DATA 4'!D25</f>
        <v>0</v>
      </c>
      <c r="E12" s="67">
        <f>'DATA 4'!E25</f>
        <v>0</v>
      </c>
      <c r="F12" s="67">
        <f>'DATA 4'!F25</f>
        <v>0</v>
      </c>
      <c r="G12" s="67">
        <f>'DATA 4'!G25</f>
        <v>0</v>
      </c>
      <c r="H12" s="66">
        <f>'DATA 4'!H25</f>
        <v>0</v>
      </c>
      <c r="I12" s="77">
        <f>'DATA 4'!I25</f>
        <v>0</v>
      </c>
    </row>
    <row r="13" spans="1:9" ht="15" customHeight="1" x14ac:dyDescent="0.2">
      <c r="A13" s="65" t="s">
        <v>13</v>
      </c>
      <c r="B13" s="67">
        <f>'DATA 4'!B26</f>
        <v>0</v>
      </c>
      <c r="C13" s="67">
        <f>'DATA 4'!C26</f>
        <v>0</v>
      </c>
      <c r="D13" s="67">
        <f>'DATA 4'!D26</f>
        <v>1000</v>
      </c>
      <c r="E13" s="67">
        <f>'DATA 4'!E26</f>
        <v>2000</v>
      </c>
      <c r="F13" s="67">
        <f>'DATA 4'!F26</f>
        <v>3000</v>
      </c>
      <c r="G13" s="67">
        <f>'DATA 4'!G26</f>
        <v>6000</v>
      </c>
      <c r="H13" s="66">
        <f>'DATA 4'!H26</f>
        <v>5144.25</v>
      </c>
      <c r="I13" s="77">
        <f>'DATA 4'!I26</f>
        <v>5041.3649999999998</v>
      </c>
    </row>
    <row r="14" spans="1:9" ht="15" customHeight="1" x14ac:dyDescent="0.2">
      <c r="A14" s="65" t="s">
        <v>9</v>
      </c>
      <c r="B14" s="67">
        <f>'DATA 4'!B27</f>
        <v>150</v>
      </c>
      <c r="C14" s="67">
        <f>'DATA 4'!C27</f>
        <v>160</v>
      </c>
      <c r="D14" s="67">
        <f>'DATA 4'!D27</f>
        <v>172</v>
      </c>
      <c r="E14" s="67">
        <f>'DATA 4'!E27</f>
        <v>185</v>
      </c>
      <c r="F14" s="67">
        <f>'DATA 4'!F27</f>
        <v>200</v>
      </c>
      <c r="G14" s="67">
        <f>'DATA 4'!G27</f>
        <v>250</v>
      </c>
      <c r="H14" s="66">
        <f>'DATA 4'!H27</f>
        <v>214.34375</v>
      </c>
      <c r="I14" s="77">
        <f>'DATA 4'!I27</f>
        <v>210.05687499999999</v>
      </c>
    </row>
    <row r="15" spans="1:9" ht="15" customHeight="1" x14ac:dyDescent="0.2">
      <c r="A15" s="65" t="s">
        <v>5</v>
      </c>
      <c r="B15" s="67">
        <f>'DATA 4'!B28</f>
        <v>150</v>
      </c>
      <c r="C15" s="67">
        <f>'DATA 4'!C28</f>
        <v>160</v>
      </c>
      <c r="D15" s="67">
        <f>'DATA 4'!D28</f>
        <v>172</v>
      </c>
      <c r="E15" s="67">
        <f>'DATA 4'!E28</f>
        <v>185</v>
      </c>
      <c r="F15" s="67">
        <f>'DATA 4'!F28</f>
        <v>200</v>
      </c>
      <c r="G15" s="67">
        <f>'DATA 4'!G28</f>
        <v>250</v>
      </c>
      <c r="H15" s="66">
        <f>'DATA 4'!H28</f>
        <v>214.34375</v>
      </c>
      <c r="I15" s="77">
        <f>'DATA 4'!I28</f>
        <v>210.05687499999999</v>
      </c>
    </row>
    <row r="16" spans="1:9" ht="15" customHeight="1" x14ac:dyDescent="0.2">
      <c r="A16" s="65" t="s">
        <v>6</v>
      </c>
      <c r="B16" s="67">
        <f>'DATA 4'!B29</f>
        <v>33</v>
      </c>
      <c r="C16" s="67">
        <f>'DATA 4'!C29</f>
        <v>33</v>
      </c>
      <c r="D16" s="67">
        <f>'DATA 4'!D29</f>
        <v>35</v>
      </c>
      <c r="E16" s="66">
        <f>'DATA 4'!E29</f>
        <v>36.75</v>
      </c>
      <c r="F16" s="66">
        <f>'DATA 4'!F29</f>
        <v>38.587499999999999</v>
      </c>
      <c r="G16" s="67">
        <f>'DATA 4'!G29</f>
        <v>45</v>
      </c>
      <c r="H16" s="66">
        <f>'DATA 4'!H29</f>
        <v>38.581874999999997</v>
      </c>
      <c r="I16" s="77">
        <f>'DATA 4'!I29</f>
        <v>37.810237499999999</v>
      </c>
    </row>
    <row r="17" spans="1:10" ht="15" customHeight="1" x14ac:dyDescent="0.2">
      <c r="A17" s="65" t="s">
        <v>7</v>
      </c>
      <c r="B17" s="67">
        <f>'DATA 4'!B30</f>
        <v>70</v>
      </c>
      <c r="C17" s="67">
        <f>'DATA 4'!C30</f>
        <v>70</v>
      </c>
      <c r="D17" s="67">
        <f>'DATA 4'!D30</f>
        <v>70</v>
      </c>
      <c r="E17" s="67">
        <f>'DATA 4'!E30</f>
        <v>70</v>
      </c>
      <c r="F17" s="67">
        <f>'DATA 4'!F30</f>
        <v>70</v>
      </c>
      <c r="G17" s="67">
        <f>'DATA 4'!G30</f>
        <v>70</v>
      </c>
      <c r="H17" s="66">
        <f>'DATA 4'!H30</f>
        <v>60.016249999999992</v>
      </c>
      <c r="I17" s="77">
        <f>'DATA 4'!I30</f>
        <v>58.815924999999993</v>
      </c>
    </row>
    <row r="18" spans="1:10" ht="15" customHeight="1" thickBot="1" x14ac:dyDescent="0.25">
      <c r="A18" s="74" t="s">
        <v>17</v>
      </c>
      <c r="B18" s="75">
        <f>'DATA 4'!B31</f>
        <v>57</v>
      </c>
      <c r="C18" s="75">
        <f>'DATA 4'!C31</f>
        <v>57</v>
      </c>
      <c r="D18" s="75">
        <f>'DATA 4'!D31</f>
        <v>57</v>
      </c>
      <c r="E18" s="75">
        <f>'DATA 4'!E31</f>
        <v>57</v>
      </c>
      <c r="F18" s="75">
        <f>'DATA 4'!F31</f>
        <v>57</v>
      </c>
      <c r="G18" s="75">
        <f>'DATA 4'!G31</f>
        <v>50</v>
      </c>
      <c r="H18" s="82">
        <f>'DATA 4'!H31</f>
        <v>42.868749999999999</v>
      </c>
      <c r="I18" s="83">
        <f>'DATA 4'!I31</f>
        <v>42.011375000000001</v>
      </c>
      <c r="J18" s="63"/>
    </row>
    <row r="19" spans="1:10" ht="15" customHeight="1" x14ac:dyDescent="0.2">
      <c r="A19" s="31"/>
      <c r="B19" s="53"/>
      <c r="C19" s="53"/>
      <c r="D19" s="53"/>
      <c r="E19" s="53"/>
      <c r="F19" s="53"/>
      <c r="G19" s="54"/>
      <c r="H19" s="54"/>
      <c r="I19" s="62"/>
      <c r="J19" s="63"/>
    </row>
    <row r="20" spans="1:10" ht="15" customHeight="1" thickBot="1" x14ac:dyDescent="0.25">
      <c r="A20" s="51"/>
      <c r="B20" s="55"/>
      <c r="C20" s="55"/>
      <c r="D20" s="55"/>
      <c r="E20" s="55"/>
      <c r="F20" s="55"/>
      <c r="G20" s="55"/>
      <c r="H20" s="55"/>
      <c r="I20" s="55"/>
      <c r="J20" s="63"/>
    </row>
    <row r="21" spans="1:10" ht="30" customHeight="1" x14ac:dyDescent="0.2">
      <c r="A21" s="71" t="s">
        <v>35</v>
      </c>
      <c r="B21" s="64">
        <v>2013</v>
      </c>
      <c r="C21" s="64">
        <v>2014</v>
      </c>
      <c r="D21" s="64">
        <v>2015</v>
      </c>
      <c r="E21" s="64">
        <v>2016</v>
      </c>
      <c r="F21" s="64">
        <v>2017</v>
      </c>
      <c r="G21" s="64">
        <v>2020</v>
      </c>
      <c r="H21" s="64">
        <v>2023</v>
      </c>
      <c r="I21" s="72">
        <v>2025</v>
      </c>
    </row>
    <row r="22" spans="1:10" ht="15" customHeight="1" x14ac:dyDescent="0.2">
      <c r="A22" s="65" t="s">
        <v>0</v>
      </c>
      <c r="B22" s="66">
        <f>B6*'DATA 4'!B35/1000</f>
        <v>100.5</v>
      </c>
      <c r="C22" s="66">
        <f>C6*'DATA 4'!C35/1000</f>
        <v>100.5</v>
      </c>
      <c r="D22" s="66">
        <f>D6*'DATA 4'!D35/1000</f>
        <v>84.75</v>
      </c>
      <c r="E22" s="66">
        <f>E6*'DATA 4'!E35/1000</f>
        <v>77.25</v>
      </c>
      <c r="F22" s="66">
        <f>F6*'DATA 4'!F35/1000</f>
        <v>77.25</v>
      </c>
      <c r="G22" s="66">
        <f>G6*'DATA 4'!G35/1000</f>
        <v>67.5</v>
      </c>
      <c r="H22" s="66">
        <f>H6*'DATA 4'!H35/1000</f>
        <v>57.872812499999995</v>
      </c>
      <c r="I22" s="77">
        <f>I6*'DATA 4'!I35/1000</f>
        <v>56.715356249999999</v>
      </c>
    </row>
    <row r="23" spans="1:10" ht="15" customHeight="1" x14ac:dyDescent="0.2">
      <c r="A23" s="65" t="s">
        <v>1</v>
      </c>
      <c r="B23" s="66">
        <f>B7*'DATA 4'!B36/1000</f>
        <v>94.5</v>
      </c>
      <c r="C23" s="66">
        <f>C7*'DATA 4'!C36/1000</f>
        <v>89.6</v>
      </c>
      <c r="D23" s="66">
        <f>D7*'DATA 4'!D36/1000</f>
        <v>84</v>
      </c>
      <c r="E23" s="66">
        <f>E7*'DATA 4'!E36/1000</f>
        <v>85.5</v>
      </c>
      <c r="F23" s="66">
        <f>F7*'DATA 4'!F36/1000</f>
        <v>87.2</v>
      </c>
      <c r="G23" s="66">
        <f>G7*'DATA 4'!G36/1000</f>
        <v>80</v>
      </c>
      <c r="H23" s="66">
        <f>H7*'DATA 4'!H36/1000</f>
        <v>68.59</v>
      </c>
      <c r="I23" s="77">
        <f>I7*'DATA 4'!I36/1000</f>
        <v>67.218199999999996</v>
      </c>
    </row>
    <row r="24" spans="1:10" ht="15" customHeight="1" x14ac:dyDescent="0.2">
      <c r="A24" s="65" t="s">
        <v>22</v>
      </c>
      <c r="B24" s="66">
        <f>B8*'DATA 4'!B37/1000</f>
        <v>253.4</v>
      </c>
      <c r="C24" s="66">
        <f>C8*'DATA 4'!C37/1000</f>
        <v>243.6</v>
      </c>
      <c r="D24" s="66">
        <f>D8*'DATA 4'!D37/1000</f>
        <v>228.2</v>
      </c>
      <c r="E24" s="66">
        <f>E8*'DATA 4'!E37/1000</f>
        <v>232.5</v>
      </c>
      <c r="F24" s="66">
        <f>F8*'DATA 4'!F37/1000</f>
        <v>260.8</v>
      </c>
      <c r="G24" s="66">
        <f>G8*'DATA 4'!G37/1000</f>
        <v>256</v>
      </c>
      <c r="H24" s="66">
        <f>H8*'DATA 4'!H37/1000</f>
        <v>219.488</v>
      </c>
      <c r="I24" s="77">
        <f>I8*'DATA 4'!I37/1000</f>
        <v>215.09824</v>
      </c>
    </row>
    <row r="25" spans="1:10" ht="15" customHeight="1" x14ac:dyDescent="0.2">
      <c r="A25" s="65" t="s">
        <v>18</v>
      </c>
      <c r="B25" s="66">
        <f>B9*'DATA 4'!B38/1000</f>
        <v>94.523411371237472</v>
      </c>
      <c r="C25" s="66">
        <f>C9*'DATA 4'!C38/1000</f>
        <v>145.61872909698997</v>
      </c>
      <c r="D25" s="66">
        <f>D9*'DATA 4'!D38/1000</f>
        <v>199.88628762541805</v>
      </c>
      <c r="E25" s="66">
        <f>E9*'DATA 4'!E38/1000</f>
        <v>252</v>
      </c>
      <c r="F25" s="66">
        <f>F9*'DATA 4'!F38/1000</f>
        <v>317.52</v>
      </c>
      <c r="G25" s="66">
        <f>G9*'DATA 4'!G38/1000</f>
        <v>436.31999999999994</v>
      </c>
      <c r="H25" s="66">
        <f>H9*'DATA 4'!H38/1000</f>
        <v>374.08985999999993</v>
      </c>
      <c r="I25" s="77">
        <f>I9*'DATA 4'!I38/1000</f>
        <v>366.60806279999991</v>
      </c>
    </row>
    <row r="26" spans="1:10" ht="15" customHeight="1" x14ac:dyDescent="0.2">
      <c r="A26" s="65" t="s">
        <v>3</v>
      </c>
      <c r="B26" s="66">
        <f>B10*'DATA 4'!B39/1000</f>
        <v>64.381270903010034</v>
      </c>
      <c r="C26" s="66">
        <f>C10*'DATA 4'!C39/1000</f>
        <v>67.307692307692292</v>
      </c>
      <c r="D26" s="66">
        <f>D10*'DATA 4'!D39/1000</f>
        <v>73.043478260869549</v>
      </c>
      <c r="E26" s="66">
        <f>E10*'DATA 4'!E39/1000</f>
        <v>76.695652173913047</v>
      </c>
      <c r="F26" s="66">
        <f>F10*'DATA 4'!F39/1000</f>
        <v>91.023411371237458</v>
      </c>
      <c r="G26" s="66">
        <f>G10*'DATA 4'!G39/1000</f>
        <v>96.080267558528433</v>
      </c>
      <c r="H26" s="66">
        <f>H10*'DATA 4'!H39/1000</f>
        <v>82.376819397993302</v>
      </c>
      <c r="I26" s="77">
        <f>I10*'DATA 4'!I39/1000</f>
        <v>80.729283010033427</v>
      </c>
    </row>
    <row r="27" spans="1:10" ht="15" customHeight="1" x14ac:dyDescent="0.2">
      <c r="A27" s="65" t="s">
        <v>11</v>
      </c>
      <c r="B27" s="66">
        <f>B11*'DATA 4'!B40/1000</f>
        <v>10.199999999999999</v>
      </c>
      <c r="C27" s="66">
        <f>C11*'DATA 4'!C40/1000</f>
        <v>7.6079999999999997</v>
      </c>
      <c r="D27" s="66">
        <f>D11*'DATA 4'!D40/1000</f>
        <v>5.9279999999999999</v>
      </c>
      <c r="E27" s="66">
        <f>E11*'DATA 4'!E40/1000</f>
        <v>4.8</v>
      </c>
      <c r="F27" s="66">
        <f>F11*'DATA 4'!F40/1000</f>
        <v>3.9</v>
      </c>
      <c r="G27" s="66">
        <f>G11*'DATA 4'!G40/1000</f>
        <v>2.4</v>
      </c>
      <c r="H27" s="66">
        <f>H11*'DATA 4'!H40/1000</f>
        <v>2.0576999999999996</v>
      </c>
      <c r="I27" s="77">
        <f>I11*'DATA 4'!I40/1000</f>
        <v>2.0165459999999999</v>
      </c>
    </row>
    <row r="28" spans="1:10" ht="15" customHeight="1" x14ac:dyDescent="0.2">
      <c r="A28" s="65" t="s">
        <v>10</v>
      </c>
      <c r="B28" s="66">
        <f>B12*'DATA 4'!B41/1000</f>
        <v>0</v>
      </c>
      <c r="C28" s="66">
        <f>C12*'DATA 4'!C41/1000</f>
        <v>0</v>
      </c>
      <c r="D28" s="66">
        <f>D12*'DATA 4'!D41/1000</f>
        <v>0</v>
      </c>
      <c r="E28" s="66">
        <f>E12*'DATA 4'!E41/1000</f>
        <v>0</v>
      </c>
      <c r="F28" s="66">
        <f>F12*'DATA 4'!F41/1000</f>
        <v>0</v>
      </c>
      <c r="G28" s="66">
        <f>G12*'DATA 4'!G41/1000</f>
        <v>0</v>
      </c>
      <c r="H28" s="66">
        <f>H12*'DATA 4'!H41/1000</f>
        <v>0</v>
      </c>
      <c r="I28" s="77">
        <f>I12*'DATA 4'!I41/1000</f>
        <v>0</v>
      </c>
    </row>
    <row r="29" spans="1:10" ht="15" customHeight="1" x14ac:dyDescent="0.2">
      <c r="A29" s="65" t="s">
        <v>14</v>
      </c>
      <c r="B29" s="66">
        <f>B13*'DATA 4'!B42/1000</f>
        <v>0</v>
      </c>
      <c r="C29" s="66">
        <f>C13*'DATA 4'!C42/1000</f>
        <v>0</v>
      </c>
      <c r="D29" s="66">
        <f>D13*'DATA 4'!D42/1000</f>
        <v>5</v>
      </c>
      <c r="E29" s="66">
        <f>E13*'DATA 4'!E42/1000</f>
        <v>10</v>
      </c>
      <c r="F29" s="66">
        <f>F13*'DATA 4'!F42/1000</f>
        <v>15</v>
      </c>
      <c r="G29" s="66">
        <f>G13*'DATA 4'!G42/1000</f>
        <v>30</v>
      </c>
      <c r="H29" s="66">
        <f>H13*'DATA 4'!H42/1000</f>
        <v>25.721250000000001</v>
      </c>
      <c r="I29" s="77">
        <f>I13*'DATA 4'!I42/1000</f>
        <v>25.206824999999998</v>
      </c>
    </row>
    <row r="30" spans="1:10" ht="15" customHeight="1" x14ac:dyDescent="0.2">
      <c r="A30" s="65" t="s">
        <v>4</v>
      </c>
      <c r="B30" s="66">
        <f>B14*'DATA 4'!B43/1000</f>
        <v>127.84090909090911</v>
      </c>
      <c r="C30" s="66">
        <f>C14*'DATA 4'!C43/1000</f>
        <v>163.63636363636365</v>
      </c>
      <c r="D30" s="66">
        <f>D14*'DATA 4'!D43/1000</f>
        <v>211.09090909090909</v>
      </c>
      <c r="E30" s="66">
        <f>E14*'DATA 4'!E43/1000</f>
        <v>249.75</v>
      </c>
      <c r="F30" s="66">
        <f>F14*'DATA 4'!F43/1000</f>
        <v>297.00000000000006</v>
      </c>
      <c r="G30" s="66">
        <f>G14*'DATA 4'!G43/1000</f>
        <v>494.13375000000013</v>
      </c>
      <c r="H30" s="66">
        <f>H14*'DATA 4'!H43/1000</f>
        <v>423.65792390625012</v>
      </c>
      <c r="I30" s="77">
        <f>I14*'DATA 4'!I43/1000</f>
        <v>415.1847654281251</v>
      </c>
    </row>
    <row r="31" spans="1:10" ht="15" customHeight="1" x14ac:dyDescent="0.2">
      <c r="A31" s="65" t="s">
        <v>5</v>
      </c>
      <c r="B31" s="66">
        <f>B15*'DATA 4'!B44/1000</f>
        <v>6.75</v>
      </c>
      <c r="C31" s="66">
        <f>C15*'DATA 4'!C44/1000</f>
        <v>7.2</v>
      </c>
      <c r="D31" s="66">
        <f>D15*'DATA 4'!D44/1000</f>
        <v>7.74</v>
      </c>
      <c r="E31" s="66">
        <f>E15*'DATA 4'!E44/1000</f>
        <v>8.3249999999999993</v>
      </c>
      <c r="F31" s="66">
        <f>F15*'DATA 4'!F44/1000</f>
        <v>9</v>
      </c>
      <c r="G31" s="66">
        <f>G15*'DATA 4'!G44/1000</f>
        <v>11.25</v>
      </c>
      <c r="H31" s="66">
        <f>H15*'DATA 4'!H44/1000</f>
        <v>9.6454687499999991</v>
      </c>
      <c r="I31" s="77">
        <f>I15*'DATA 4'!I44/1000</f>
        <v>9.4525593749999981</v>
      </c>
    </row>
    <row r="32" spans="1:10" ht="15" customHeight="1" x14ac:dyDescent="0.2">
      <c r="A32" s="65" t="s">
        <v>6</v>
      </c>
      <c r="B32" s="66">
        <f>B16*'DATA 4'!B45/1000</f>
        <v>4.95</v>
      </c>
      <c r="C32" s="66">
        <f>C16*'DATA 4'!C45/1000</f>
        <v>4.95</v>
      </c>
      <c r="D32" s="66">
        <f>D16*'DATA 4'!D45/1000</f>
        <v>5.25</v>
      </c>
      <c r="E32" s="66">
        <f>E16*'DATA 4'!E45/1000</f>
        <v>5.5125000000000002</v>
      </c>
      <c r="F32" s="66">
        <f>F16*'DATA 4'!F45/1000</f>
        <v>5.788125</v>
      </c>
      <c r="G32" s="66">
        <f>G16*'DATA 4'!G45/1000</f>
        <v>6.75</v>
      </c>
      <c r="H32" s="66">
        <f>H16*'DATA 4'!H45/1000</f>
        <v>5.7872812499999995</v>
      </c>
      <c r="I32" s="77">
        <f>I16*'DATA 4'!I45/1000</f>
        <v>5.6715356249999997</v>
      </c>
    </row>
    <row r="33" spans="1:9" ht="15" customHeight="1" x14ac:dyDescent="0.2">
      <c r="A33" s="65" t="s">
        <v>7</v>
      </c>
      <c r="B33" s="66">
        <f>B17*'DATA 4'!B46/1000</f>
        <v>7</v>
      </c>
      <c r="C33" s="66">
        <f>C17*'DATA 4'!C46/1000</f>
        <v>7</v>
      </c>
      <c r="D33" s="66">
        <f>D17*'DATA 4'!D46/1000</f>
        <v>7</v>
      </c>
      <c r="E33" s="66">
        <f>E17*'DATA 4'!E46/1000</f>
        <v>7</v>
      </c>
      <c r="F33" s="66">
        <f>F17*'DATA 4'!F46/1000</f>
        <v>7</v>
      </c>
      <c r="G33" s="66">
        <f>G17*'DATA 4'!G46/1000</f>
        <v>7</v>
      </c>
      <c r="H33" s="66">
        <f>H17*'DATA 4'!H46/1000</f>
        <v>6.0016249999999989</v>
      </c>
      <c r="I33" s="77">
        <f>I17*'DATA 4'!I46/1000</f>
        <v>5.8815924999999991</v>
      </c>
    </row>
    <row r="34" spans="1:9" ht="15" customHeight="1" x14ac:dyDescent="0.2">
      <c r="A34" s="65" t="s">
        <v>17</v>
      </c>
      <c r="B34" s="66">
        <f>B18*'DATA 4'!B47/1000</f>
        <v>11.4</v>
      </c>
      <c r="C34" s="66">
        <f>C18*'DATA 4'!C47/1000</f>
        <v>11.4</v>
      </c>
      <c r="D34" s="66">
        <f>D18*'DATA 4'!D47/1000</f>
        <v>11.4</v>
      </c>
      <c r="E34" s="66">
        <f>E18*'DATA 4'!E47/1000</f>
        <v>11.4</v>
      </c>
      <c r="F34" s="66">
        <f>F18*'DATA 4'!F47/1000</f>
        <v>11.4</v>
      </c>
      <c r="G34" s="66">
        <f>G18*'DATA 4'!G47/1000</f>
        <v>10</v>
      </c>
      <c r="H34" s="66">
        <f>H18*'DATA 4'!H47/1000</f>
        <v>8.5737500000000004</v>
      </c>
      <c r="I34" s="77">
        <f>I18*'DATA 4'!I47/1000</f>
        <v>8.4022749999999995</v>
      </c>
    </row>
    <row r="35" spans="1:9" ht="15" customHeight="1" x14ac:dyDescent="0.2">
      <c r="A35" s="65" t="s">
        <v>15</v>
      </c>
      <c r="B35" s="66">
        <f>0.15*(B70+B71+B72)</f>
        <v>65.178367894736837</v>
      </c>
      <c r="C35" s="66">
        <f t="shared" ref="C35:I35" si="0">0.15*(C70+C71+C72)</f>
        <v>65.004183529411719</v>
      </c>
      <c r="D35" s="66">
        <f t="shared" si="0"/>
        <v>69.447182542618435</v>
      </c>
      <c r="E35" s="66">
        <f t="shared" si="0"/>
        <v>70.596597496064419</v>
      </c>
      <c r="F35" s="66">
        <f t="shared" si="0"/>
        <v>71.709562784723275</v>
      </c>
      <c r="G35" s="66">
        <f t="shared" si="0"/>
        <v>86.388591325327866</v>
      </c>
      <c r="H35" s="66">
        <f t="shared" si="0"/>
        <v>86.871925727734222</v>
      </c>
      <c r="I35" s="77">
        <f t="shared" si="0"/>
        <v>87.263752514066582</v>
      </c>
    </row>
    <row r="36" spans="1:9" ht="15" customHeight="1" x14ac:dyDescent="0.2">
      <c r="A36" s="65" t="s">
        <v>16</v>
      </c>
      <c r="B36" s="66">
        <f>0.15*B73</f>
        <v>48.38455476753348</v>
      </c>
      <c r="C36" s="66">
        <f t="shared" ref="C36:I36" si="1">0.15*C73</f>
        <v>48.226950354609933</v>
      </c>
      <c r="D36" s="66">
        <f t="shared" si="1"/>
        <v>60</v>
      </c>
      <c r="E36" s="66">
        <f t="shared" si="1"/>
        <v>75.52340425531915</v>
      </c>
      <c r="F36" s="66">
        <f t="shared" si="1"/>
        <v>83.886510638297878</v>
      </c>
      <c r="G36" s="66">
        <f t="shared" si="1"/>
        <v>97.699208170212785</v>
      </c>
      <c r="H36" s="66">
        <f t="shared" si="1"/>
        <v>112.89099109547898</v>
      </c>
      <c r="I36" s="77">
        <f t="shared" si="1"/>
        <v>114.11132013102285</v>
      </c>
    </row>
    <row r="37" spans="1:9" ht="15" customHeight="1" thickBot="1" x14ac:dyDescent="0.25">
      <c r="A37" s="78" t="s">
        <v>12</v>
      </c>
      <c r="B37" s="79">
        <f t="shared" ref="B37:I37" si="2">SUM(B22:B36)</f>
        <v>889.00851402742694</v>
      </c>
      <c r="C37" s="79">
        <f t="shared" si="2"/>
        <v>961.65191892506755</v>
      </c>
      <c r="D37" s="79">
        <f t="shared" si="2"/>
        <v>1052.735857519815</v>
      </c>
      <c r="E37" s="79">
        <f t="shared" si="2"/>
        <v>1166.8531539252965</v>
      </c>
      <c r="F37" s="79">
        <f t="shared" si="2"/>
        <v>1338.4776097942588</v>
      </c>
      <c r="G37" s="79">
        <f t="shared" si="2"/>
        <v>1681.5218170540693</v>
      </c>
      <c r="H37" s="79">
        <f t="shared" si="2"/>
        <v>1483.6254076274565</v>
      </c>
      <c r="I37" s="80">
        <f t="shared" si="2"/>
        <v>1459.5603136332475</v>
      </c>
    </row>
    <row r="38" spans="1:9" ht="15" customHeight="1" x14ac:dyDescent="0.2">
      <c r="A38" s="51"/>
      <c r="B38" s="55"/>
      <c r="C38" s="55"/>
      <c r="D38" s="52"/>
      <c r="E38" s="55"/>
      <c r="F38" s="55"/>
      <c r="G38" s="55"/>
      <c r="H38" s="55"/>
      <c r="I38" s="55"/>
    </row>
    <row r="39" spans="1:9" ht="15" customHeight="1" thickBot="1" x14ac:dyDescent="0.25">
      <c r="A39" s="32"/>
      <c r="B39" s="54"/>
      <c r="C39" s="54"/>
      <c r="D39" s="50"/>
      <c r="E39" s="50"/>
      <c r="F39" s="50"/>
      <c r="G39" s="54"/>
      <c r="H39" s="54"/>
      <c r="I39" s="50"/>
    </row>
    <row r="40" spans="1:9" ht="30" customHeight="1" x14ac:dyDescent="0.2">
      <c r="A40" s="71" t="s">
        <v>23</v>
      </c>
      <c r="B40" s="64">
        <v>2013</v>
      </c>
      <c r="C40" s="64">
        <v>2014</v>
      </c>
      <c r="D40" s="64">
        <v>2015</v>
      </c>
      <c r="E40" s="64">
        <v>2016</v>
      </c>
      <c r="F40" s="64">
        <v>2017</v>
      </c>
      <c r="G40" s="64">
        <v>2020</v>
      </c>
      <c r="H40" s="64">
        <v>2023</v>
      </c>
      <c r="I40" s="72">
        <v>2025</v>
      </c>
    </row>
    <row r="41" spans="1:9" ht="15" customHeight="1" x14ac:dyDescent="0.2">
      <c r="A41" s="65" t="s">
        <v>24</v>
      </c>
      <c r="B41" s="66">
        <f>$B$47*0.122</f>
        <v>1500.6</v>
      </c>
      <c r="C41" s="66">
        <f>$C$47*0.11</f>
        <v>1540</v>
      </c>
      <c r="D41" s="66">
        <f>E41/0.975</f>
        <v>1403.0769230769231</v>
      </c>
      <c r="E41" s="66">
        <f>0.08*$E$47</f>
        <v>1368</v>
      </c>
      <c r="F41" s="66">
        <f xml:space="preserve"> E41*0.975</f>
        <v>1333.8</v>
      </c>
      <c r="G41" s="66">
        <f>0.05*$G$47</f>
        <v>1250</v>
      </c>
      <c r="H41" s="66">
        <v>1190</v>
      </c>
      <c r="I41" s="77">
        <v>1150</v>
      </c>
    </row>
    <row r="42" spans="1:9" ht="15" customHeight="1" x14ac:dyDescent="0.2">
      <c r="A42" s="65" t="s">
        <v>2</v>
      </c>
      <c r="B42" s="66">
        <f xml:space="preserve"> $B$47*0.141</f>
        <v>1734.2999999999997</v>
      </c>
      <c r="C42" s="66">
        <f xml:space="preserve"> $C$47*0.15</f>
        <v>2100</v>
      </c>
      <c r="D42" s="66">
        <f xml:space="preserve"> $D$47*0.19</f>
        <v>2945</v>
      </c>
      <c r="E42" s="66">
        <f>0.21*$E$47</f>
        <v>3591</v>
      </c>
      <c r="F42" s="66">
        <f>E42*1.11</f>
        <v>3986.01</v>
      </c>
      <c r="G42" s="66">
        <f>0.23*$G$47</f>
        <v>5750</v>
      </c>
      <c r="H42" s="66">
        <v>6200</v>
      </c>
      <c r="I42" s="77">
        <v>6500</v>
      </c>
    </row>
    <row r="43" spans="1:9" ht="15" customHeight="1" x14ac:dyDescent="0.2">
      <c r="A43" s="65" t="s">
        <v>3</v>
      </c>
      <c r="B43" s="66">
        <f xml:space="preserve"> $B$47*0.023</f>
        <v>282.89999999999998</v>
      </c>
      <c r="C43" s="66">
        <f>$C$47*0.03</f>
        <v>420</v>
      </c>
      <c r="D43" s="66">
        <f>$D$47*0.03</f>
        <v>465</v>
      </c>
      <c r="E43" s="66">
        <f>0.03*$E$47</f>
        <v>513</v>
      </c>
      <c r="F43" s="66">
        <f>E43+200</f>
        <v>713</v>
      </c>
      <c r="G43" s="66">
        <f>0.03*$G$47</f>
        <v>750</v>
      </c>
      <c r="H43" s="66">
        <v>780</v>
      </c>
      <c r="I43" s="77">
        <v>800</v>
      </c>
    </row>
    <row r="44" spans="1:9" ht="15" customHeight="1" x14ac:dyDescent="0.2">
      <c r="A44" s="65" t="s">
        <v>11</v>
      </c>
      <c r="B44" s="66">
        <f>$B$47*0.376</f>
        <v>4624.8</v>
      </c>
      <c r="C44" s="66">
        <f>$C$47*0.32</f>
        <v>4480</v>
      </c>
      <c r="D44" s="66">
        <f>$D$47*0.24</f>
        <v>3720</v>
      </c>
      <c r="E44" s="66">
        <f>0.19*$E$47</f>
        <v>3249</v>
      </c>
      <c r="F44" s="66">
        <f>E44- (F42-E42)</f>
        <v>2853.99</v>
      </c>
      <c r="G44" s="66">
        <f>0.06*$G$47</f>
        <v>1500</v>
      </c>
      <c r="H44" s="66">
        <v>1300</v>
      </c>
      <c r="I44" s="77">
        <v>1200</v>
      </c>
    </row>
    <row r="45" spans="1:9" ht="15" customHeight="1" x14ac:dyDescent="0.2">
      <c r="A45" s="65" t="s">
        <v>13</v>
      </c>
      <c r="B45" s="66">
        <f>$B$47*0.186</f>
        <v>2287.8000000000002</v>
      </c>
      <c r="C45" s="66">
        <f>$C$47*0.24</f>
        <v>3360</v>
      </c>
      <c r="D45" s="66">
        <f>$D$47*0.3</f>
        <v>4650</v>
      </c>
      <c r="E45" s="66">
        <f>0.34*$E$47</f>
        <v>5814</v>
      </c>
      <c r="F45" s="66">
        <f>E45*1.19</f>
        <v>6918.66</v>
      </c>
      <c r="G45" s="66">
        <f>0.5*$G$47</f>
        <v>12500</v>
      </c>
      <c r="H45" s="66">
        <v>20000</v>
      </c>
      <c r="I45" s="77">
        <v>25000</v>
      </c>
    </row>
    <row r="46" spans="1:9" ht="15" customHeight="1" x14ac:dyDescent="0.2">
      <c r="A46" s="65" t="s">
        <v>26</v>
      </c>
      <c r="B46" s="66">
        <f>$B$47*0.11</f>
        <v>1353</v>
      </c>
      <c r="C46" s="66">
        <f>$C$47*0.11</f>
        <v>1540</v>
      </c>
      <c r="D46" s="66">
        <f>$D$47*0.11</f>
        <v>1705</v>
      </c>
      <c r="E46" s="66">
        <f>0.12*$E$47</f>
        <v>2052</v>
      </c>
      <c r="F46" s="66">
        <f>E46*1.09</f>
        <v>2236.6800000000003</v>
      </c>
      <c r="G46" s="66">
        <f>0.12*$G$47</f>
        <v>3000</v>
      </c>
      <c r="H46" s="66">
        <v>3500</v>
      </c>
      <c r="I46" s="77">
        <v>3800</v>
      </c>
    </row>
    <row r="47" spans="1:9" ht="15" customHeight="1" thickBot="1" x14ac:dyDescent="0.25">
      <c r="A47" s="78" t="s">
        <v>12</v>
      </c>
      <c r="B47" s="79">
        <v>12300</v>
      </c>
      <c r="C47" s="79">
        <v>14000</v>
      </c>
      <c r="D47" s="79">
        <v>15500</v>
      </c>
      <c r="E47" s="79">
        <v>17100</v>
      </c>
      <c r="F47" s="79">
        <f>E47*1.1</f>
        <v>18810</v>
      </c>
      <c r="G47" s="79">
        <v>25000</v>
      </c>
      <c r="H47" s="79">
        <f>SUM(H41:H46)</f>
        <v>32970</v>
      </c>
      <c r="I47" s="80">
        <v>38450</v>
      </c>
    </row>
    <row r="48" spans="1:9" ht="15" customHeight="1" x14ac:dyDescent="0.2">
      <c r="A48" s="32"/>
      <c r="B48" s="54"/>
      <c r="C48" s="54"/>
      <c r="D48" s="54"/>
      <c r="E48" s="54"/>
      <c r="F48" s="54"/>
      <c r="G48" s="54"/>
      <c r="H48" s="54"/>
      <c r="I48" s="54"/>
    </row>
    <row r="49" spans="1:9" ht="15" customHeight="1" thickBot="1" x14ac:dyDescent="0.25">
      <c r="A49" s="32"/>
      <c r="B49" s="54"/>
      <c r="C49" s="54"/>
      <c r="D49" s="54"/>
      <c r="E49" s="54"/>
      <c r="F49" s="54"/>
      <c r="G49" s="54"/>
      <c r="H49" s="54"/>
      <c r="I49" s="54"/>
    </row>
    <row r="50" spans="1:9" ht="30" customHeight="1" x14ac:dyDescent="0.2">
      <c r="A50" s="71" t="s">
        <v>61</v>
      </c>
      <c r="B50" s="64">
        <v>2013</v>
      </c>
      <c r="C50" s="64">
        <v>2014</v>
      </c>
      <c r="D50" s="64">
        <v>2015</v>
      </c>
      <c r="E50" s="64">
        <v>2016</v>
      </c>
      <c r="F50" s="64">
        <v>2017</v>
      </c>
      <c r="G50" s="64">
        <v>2020</v>
      </c>
      <c r="H50" s="64">
        <v>2023</v>
      </c>
      <c r="I50" s="72">
        <v>2025</v>
      </c>
    </row>
    <row r="51" spans="1:9" ht="15" customHeight="1" x14ac:dyDescent="0.2">
      <c r="A51" s="65" t="s">
        <v>24</v>
      </c>
      <c r="B51" s="66">
        <f>'DATA 4'!B51*B41/1000</f>
        <v>90.036000000000001</v>
      </c>
      <c r="C51" s="66">
        <f>'DATA 4'!C51*C41/1000</f>
        <v>92.4</v>
      </c>
      <c r="D51" s="66">
        <f>'DATA 4'!D51*D41/1000</f>
        <v>84.184615384615384</v>
      </c>
      <c r="E51" s="66">
        <f>'DATA 4'!E51*E41/1000</f>
        <v>82.08</v>
      </c>
      <c r="F51" s="66">
        <f>'DATA 4'!F51*F41/1000</f>
        <v>80.028000000000006</v>
      </c>
      <c r="G51" s="66">
        <f>'DATA 4'!G51*G41/1000</f>
        <v>75</v>
      </c>
      <c r="H51" s="66">
        <f>'DATA 4'!H51*H41/1000</f>
        <v>71.400000000000006</v>
      </c>
      <c r="I51" s="77">
        <f>'DATA 4'!I51*I41/1000</f>
        <v>69</v>
      </c>
    </row>
    <row r="52" spans="1:9" ht="15" customHeight="1" x14ac:dyDescent="0.2">
      <c r="A52" s="65" t="s">
        <v>2</v>
      </c>
      <c r="B52" s="66">
        <f>'DATA 4'!B52*B42/1000</f>
        <v>8.5998347107437993</v>
      </c>
      <c r="C52" s="66">
        <f>'DATA 4'!C52*C42/1000</f>
        <v>11.454545454545453</v>
      </c>
      <c r="D52" s="66">
        <f>'DATA 4'!D52*D42/1000</f>
        <v>17.670000000000002</v>
      </c>
      <c r="E52" s="66">
        <f>'DATA 4'!E52*E42/1000</f>
        <v>23.700600000000001</v>
      </c>
      <c r="F52" s="66">
        <f>'DATA 4'!F52*F42/1000</f>
        <v>28.938432600000006</v>
      </c>
      <c r="G52" s="66">
        <f>'DATA 4'!G52*G42/1000</f>
        <v>48.325055625000019</v>
      </c>
      <c r="H52" s="66">
        <f>'DATA 4'!H52*H42/1000</f>
        <v>52.107016500000022</v>
      </c>
      <c r="I52" s="77">
        <f>'DATA 4'!I52*I42/1000</f>
        <v>54.628323750000021</v>
      </c>
    </row>
    <row r="53" spans="1:9" ht="15" customHeight="1" x14ac:dyDescent="0.2">
      <c r="A53" s="65" t="s">
        <v>3</v>
      </c>
      <c r="B53" s="66">
        <f>'DATA 4'!B53*B43/1000</f>
        <v>5.6580000000000004</v>
      </c>
      <c r="C53" s="66">
        <f>'DATA 4'!C53*C43/1000</f>
        <v>8.4</v>
      </c>
      <c r="D53" s="66">
        <f>'DATA 4'!D53*D43/1000</f>
        <v>9.3000000000000007</v>
      </c>
      <c r="E53" s="66">
        <f>'DATA 4'!E53*E43/1000</f>
        <v>10.26</v>
      </c>
      <c r="F53" s="66">
        <f>'DATA 4'!F53*F43/1000</f>
        <v>14.26</v>
      </c>
      <c r="G53" s="66">
        <f>'DATA 4'!G53*G43/1000</f>
        <v>15</v>
      </c>
      <c r="H53" s="66">
        <f>'DATA 4'!H53*H43/1000</f>
        <v>15.6</v>
      </c>
      <c r="I53" s="77">
        <f>'DATA 4'!I53*I43/1000</f>
        <v>16</v>
      </c>
    </row>
    <row r="54" spans="1:9" ht="15" customHeight="1" x14ac:dyDescent="0.2">
      <c r="A54" s="65" t="s">
        <v>11</v>
      </c>
      <c r="B54" s="66">
        <f>'DATA 4'!B54*B44/1000</f>
        <v>4.6248000000000005</v>
      </c>
      <c r="C54" s="66">
        <f>'DATA 4'!C54*C44/1000</f>
        <v>4.4800000000000004</v>
      </c>
      <c r="D54" s="66">
        <f>'DATA 4'!D54*D44/1000</f>
        <v>3.72</v>
      </c>
      <c r="E54" s="66">
        <f>'DATA 4'!E54*E44/1000</f>
        <v>3.2490000000000001</v>
      </c>
      <c r="F54" s="66">
        <f>'DATA 4'!F54*F44/1000</f>
        <v>2.8539899999999996</v>
      </c>
      <c r="G54" s="66">
        <f>'DATA 4'!G54*G44/1000</f>
        <v>1.5</v>
      </c>
      <c r="H54" s="66">
        <f>'DATA 4'!H54*H44/1000</f>
        <v>1.3</v>
      </c>
      <c r="I54" s="77">
        <f>'DATA 4'!I54*I44/1000</f>
        <v>1.2</v>
      </c>
    </row>
    <row r="55" spans="1:9" ht="15" customHeight="1" x14ac:dyDescent="0.2">
      <c r="A55" s="65" t="s">
        <v>13</v>
      </c>
      <c r="B55" s="66">
        <f>'DATA 4'!B55*B45/1000</f>
        <v>0.68634000000000006</v>
      </c>
      <c r="C55" s="66">
        <f>'DATA 4'!C55*C45/1000</f>
        <v>1.008</v>
      </c>
      <c r="D55" s="66">
        <f>'DATA 4'!D55*D45/1000</f>
        <v>1.395</v>
      </c>
      <c r="E55" s="66">
        <f>'DATA 4'!E55*E45/1000</f>
        <v>1.7442</v>
      </c>
      <c r="F55" s="66">
        <f>'DATA 4'!F55*F45/1000</f>
        <v>2.0755979999999998</v>
      </c>
      <c r="G55" s="66">
        <f>'DATA 4'!G55*G45/1000</f>
        <v>3.75</v>
      </c>
      <c r="H55" s="66">
        <f>'DATA 4'!H55*H45/1000</f>
        <v>6</v>
      </c>
      <c r="I55" s="77">
        <f>'DATA 4'!I55*I45/1000</f>
        <v>7.5</v>
      </c>
    </row>
    <row r="56" spans="1:9" ht="15" customHeight="1" x14ac:dyDescent="0.2">
      <c r="A56" s="65" t="s">
        <v>26</v>
      </c>
      <c r="B56" s="66">
        <f>'DATA 4'!B56*B46/1000</f>
        <v>270.60000000000002</v>
      </c>
      <c r="C56" s="66">
        <f>'DATA 4'!C56*C46/1000</f>
        <v>308</v>
      </c>
      <c r="D56" s="66">
        <f>'DATA 4'!D56*D46/1000</f>
        <v>341</v>
      </c>
      <c r="E56" s="66">
        <f>'DATA 4'!E56*E46/1000</f>
        <v>410.4</v>
      </c>
      <c r="F56" s="66">
        <f>'DATA 4'!F56*F46/1000</f>
        <v>447.33600000000007</v>
      </c>
      <c r="G56" s="66">
        <f>'DATA 4'!G56*G46/1000</f>
        <v>600</v>
      </c>
      <c r="H56" s="66">
        <f>'DATA 4'!H56*H46/1000</f>
        <v>700</v>
      </c>
      <c r="I56" s="77">
        <f>'DATA 4'!I56*I46/1000</f>
        <v>760</v>
      </c>
    </row>
    <row r="57" spans="1:9" ht="15" customHeight="1" thickBot="1" x14ac:dyDescent="0.25">
      <c r="A57" s="78" t="s">
        <v>12</v>
      </c>
      <c r="B57" s="79">
        <f t="shared" ref="B57:G57" si="3">SUM(B51:B56)</f>
        <v>380.20497471074384</v>
      </c>
      <c r="C57" s="79">
        <f t="shared" si="3"/>
        <v>425.74254545454545</v>
      </c>
      <c r="D57" s="79">
        <f t="shared" si="3"/>
        <v>457.26961538461535</v>
      </c>
      <c r="E57" s="79">
        <f t="shared" si="3"/>
        <v>531.43380000000002</v>
      </c>
      <c r="F57" s="79">
        <f t="shared" si="3"/>
        <v>575.49202060000016</v>
      </c>
      <c r="G57" s="79">
        <f t="shared" si="3"/>
        <v>743.575055625</v>
      </c>
      <c r="H57" s="79">
        <f>SUM(H51:H56)</f>
        <v>846.40701650000005</v>
      </c>
      <c r="I57" s="80">
        <f>SUM(I51:I56)</f>
        <v>908.32832374999998</v>
      </c>
    </row>
    <row r="58" spans="1:9" ht="15" customHeight="1" x14ac:dyDescent="0.2">
      <c r="A58" s="51"/>
      <c r="B58" s="55"/>
      <c r="C58" s="55"/>
      <c r="D58" s="55"/>
      <c r="E58" s="55"/>
      <c r="F58" s="55"/>
      <c r="G58" s="55"/>
      <c r="H58" s="55"/>
      <c r="I58" s="55"/>
    </row>
    <row r="59" spans="1:9" ht="15" customHeight="1" thickBot="1" x14ac:dyDescent="0.25">
      <c r="A59" s="51"/>
      <c r="B59" s="55"/>
      <c r="C59" s="55"/>
      <c r="D59" s="55"/>
      <c r="E59" s="55"/>
      <c r="F59" s="55"/>
      <c r="G59" s="55"/>
      <c r="H59" s="55"/>
      <c r="I59" s="55"/>
    </row>
    <row r="60" spans="1:9" ht="30" customHeight="1" x14ac:dyDescent="0.2">
      <c r="A60" s="71" t="s">
        <v>27</v>
      </c>
      <c r="B60" s="64">
        <v>2013</v>
      </c>
      <c r="C60" s="64">
        <v>2014</v>
      </c>
      <c r="D60" s="64">
        <v>2015</v>
      </c>
      <c r="E60" s="64">
        <v>2016</v>
      </c>
      <c r="F60" s="64">
        <v>2017</v>
      </c>
      <c r="G60" s="64">
        <v>2020</v>
      </c>
      <c r="H60" s="64">
        <v>2023</v>
      </c>
      <c r="I60" s="72">
        <v>2025</v>
      </c>
    </row>
    <row r="61" spans="1:9" ht="15" customHeight="1" x14ac:dyDescent="0.2">
      <c r="A61" s="65" t="s">
        <v>33</v>
      </c>
      <c r="B61" s="66">
        <f>'DATA 4'!B60</f>
        <v>342.72</v>
      </c>
      <c r="C61" s="66">
        <f>'DATA 4'!C60</f>
        <v>388.8</v>
      </c>
      <c r="D61" s="66">
        <f>'DATA 4'!D60</f>
        <v>506.48275862068965</v>
      </c>
      <c r="E61" s="66">
        <f>'DATA 4'!E60</f>
        <v>587.52</v>
      </c>
      <c r="F61" s="66">
        <f>'DATA 4'!F60</f>
        <v>681.52319999999997</v>
      </c>
      <c r="G61" s="66">
        <f>'DATA 4'!G60</f>
        <v>1063.7868367871999</v>
      </c>
      <c r="H61" s="66">
        <f>'DATA 4'!H60</f>
        <v>1415.9002797637636</v>
      </c>
      <c r="I61" s="77">
        <f>'DATA 4'!I60</f>
        <v>1713.239338514154</v>
      </c>
    </row>
    <row r="62" spans="1:9" ht="15" customHeight="1" x14ac:dyDescent="0.2">
      <c r="A62" s="65" t="s">
        <v>30</v>
      </c>
      <c r="B62" s="66">
        <f>'DATA 4'!B61</f>
        <v>250.92</v>
      </c>
      <c r="C62" s="66">
        <f>'DATA 4'!C61</f>
        <v>302.39999999999998</v>
      </c>
      <c r="D62" s="66">
        <f>'DATA 4'!D61</f>
        <v>403.2</v>
      </c>
      <c r="E62" s="66">
        <f>'DATA 4'!E61</f>
        <v>483.84</v>
      </c>
      <c r="F62" s="66">
        <f>'DATA 4'!F61</f>
        <v>580.60799999999995</v>
      </c>
      <c r="G62" s="66">
        <f>'DATA 4'!G61</f>
        <v>1560.3333670528007</v>
      </c>
      <c r="H62" s="66">
        <f>'DATA 4'!H61</f>
        <v>2373.0720096164273</v>
      </c>
      <c r="I62" s="77">
        <f>'DATA 4'!I61</f>
        <v>3138.3877327177247</v>
      </c>
    </row>
    <row r="63" spans="1:9" ht="15" customHeight="1" x14ac:dyDescent="0.2">
      <c r="A63" s="65" t="s">
        <v>31</v>
      </c>
      <c r="B63" s="66">
        <f>'DATA 4'!B62</f>
        <v>593.64</v>
      </c>
      <c r="C63" s="66">
        <f>'DATA 4'!C62</f>
        <v>691.2</v>
      </c>
      <c r="D63" s="66">
        <f>'DATA 4'!D62</f>
        <v>909.68275862068958</v>
      </c>
      <c r="E63" s="66">
        <f>'DATA 4'!E62</f>
        <v>1071.3599999999999</v>
      </c>
      <c r="F63" s="66">
        <f>'DATA 4'!F62</f>
        <v>1262.1311999999998</v>
      </c>
      <c r="G63" s="66">
        <f>'DATA 4'!G62</f>
        <v>2624.1202038400006</v>
      </c>
      <c r="H63" s="66">
        <f>'DATA 4'!H62</f>
        <v>3788.9722893801909</v>
      </c>
      <c r="I63" s="77">
        <f>'DATA 4'!I62</f>
        <v>4851.6270712318783</v>
      </c>
    </row>
    <row r="64" spans="1:9" ht="15" customHeight="1" x14ac:dyDescent="0.2">
      <c r="A64" s="65" t="s">
        <v>32</v>
      </c>
      <c r="B64" s="66">
        <f>'DATA 4'!B63</f>
        <v>16</v>
      </c>
      <c r="C64" s="66">
        <f>'DATA 4'!C63</f>
        <v>28.799999999999955</v>
      </c>
      <c r="D64" s="66">
        <f>'DATA 4'!D63</f>
        <v>58.904109589041099</v>
      </c>
      <c r="E64" s="66">
        <f>'DATA 4'!E63</f>
        <v>86</v>
      </c>
      <c r="F64" s="66">
        <f>'DATA 4'!F63</f>
        <v>125.56</v>
      </c>
      <c r="G64" s="66">
        <f>'DATA 4'!G63</f>
        <v>390.75979615999995</v>
      </c>
      <c r="H64" s="66">
        <f>'DATA 4'!H63</f>
        <v>1026.082081383882</v>
      </c>
      <c r="I64" s="77">
        <f>'DATA 4'!I63</f>
        <v>1667.3833822488084</v>
      </c>
    </row>
    <row r="65" spans="1:9" ht="15" customHeight="1" x14ac:dyDescent="0.2">
      <c r="A65" s="65" t="s">
        <v>29</v>
      </c>
      <c r="B65" s="66">
        <f>'DATA 4'!B64</f>
        <v>609.64</v>
      </c>
      <c r="C65" s="66">
        <f>'DATA 4'!C64</f>
        <v>720</v>
      </c>
      <c r="D65" s="66">
        <f>'DATA 4'!D64</f>
        <v>968.58686820973071</v>
      </c>
      <c r="E65" s="66">
        <f>'DATA 4'!E64</f>
        <v>1157.3599999999999</v>
      </c>
      <c r="F65" s="66">
        <f>'DATA 4'!F64</f>
        <v>1387.6911999999998</v>
      </c>
      <c r="G65" s="66">
        <f>'DATA 4'!G64</f>
        <v>3014.8800000000006</v>
      </c>
      <c r="H65" s="66">
        <f>'DATA 4'!H64</f>
        <v>4815.0543707640727</v>
      </c>
      <c r="I65" s="77">
        <f>'DATA 4'!I64</f>
        <v>6519.0104534806869</v>
      </c>
    </row>
    <row r="66" spans="1:9" ht="15" customHeight="1" thickBot="1" x14ac:dyDescent="0.25">
      <c r="A66" s="74" t="s">
        <v>16</v>
      </c>
      <c r="B66" s="82">
        <f>'DATA 4'!B65</f>
        <v>3070</v>
      </c>
      <c r="C66" s="82">
        <f>'DATA 4'!C65</f>
        <v>3400</v>
      </c>
      <c r="D66" s="82">
        <f>'DATA 4'!D65</f>
        <v>4700</v>
      </c>
      <c r="E66" s="82">
        <f>'DATA 4'!E65</f>
        <v>6800</v>
      </c>
      <c r="F66" s="82">
        <f>'DATA 4'!F65</f>
        <v>9100</v>
      </c>
      <c r="G66" s="82">
        <f>'DATA 4'!G65</f>
        <v>20700</v>
      </c>
      <c r="H66" s="82">
        <f>'DATA 4'!H65</f>
        <v>43387.200000000004</v>
      </c>
      <c r="I66" s="83">
        <f>'DATA 4'!I65</f>
        <v>61423.259039999997</v>
      </c>
    </row>
    <row r="67" spans="1:9" ht="15" customHeight="1" x14ac:dyDescent="0.2">
      <c r="A67" s="54"/>
      <c r="B67" s="55"/>
      <c r="C67" s="55"/>
      <c r="D67" s="55"/>
      <c r="E67" s="55"/>
      <c r="F67" s="55"/>
      <c r="G67" s="55"/>
      <c r="H67" s="55"/>
      <c r="I67" s="55"/>
    </row>
    <row r="68" spans="1:9" ht="15" customHeight="1" thickBot="1" x14ac:dyDescent="0.25">
      <c r="A68" s="54"/>
      <c r="B68" s="55"/>
      <c r="C68" s="55"/>
      <c r="D68" s="55"/>
      <c r="E68" s="55"/>
      <c r="F68" s="55"/>
      <c r="G68" s="55"/>
      <c r="H68" s="55"/>
      <c r="I68" s="55"/>
    </row>
    <row r="69" spans="1:9" ht="30" customHeight="1" x14ac:dyDescent="0.2">
      <c r="A69" s="71" t="s">
        <v>28</v>
      </c>
      <c r="B69" s="64">
        <v>2013</v>
      </c>
      <c r="C69" s="64">
        <v>2014</v>
      </c>
      <c r="D69" s="64">
        <v>2015</v>
      </c>
      <c r="E69" s="64">
        <v>2016</v>
      </c>
      <c r="F69" s="64">
        <v>2017</v>
      </c>
      <c r="G69" s="64">
        <v>2020</v>
      </c>
      <c r="H69" s="64">
        <v>2023</v>
      </c>
      <c r="I69" s="72">
        <v>2025</v>
      </c>
    </row>
    <row r="70" spans="1:9" ht="15" customHeight="1" x14ac:dyDescent="0.2">
      <c r="A70" s="65" t="s">
        <v>33</v>
      </c>
      <c r="B70" s="66">
        <f xml:space="preserve"> 'DATA 4'!B69*'DATA 4'!B60</f>
        <v>224.13888000000003</v>
      </c>
      <c r="C70" s="66">
        <f xml:space="preserve"> 'DATA 4'!C69*'DATA 4'!C60</f>
        <v>229.00319999999999</v>
      </c>
      <c r="D70" s="66">
        <f xml:space="preserve"> 'DATA 4'!D69*'DATA 4'!D60</f>
        <v>268.35887668965523</v>
      </c>
      <c r="E70" s="66">
        <f xml:space="preserve"> 'DATA 4'!E69*'DATA 4'!E60</f>
        <v>280.16666726400007</v>
      </c>
      <c r="F70" s="66">
        <f xml:space="preserve"> 'DATA 4'!F69*'DATA 4'!F60</f>
        <v>292.49400062361605</v>
      </c>
      <c r="G70" s="66">
        <f xml:space="preserve"> 'DATA 4'!G69*'DATA 4'!G60</f>
        <v>332.68975912366574</v>
      </c>
      <c r="H70" s="66">
        <f xml:space="preserve"> 'DATA 4'!H69*'DATA 4'!H60</f>
        <v>322.80854058793392</v>
      </c>
      <c r="I70" s="77">
        <f xml:space="preserve"> 'DATA 4'!I69*'DATA 4'!I60</f>
        <v>316.38465063023403</v>
      </c>
    </row>
    <row r="71" spans="1:9" ht="15" customHeight="1" x14ac:dyDescent="0.2">
      <c r="A71" s="65" t="s">
        <v>30</v>
      </c>
      <c r="B71" s="66">
        <f xml:space="preserve"> 'DATA 4'!B70*'DATA 4'!B61</f>
        <v>57.962519999999998</v>
      </c>
      <c r="C71" s="66">
        <f xml:space="preserve"> 'DATA 4'!C70*'DATA 4'!C61</f>
        <v>62.899199999999993</v>
      </c>
      <c r="D71" s="66">
        <f xml:space="preserve"> 'DATA 4'!D70*'DATA 4'!D61</f>
        <v>75.54072960000002</v>
      </c>
      <c r="E71" s="66">
        <f xml:space="preserve"> 'DATA 4'!E70*'DATA 4'!E61</f>
        <v>81.583987968000031</v>
      </c>
      <c r="F71" s="66">
        <f xml:space="preserve"> 'DATA 4'!F70*'DATA 4'!F61</f>
        <v>88.11070700544002</v>
      </c>
      <c r="G71" s="66">
        <f xml:space="preserve"> 'DATA 4'!G70*'DATA 4'!G61</f>
        <v>172.89741973638675</v>
      </c>
      <c r="H71" s="66">
        <f xml:space="preserve"> 'DATA 4'!H70*'DATA 4'!H61</f>
        <v>191.69445980310968</v>
      </c>
      <c r="I71" s="77">
        <f xml:space="preserve"> 'DATA 4'!I70*'DATA 4'!I61</f>
        <v>205.34789770258615</v>
      </c>
    </row>
    <row r="72" spans="1:9" ht="15" customHeight="1" x14ac:dyDescent="0.2">
      <c r="A72" s="65" t="s">
        <v>32</v>
      </c>
      <c r="B72" s="66">
        <f xml:space="preserve"> 'DATA 4'!B71*'DATA 4'!B63</f>
        <v>152.42105263157896</v>
      </c>
      <c r="C72" s="66">
        <f xml:space="preserve"> 'DATA 4'!C71*'DATA 4'!C63</f>
        <v>141.45882352941155</v>
      </c>
      <c r="D72" s="66">
        <f xml:space="preserve"> 'DATA 4'!D71*'DATA 4'!D63</f>
        <v>119.08161066113433</v>
      </c>
      <c r="E72" s="66">
        <f xml:space="preserve"> 'DATA 4'!E71*'DATA 4'!E63</f>
        <v>108.89332807509602</v>
      </c>
      <c r="F72" s="66">
        <f xml:space="preserve"> 'DATA 4'!F71*'DATA 4'!F63</f>
        <v>97.459044269099081</v>
      </c>
      <c r="G72" s="66">
        <f xml:space="preserve"> 'DATA 4'!G71*'DATA 4'!G63</f>
        <v>70.336763308799988</v>
      </c>
      <c r="H72" s="66">
        <f xml:space="preserve"> 'DATA 4'!H71*'DATA 4'!H63</f>
        <v>64.643171127184573</v>
      </c>
      <c r="I72" s="77">
        <f xml:space="preserve"> 'DATA 4'!I71*'DATA 4'!I63</f>
        <v>60.025801760957101</v>
      </c>
    </row>
    <row r="73" spans="1:9" ht="15" customHeight="1" thickBot="1" x14ac:dyDescent="0.25">
      <c r="A73" s="74" t="s">
        <v>16</v>
      </c>
      <c r="B73" s="82">
        <f xml:space="preserve"> 'DATA 4'!B72*'DATA 4'!B65</f>
        <v>322.56369845022323</v>
      </c>
      <c r="C73" s="82">
        <f xml:space="preserve"> 'DATA 4'!C72*'DATA 4'!C65</f>
        <v>321.51300236406621</v>
      </c>
      <c r="D73" s="82">
        <f xml:space="preserve"> 'DATA 4'!D72*'DATA 4'!D65</f>
        <v>400</v>
      </c>
      <c r="E73" s="82">
        <f xml:space="preserve"> 'DATA 4'!E72*'DATA 4'!E65</f>
        <v>503.48936170212767</v>
      </c>
      <c r="F73" s="82">
        <f xml:space="preserve"> 'DATA 4'!F72*'DATA 4'!F65</f>
        <v>559.24340425531921</v>
      </c>
      <c r="G73" s="82">
        <f xml:space="preserve"> 'DATA 4'!G72*'DATA 4'!G65</f>
        <v>651.32805446808527</v>
      </c>
      <c r="H73" s="82">
        <f xml:space="preserve"> 'DATA 4'!H72*'DATA 4'!H65</f>
        <v>752.60660730319319</v>
      </c>
      <c r="I73" s="83">
        <f xml:space="preserve"> 'DATA 4'!I72*'DATA 4'!I65</f>
        <v>760.74213420681906</v>
      </c>
    </row>
    <row r="74" spans="1:9" ht="15" customHeight="1" x14ac:dyDescent="0.2">
      <c r="A74" s="50"/>
      <c r="B74" s="31"/>
      <c r="C74" s="31"/>
      <c r="D74" s="31"/>
      <c r="E74" s="31"/>
      <c r="F74" s="31"/>
      <c r="G74" s="31"/>
      <c r="H74" s="31"/>
      <c r="I74" s="31"/>
    </row>
    <row r="75" spans="1:9" ht="15" customHeight="1" x14ac:dyDescent="0.2">
      <c r="A75" s="17"/>
      <c r="B75" s="2"/>
      <c r="C75" s="2"/>
      <c r="D75" s="2"/>
      <c r="E75" s="2"/>
      <c r="F75" s="2"/>
      <c r="G75" s="2"/>
      <c r="H75" s="2"/>
      <c r="I75" s="2"/>
    </row>
    <row r="76" spans="1:9" ht="15" customHeight="1" thickBot="1" x14ac:dyDescent="0.25">
      <c r="A76" s="17"/>
      <c r="B76" s="2"/>
      <c r="C76" s="2"/>
      <c r="D76" s="2"/>
      <c r="E76" s="2"/>
      <c r="F76" s="2"/>
      <c r="G76" s="2"/>
      <c r="H76" s="2"/>
      <c r="I76" s="2"/>
    </row>
    <row r="77" spans="1:9" ht="30" customHeight="1" x14ac:dyDescent="0.2">
      <c r="A77" s="142" t="s">
        <v>42</v>
      </c>
      <c r="B77" s="143"/>
      <c r="C77" s="143"/>
      <c r="D77" s="143"/>
      <c r="E77" s="143"/>
      <c r="F77" s="143"/>
      <c r="G77" s="143"/>
      <c r="H77" s="143"/>
      <c r="I77" s="144"/>
    </row>
    <row r="78" spans="1:9" ht="30" customHeight="1" x14ac:dyDescent="0.2">
      <c r="A78" s="84" t="s">
        <v>62</v>
      </c>
      <c r="B78" s="68">
        <v>2013</v>
      </c>
      <c r="C78" s="68">
        <v>2014</v>
      </c>
      <c r="D78" s="68">
        <v>2015</v>
      </c>
      <c r="E78" s="68">
        <v>2016</v>
      </c>
      <c r="F78" s="68">
        <v>2017</v>
      </c>
      <c r="G78" s="68">
        <v>2020</v>
      </c>
      <c r="H78" s="68">
        <v>2023</v>
      </c>
      <c r="I78" s="85">
        <v>2025</v>
      </c>
    </row>
    <row r="79" spans="1:9" ht="15" customHeight="1" x14ac:dyDescent="0.2">
      <c r="A79" s="86" t="s">
        <v>36</v>
      </c>
      <c r="B79" s="66">
        <f t="shared" ref="B79:I79" si="4">B57</f>
        <v>380.20497471074384</v>
      </c>
      <c r="C79" s="66">
        <f t="shared" si="4"/>
        <v>425.74254545454545</v>
      </c>
      <c r="D79" s="66">
        <f t="shared" si="4"/>
        <v>457.26961538461535</v>
      </c>
      <c r="E79" s="66">
        <f t="shared" si="4"/>
        <v>531.43380000000002</v>
      </c>
      <c r="F79" s="66">
        <f t="shared" si="4"/>
        <v>575.49202060000016</v>
      </c>
      <c r="G79" s="66">
        <f t="shared" si="4"/>
        <v>743.575055625</v>
      </c>
      <c r="H79" s="66">
        <f t="shared" si="4"/>
        <v>846.40701650000005</v>
      </c>
      <c r="I79" s="77">
        <f t="shared" si="4"/>
        <v>908.32832374999998</v>
      </c>
    </row>
    <row r="80" spans="1:9" ht="15" customHeight="1" x14ac:dyDescent="0.2">
      <c r="A80" s="86" t="s">
        <v>15</v>
      </c>
      <c r="B80" s="66">
        <f t="shared" ref="B80:I80" si="5">B70+B71+B72</f>
        <v>434.52245263157897</v>
      </c>
      <c r="C80" s="66">
        <f t="shared" si="5"/>
        <v>433.36122352941152</v>
      </c>
      <c r="D80" s="66">
        <f t="shared" si="5"/>
        <v>462.98121695078959</v>
      </c>
      <c r="E80" s="66">
        <f t="shared" si="5"/>
        <v>470.64398330709611</v>
      </c>
      <c r="F80" s="66">
        <f t="shared" si="5"/>
        <v>478.06375189815515</v>
      </c>
      <c r="G80" s="66">
        <f t="shared" si="5"/>
        <v>575.92394216885248</v>
      </c>
      <c r="H80" s="66">
        <f t="shared" si="5"/>
        <v>579.14617151822813</v>
      </c>
      <c r="I80" s="77">
        <f t="shared" si="5"/>
        <v>581.75835009377727</v>
      </c>
    </row>
    <row r="81" spans="1:9" ht="15" customHeight="1" x14ac:dyDescent="0.2">
      <c r="A81" s="86" t="s">
        <v>16</v>
      </c>
      <c r="B81" s="66">
        <f t="shared" ref="B81:I81" si="6">B73</f>
        <v>322.56369845022323</v>
      </c>
      <c r="C81" s="66">
        <f t="shared" si="6"/>
        <v>321.51300236406621</v>
      </c>
      <c r="D81" s="66">
        <f t="shared" si="6"/>
        <v>400</v>
      </c>
      <c r="E81" s="66">
        <f t="shared" si="6"/>
        <v>503.48936170212767</v>
      </c>
      <c r="F81" s="66">
        <f t="shared" si="6"/>
        <v>559.24340425531921</v>
      </c>
      <c r="G81" s="66">
        <f t="shared" si="6"/>
        <v>651.32805446808527</v>
      </c>
      <c r="H81" s="66">
        <f t="shared" si="6"/>
        <v>752.60660730319319</v>
      </c>
      <c r="I81" s="77">
        <f t="shared" si="6"/>
        <v>760.74213420681906</v>
      </c>
    </row>
    <row r="82" spans="1:9" ht="15" customHeight="1" x14ac:dyDescent="0.2">
      <c r="A82" s="84" t="s">
        <v>68</v>
      </c>
      <c r="B82" s="66">
        <f t="shared" ref="B82:I82" si="7">SUM(B79:B81)</f>
        <v>1137.2911257925462</v>
      </c>
      <c r="C82" s="66">
        <f t="shared" si="7"/>
        <v>1180.6167713480231</v>
      </c>
      <c r="D82" s="66">
        <f t="shared" si="7"/>
        <v>1320.250832335405</v>
      </c>
      <c r="E82" s="66">
        <f t="shared" si="7"/>
        <v>1505.5671450092236</v>
      </c>
      <c r="F82" s="66">
        <f t="shared" si="7"/>
        <v>1612.7991767534745</v>
      </c>
      <c r="G82" s="66">
        <f t="shared" si="7"/>
        <v>1970.8270522619378</v>
      </c>
      <c r="H82" s="66">
        <f t="shared" si="7"/>
        <v>2178.1597953214214</v>
      </c>
      <c r="I82" s="77">
        <f t="shared" si="7"/>
        <v>2250.8288080505963</v>
      </c>
    </row>
    <row r="83" spans="1:9" ht="15" customHeight="1" x14ac:dyDescent="0.2">
      <c r="A83" s="84" t="s">
        <v>72</v>
      </c>
      <c r="B83" s="69">
        <f>B82/'DATA 4'!B12</f>
        <v>1.0652443869271173E-2</v>
      </c>
      <c r="C83" s="69">
        <f>C82/'DATA 4'!C12</f>
        <v>1.0927316434595054E-2</v>
      </c>
      <c r="D83" s="69">
        <f>D82/'DATA 4'!D12</f>
        <v>1.2098597226478219E-2</v>
      </c>
      <c r="E83" s="69">
        <f>E82/'DATA 4'!E12</f>
        <v>1.3660208369860575E-2</v>
      </c>
      <c r="F83" s="69">
        <f>F82/'DATA 4'!F12</f>
        <v>1.448825611106533E-2</v>
      </c>
      <c r="G83" s="69">
        <f>G82/'DATA 4'!G12</f>
        <v>1.7183839788871811E-2</v>
      </c>
      <c r="H83" s="69">
        <f>H82/'DATA 4'!H12</f>
        <v>1.8433054885074983E-2</v>
      </c>
      <c r="I83" s="87">
        <f>I82/'DATA 4'!I12</f>
        <v>1.8672707581193528E-2</v>
      </c>
    </row>
    <row r="84" spans="1:9" ht="15" customHeight="1" x14ac:dyDescent="0.2">
      <c r="A84" s="84" t="s">
        <v>70</v>
      </c>
      <c r="B84" s="66">
        <f t="shared" ref="B84:I84" si="8">B37</f>
        <v>889.00851402742694</v>
      </c>
      <c r="C84" s="66">
        <f t="shared" si="8"/>
        <v>961.65191892506755</v>
      </c>
      <c r="D84" s="66">
        <f t="shared" si="8"/>
        <v>1052.735857519815</v>
      </c>
      <c r="E84" s="66">
        <f t="shared" si="8"/>
        <v>1166.8531539252965</v>
      </c>
      <c r="F84" s="66">
        <f t="shared" si="8"/>
        <v>1338.4776097942588</v>
      </c>
      <c r="G84" s="66">
        <f t="shared" si="8"/>
        <v>1681.5218170540693</v>
      </c>
      <c r="H84" s="66">
        <f t="shared" si="8"/>
        <v>1483.6254076274565</v>
      </c>
      <c r="I84" s="77">
        <f t="shared" si="8"/>
        <v>1459.5603136332475</v>
      </c>
    </row>
    <row r="85" spans="1:9" ht="15" customHeight="1" x14ac:dyDescent="0.2">
      <c r="A85" s="84" t="s">
        <v>69</v>
      </c>
      <c r="B85" s="69">
        <f>B84/'DATA 4'!B12</f>
        <v>8.3269033585238652E-3</v>
      </c>
      <c r="C85" s="69">
        <f>C84/'DATA 4'!C12</f>
        <v>8.9006653751254588E-3</v>
      </c>
      <c r="D85" s="69">
        <f>D84/'DATA 4'!D12</f>
        <v>9.647126753537778E-3</v>
      </c>
      <c r="E85" s="69">
        <f>E84/'DATA 4'!E12</f>
        <v>1.0587011859607824E-2</v>
      </c>
      <c r="F85" s="69">
        <f>F84/'DATA 4'!F12</f>
        <v>1.2023943643536466E-2</v>
      </c>
      <c r="G85" s="69">
        <f>G84/'DATA 4'!G12</f>
        <v>1.4661358272196771E-2</v>
      </c>
      <c r="H85" s="69">
        <f>H84/'DATA 4'!H12</f>
        <v>1.2555437221102994E-2</v>
      </c>
      <c r="I85" s="87">
        <f>I84/'DATA 4'!I12</f>
        <v>1.2108403285096084E-2</v>
      </c>
    </row>
    <row r="86" spans="1:9" ht="15" customHeight="1" x14ac:dyDescent="0.2">
      <c r="A86" s="81" t="s">
        <v>71</v>
      </c>
      <c r="B86" s="68">
        <f t="shared" ref="B86:I86" si="9">B82+B84</f>
        <v>2026.299639819973</v>
      </c>
      <c r="C86" s="68">
        <f t="shared" si="9"/>
        <v>2142.2686902730907</v>
      </c>
      <c r="D86" s="68">
        <f t="shared" si="9"/>
        <v>2372.98668985522</v>
      </c>
      <c r="E86" s="68">
        <f t="shared" si="9"/>
        <v>2672.4202989345204</v>
      </c>
      <c r="F86" s="68">
        <f t="shared" si="9"/>
        <v>2951.2767865477335</v>
      </c>
      <c r="G86" s="68">
        <f t="shared" si="9"/>
        <v>3652.348869316007</v>
      </c>
      <c r="H86" s="68">
        <f t="shared" si="9"/>
        <v>3661.7852029488777</v>
      </c>
      <c r="I86" s="85">
        <f t="shared" si="9"/>
        <v>3710.3891216838438</v>
      </c>
    </row>
    <row r="87" spans="1:9" ht="15" customHeight="1" x14ac:dyDescent="0.2">
      <c r="A87" s="81" t="s">
        <v>40</v>
      </c>
      <c r="B87" s="70">
        <f>B86/'DATA 4'!B12</f>
        <v>1.8979347227795037E-2</v>
      </c>
      <c r="C87" s="70">
        <f>C86/'DATA 4'!C12</f>
        <v>1.9827981809720514E-2</v>
      </c>
      <c r="D87" s="70">
        <f>D86/'DATA 4'!D12</f>
        <v>2.1745723980015997E-2</v>
      </c>
      <c r="E87" s="70">
        <f>E86/'DATA 4'!E12</f>
        <v>2.4247220229468402E-2</v>
      </c>
      <c r="F87" s="70">
        <f>F86/'DATA 4'!F12</f>
        <v>2.6512199754601798E-2</v>
      </c>
      <c r="G87" s="70">
        <f>G86/'DATA 4'!G12</f>
        <v>3.1845198061068579E-2</v>
      </c>
      <c r="H87" s="70">
        <f>H86/'DATA 4'!H12</f>
        <v>3.0988492106177976E-2</v>
      </c>
      <c r="I87" s="88">
        <f>I86/'DATA 4'!I12</f>
        <v>3.0781110866289613E-2</v>
      </c>
    </row>
    <row r="88" spans="1:9" ht="15" customHeight="1" x14ac:dyDescent="0.2">
      <c r="A88" s="84" t="s">
        <v>63</v>
      </c>
      <c r="B88" s="66">
        <f xml:space="preserve"> B82*0.62</f>
        <v>705.12049799137856</v>
      </c>
      <c r="C88" s="66">
        <f>C82*0.61</f>
        <v>720.17623052229408</v>
      </c>
      <c r="D88" s="66">
        <f>D82*0.61</f>
        <v>805.35300772459698</v>
      </c>
      <c r="E88" s="66">
        <f>E82*0.61</f>
        <v>918.39595845562644</v>
      </c>
      <c r="F88" s="66">
        <f>F82*0.6</f>
        <v>967.67950605208466</v>
      </c>
      <c r="G88" s="66">
        <f>G82*0.59</f>
        <v>1162.7879608345431</v>
      </c>
      <c r="H88" s="66">
        <f>H82*0.59</f>
        <v>1285.1142792396386</v>
      </c>
      <c r="I88" s="77">
        <f>I82*0.58</f>
        <v>1305.4807086693459</v>
      </c>
    </row>
    <row r="89" spans="1:9" ht="15" customHeight="1" x14ac:dyDescent="0.2">
      <c r="A89" s="84" t="s">
        <v>37</v>
      </c>
      <c r="B89" s="66">
        <f xml:space="preserve"> B84*0.62</f>
        <v>551.18527869700472</v>
      </c>
      <c r="C89" s="66">
        <f xml:space="preserve"> C84*0.61</f>
        <v>586.60767054429118</v>
      </c>
      <c r="D89" s="66">
        <f xml:space="preserve"> D84*0.61</f>
        <v>642.16887308708715</v>
      </c>
      <c r="E89" s="66">
        <f xml:space="preserve"> E84*0.61</f>
        <v>711.7804238944309</v>
      </c>
      <c r="F89" s="66">
        <f xml:space="preserve"> F84*0.6</f>
        <v>803.08656587655526</v>
      </c>
      <c r="G89" s="66">
        <f xml:space="preserve"> G84*0.59</f>
        <v>992.09787206190083</v>
      </c>
      <c r="H89" s="66">
        <f xml:space="preserve"> H84*0.59</f>
        <v>875.33899050019932</v>
      </c>
      <c r="I89" s="77">
        <f xml:space="preserve"> I84*0.58</f>
        <v>846.5449819072835</v>
      </c>
    </row>
    <row r="90" spans="1:9" ht="15" customHeight="1" x14ac:dyDescent="0.2">
      <c r="A90" s="81" t="s">
        <v>38</v>
      </c>
      <c r="B90" s="68">
        <f t="shared" ref="B90:I90" si="10">SUM(B88:B89)</f>
        <v>1256.3057766883833</v>
      </c>
      <c r="C90" s="68">
        <f t="shared" si="10"/>
        <v>1306.7839010665853</v>
      </c>
      <c r="D90" s="68">
        <f t="shared" si="10"/>
        <v>1447.5218808116842</v>
      </c>
      <c r="E90" s="68">
        <f t="shared" si="10"/>
        <v>1630.1763823500573</v>
      </c>
      <c r="F90" s="68">
        <f t="shared" si="10"/>
        <v>1770.76607192864</v>
      </c>
      <c r="G90" s="68">
        <f t="shared" si="10"/>
        <v>2154.8858328964438</v>
      </c>
      <c r="H90" s="68">
        <f t="shared" si="10"/>
        <v>2160.4532697398381</v>
      </c>
      <c r="I90" s="85">
        <f t="shared" si="10"/>
        <v>2152.0256905766291</v>
      </c>
    </row>
    <row r="91" spans="1:9" ht="15" customHeight="1" thickBot="1" x14ac:dyDescent="0.25">
      <c r="A91" s="78" t="s">
        <v>39</v>
      </c>
      <c r="B91" s="89">
        <f>B90/'DATA 4'!B13</f>
        <v>2.579683319688672E-2</v>
      </c>
      <c r="C91" s="89">
        <f>C90/'DATA 4'!C13</f>
        <v>2.634644961827793E-2</v>
      </c>
      <c r="D91" s="89">
        <f>D90/'DATA 4'!D13</f>
        <v>2.8663799620033351E-2</v>
      </c>
      <c r="E91" s="89">
        <f>E90/'DATA 4'!E13</f>
        <v>3.1839382467774555E-2</v>
      </c>
      <c r="F91" s="89">
        <f>F90/'DATA 4'!F13</f>
        <v>3.4053193690935388E-2</v>
      </c>
      <c r="G91" s="89">
        <f>G90/'DATA 4'!G13</f>
        <v>3.9905293201785999E-2</v>
      </c>
      <c r="H91" s="89">
        <f>H90/'DATA 4'!H13</f>
        <v>4.2361828818428197E-2</v>
      </c>
      <c r="I91" s="90">
        <f>I90/'DATA 4'!I13</f>
        <v>4.4833868553679775E-2</v>
      </c>
    </row>
  </sheetData>
  <mergeCells count="2">
    <mergeCell ref="A77:I77"/>
    <mergeCell ref="A2:B3"/>
  </mergeCells>
  <conditionalFormatting sqref="B6:I18">
    <cfRule type="expression" dxfId="34" priority="12">
      <formula>MOD(ROW(),2)</formula>
    </cfRule>
  </conditionalFormatting>
  <conditionalFormatting sqref="B22:I36">
    <cfRule type="expression" dxfId="33" priority="11">
      <formula>MOD(ROW(),2)</formula>
    </cfRule>
  </conditionalFormatting>
  <conditionalFormatting sqref="B41:I46">
    <cfRule type="expression" dxfId="32" priority="10">
      <formula>MOD(ROW(),2)</formula>
    </cfRule>
  </conditionalFormatting>
  <conditionalFormatting sqref="B51:I56">
    <cfRule type="expression" dxfId="31" priority="9">
      <formula>MOD(ROW(),2)</formula>
    </cfRule>
  </conditionalFormatting>
  <conditionalFormatting sqref="B61:I66">
    <cfRule type="expression" dxfId="30" priority="8">
      <formula>MOD(ROW(),2)</formula>
    </cfRule>
  </conditionalFormatting>
  <conditionalFormatting sqref="B70:I73">
    <cfRule type="expression" dxfId="29" priority="7">
      <formula>MOD(ROW(),2)</formula>
    </cfRule>
  </conditionalFormatting>
  <conditionalFormatting sqref="B88:I89">
    <cfRule type="expression" dxfId="28" priority="1">
      <formula>MOD(ROW(),2)</formula>
    </cfRule>
  </conditionalFormatting>
  <conditionalFormatting sqref="B79:I82">
    <cfRule type="expression" dxfId="27" priority="6">
      <formula>MOD(ROW(),2)</formula>
    </cfRule>
  </conditionalFormatting>
  <conditionalFormatting sqref="B83:I83">
    <cfRule type="expression" dxfId="26" priority="5">
      <formula>MOD(ROW(),2)</formula>
    </cfRule>
  </conditionalFormatting>
  <conditionalFormatting sqref="B85:I85">
    <cfRule type="expression" dxfId="25" priority="3">
      <formula>MOD(ROW(),2)</formula>
    </cfRule>
  </conditionalFormatting>
  <conditionalFormatting sqref="B84:I84">
    <cfRule type="expression" dxfId="24" priority="2">
      <formula>MOD(ROW(),2)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M74"/>
  <sheetViews>
    <sheetView zoomScaleNormal="100" workbookViewId="0">
      <selection activeCell="D14" sqref="D14"/>
    </sheetView>
  </sheetViews>
  <sheetFormatPr baseColWidth="10" defaultRowHeight="12.75" x14ac:dyDescent="0.2"/>
  <cols>
    <col min="1" max="1" width="45.75" style="2" customWidth="1"/>
    <col min="2" max="6" width="7.75" style="2" customWidth="1"/>
    <col min="7" max="9" width="7.75" customWidth="1"/>
    <col min="10" max="10" width="16.875" customWidth="1"/>
    <col min="11" max="11" width="14.75" customWidth="1"/>
    <col min="12" max="13" width="13.875" customWidth="1"/>
    <col min="14" max="14" width="23.625" customWidth="1"/>
  </cols>
  <sheetData>
    <row r="1" spans="1:9" ht="15" customHeight="1" thickBot="1" x14ac:dyDescent="0.25"/>
    <row r="2" spans="1:9" ht="15" customHeight="1" x14ac:dyDescent="0.2">
      <c r="A2" s="108" t="s">
        <v>43</v>
      </c>
      <c r="B2" s="109"/>
      <c r="D2"/>
      <c r="E2"/>
      <c r="F2"/>
    </row>
    <row r="3" spans="1:9" ht="15" customHeight="1" thickBot="1" x14ac:dyDescent="0.25">
      <c r="A3" s="110"/>
      <c r="B3" s="111"/>
      <c r="D3"/>
      <c r="E3"/>
      <c r="F3"/>
    </row>
    <row r="4" spans="1:9" ht="15" customHeight="1" x14ac:dyDescent="0.2"/>
    <row r="5" spans="1:9" ht="30" customHeight="1" x14ac:dyDescent="0.2">
      <c r="A5" s="94" t="s">
        <v>57</v>
      </c>
      <c r="B5" s="19"/>
      <c r="C5" s="19"/>
      <c r="D5" s="19"/>
      <c r="E5" s="19"/>
      <c r="F5" s="19"/>
      <c r="G5" s="19"/>
      <c r="H5" s="19"/>
      <c r="I5" s="19"/>
    </row>
    <row r="6" spans="1:9" ht="15" customHeight="1" thickBot="1" x14ac:dyDescent="0.25"/>
    <row r="7" spans="1:9" ht="30" customHeight="1" x14ac:dyDescent="0.2">
      <c r="A7" s="71" t="s">
        <v>51</v>
      </c>
      <c r="B7" s="64">
        <v>2013</v>
      </c>
      <c r="C7" s="64">
        <v>2014</v>
      </c>
      <c r="D7" s="64">
        <v>2015</v>
      </c>
      <c r="E7" s="64">
        <v>2016</v>
      </c>
      <c r="F7" s="64">
        <v>2017</v>
      </c>
      <c r="G7" s="64">
        <v>2020</v>
      </c>
      <c r="H7" s="64">
        <v>2023</v>
      </c>
      <c r="I7" s="72">
        <v>2025</v>
      </c>
    </row>
    <row r="8" spans="1:9" ht="15" customHeight="1" x14ac:dyDescent="0.2">
      <c r="A8" s="65" t="s">
        <v>50</v>
      </c>
      <c r="B8" s="66">
        <v>19488</v>
      </c>
      <c r="C8" s="66">
        <v>19880</v>
      </c>
      <c r="D8" s="66">
        <v>20200</v>
      </c>
      <c r="E8" s="66">
        <v>20863</v>
      </c>
      <c r="F8" s="66">
        <f xml:space="preserve"> E8*1.033</f>
        <v>21551.478999999999</v>
      </c>
      <c r="G8" s="66">
        <f>F8*1.033*1.033*1.033</f>
        <v>23756.258598393815</v>
      </c>
      <c r="H8" s="66">
        <f>G8*1.033*1.033*1.033</f>
        <v>26186.593625141002</v>
      </c>
      <c r="I8" s="77">
        <f>H8*1.033*1.033</f>
        <v>27943.426004858084</v>
      </c>
    </row>
    <row r="9" spans="1:9" ht="15" customHeight="1" x14ac:dyDescent="0.2">
      <c r="A9" s="65" t="s">
        <v>52</v>
      </c>
      <c r="B9" s="66">
        <v>13432</v>
      </c>
      <c r="C9" s="66">
        <v>13604</v>
      </c>
      <c r="D9" s="66">
        <v>13647</v>
      </c>
      <c r="E9" s="66">
        <f>D9*1.01</f>
        <v>13783.47</v>
      </c>
      <c r="F9" s="66">
        <f>E9*1.01</f>
        <v>13921.304699999999</v>
      </c>
      <c r="G9" s="66">
        <v>14576</v>
      </c>
      <c r="H9" s="66"/>
      <c r="I9" s="77"/>
    </row>
    <row r="10" spans="1:9" ht="15" customHeight="1" x14ac:dyDescent="0.2">
      <c r="A10" s="65" t="s">
        <v>53</v>
      </c>
      <c r="B10" s="66">
        <f t="shared" ref="B10:G10" si="0" xml:space="preserve"> 11.63*B9</f>
        <v>156214.16</v>
      </c>
      <c r="C10" s="66">
        <f t="shared" si="0"/>
        <v>158214.52000000002</v>
      </c>
      <c r="D10" s="66">
        <f t="shared" si="0"/>
        <v>158714.61000000002</v>
      </c>
      <c r="E10" s="66">
        <f t="shared" si="0"/>
        <v>160301.7561</v>
      </c>
      <c r="F10" s="66">
        <f t="shared" si="0"/>
        <v>161904.77366099998</v>
      </c>
      <c r="G10" s="66">
        <f t="shared" si="0"/>
        <v>169518.88</v>
      </c>
      <c r="H10" s="66"/>
      <c r="I10" s="77"/>
    </row>
    <row r="11" spans="1:9" ht="15" customHeight="1" x14ac:dyDescent="0.2">
      <c r="A11" s="65" t="s">
        <v>54</v>
      </c>
      <c r="B11" s="66">
        <v>9180</v>
      </c>
      <c r="C11" s="66">
        <v>9290</v>
      </c>
      <c r="D11" s="66">
        <v>9383</v>
      </c>
      <c r="E11" s="66">
        <f>D11*1.01</f>
        <v>9476.83</v>
      </c>
      <c r="F11" s="66">
        <f>E11*1.01</f>
        <v>9571.5982999999997</v>
      </c>
      <c r="G11" s="66">
        <f>F11*1.01*1.01*1.01</f>
        <v>9861.6273000883011</v>
      </c>
      <c r="H11" s="66">
        <f>G11*1.01*1.01*1.01</f>
        <v>10160.444468908277</v>
      </c>
      <c r="I11" s="77">
        <f>H11*1.01*1.01</f>
        <v>10364.669402733334</v>
      </c>
    </row>
    <row r="12" spans="1:9" ht="15" customHeight="1" x14ac:dyDescent="0.2">
      <c r="A12" s="65" t="s">
        <v>55</v>
      </c>
      <c r="B12" s="66">
        <f xml:space="preserve"> 11.63*B11</f>
        <v>106763.40000000001</v>
      </c>
      <c r="C12" s="66">
        <f t="shared" ref="C12:I12" si="1" xml:space="preserve"> 11.63*C11</f>
        <v>108042.70000000001</v>
      </c>
      <c r="D12" s="66">
        <f t="shared" si="1"/>
        <v>109124.29000000001</v>
      </c>
      <c r="E12" s="66">
        <f t="shared" si="1"/>
        <v>110215.53290000001</v>
      </c>
      <c r="F12" s="66">
        <f t="shared" si="1"/>
        <v>111317.68822900001</v>
      </c>
      <c r="G12" s="66">
        <f t="shared" si="1"/>
        <v>114690.72550002695</v>
      </c>
      <c r="H12" s="66">
        <f t="shared" si="1"/>
        <v>118165.96917340328</v>
      </c>
      <c r="I12" s="77">
        <f t="shared" si="1"/>
        <v>120541.10515378868</v>
      </c>
    </row>
    <row r="13" spans="1:9" ht="15" customHeight="1" thickBot="1" x14ac:dyDescent="0.25">
      <c r="A13" s="74" t="s">
        <v>56</v>
      </c>
      <c r="B13" s="82">
        <v>48700</v>
      </c>
      <c r="C13" s="82">
        <v>49600</v>
      </c>
      <c r="D13" s="82">
        <v>50500</v>
      </c>
      <c r="E13" s="82">
        <v>51200</v>
      </c>
      <c r="F13" s="82">
        <v>52000</v>
      </c>
      <c r="G13" s="82">
        <v>54000</v>
      </c>
      <c r="H13" s="82">
        <v>51000</v>
      </c>
      <c r="I13" s="83">
        <v>48000</v>
      </c>
    </row>
    <row r="14" spans="1:9" ht="15" customHeight="1" x14ac:dyDescent="0.2"/>
    <row r="15" spans="1:9" ht="15" customHeight="1" x14ac:dyDescent="0.2"/>
    <row r="16" spans="1:9" s="56" customFormat="1" ht="30" customHeight="1" x14ac:dyDescent="0.2">
      <c r="A16" s="94" t="s">
        <v>58</v>
      </c>
      <c r="B16" s="19"/>
      <c r="C16" s="19"/>
      <c r="D16" s="19"/>
      <c r="E16" s="19"/>
      <c r="F16" s="19"/>
    </row>
    <row r="17" spans="1:9" s="56" customFormat="1" ht="15" customHeight="1" thickBot="1" x14ac:dyDescent="0.25">
      <c r="A17" s="19"/>
      <c r="B17" s="19"/>
      <c r="C17" s="19"/>
      <c r="D17" s="19"/>
      <c r="E17" s="19"/>
      <c r="F17" s="19"/>
    </row>
    <row r="18" spans="1:9" ht="30" customHeight="1" x14ac:dyDescent="0.2">
      <c r="A18" s="71" t="s">
        <v>34</v>
      </c>
      <c r="B18" s="64">
        <v>2013</v>
      </c>
      <c r="C18" s="64">
        <v>2014</v>
      </c>
      <c r="D18" s="64">
        <v>2015</v>
      </c>
      <c r="E18" s="64">
        <v>2016</v>
      </c>
      <c r="F18" s="64">
        <v>2017</v>
      </c>
      <c r="G18" s="64">
        <v>2020</v>
      </c>
      <c r="H18" s="64">
        <v>2023</v>
      </c>
      <c r="I18" s="72">
        <v>2025</v>
      </c>
    </row>
    <row r="19" spans="1:9" ht="15" customHeight="1" x14ac:dyDescent="0.2">
      <c r="A19" s="65" t="s">
        <v>0</v>
      </c>
      <c r="B19" s="67">
        <v>134</v>
      </c>
      <c r="C19" s="67">
        <v>134</v>
      </c>
      <c r="D19" s="67">
        <v>113</v>
      </c>
      <c r="E19" s="67">
        <v>103</v>
      </c>
      <c r="F19" s="67">
        <v>103</v>
      </c>
      <c r="G19" s="67">
        <v>90</v>
      </c>
      <c r="H19" s="66">
        <v>80</v>
      </c>
      <c r="I19" s="77">
        <v>70</v>
      </c>
    </row>
    <row r="20" spans="1:9" ht="15" customHeight="1" x14ac:dyDescent="0.2">
      <c r="A20" s="65" t="s">
        <v>1</v>
      </c>
      <c r="B20" s="67">
        <v>135</v>
      </c>
      <c r="C20" s="67">
        <v>128</v>
      </c>
      <c r="D20" s="67">
        <v>120</v>
      </c>
      <c r="E20" s="67">
        <v>114</v>
      </c>
      <c r="F20" s="67">
        <v>109</v>
      </c>
      <c r="G20" s="67">
        <v>100</v>
      </c>
      <c r="H20" s="66">
        <v>90</v>
      </c>
      <c r="I20" s="77">
        <v>80</v>
      </c>
    </row>
    <row r="21" spans="1:9" ht="15" customHeight="1" x14ac:dyDescent="0.2">
      <c r="A21" s="65" t="s">
        <v>25</v>
      </c>
      <c r="B21" s="67">
        <v>181</v>
      </c>
      <c r="C21" s="67">
        <v>174</v>
      </c>
      <c r="D21" s="67">
        <v>163</v>
      </c>
      <c r="E21" s="67">
        <v>155</v>
      </c>
      <c r="F21" s="67">
        <v>163</v>
      </c>
      <c r="G21" s="67">
        <v>160</v>
      </c>
      <c r="H21" s="66">
        <v>155</v>
      </c>
      <c r="I21" s="77">
        <v>150</v>
      </c>
    </row>
    <row r="22" spans="1:9" ht="15" customHeight="1" x14ac:dyDescent="0.2">
      <c r="A22" s="65" t="s">
        <v>8</v>
      </c>
      <c r="B22" s="67">
        <v>969</v>
      </c>
      <c r="C22" s="67">
        <v>1244</v>
      </c>
      <c r="D22" s="67">
        <v>1423</v>
      </c>
      <c r="E22" s="67">
        <v>1495</v>
      </c>
      <c r="F22" s="66">
        <v>1569.75</v>
      </c>
      <c r="G22" s="67">
        <v>1800</v>
      </c>
      <c r="H22" s="66">
        <v>2100</v>
      </c>
      <c r="I22" s="77">
        <v>2300</v>
      </c>
    </row>
    <row r="23" spans="1:9" ht="15" customHeight="1" x14ac:dyDescent="0.2">
      <c r="A23" s="65" t="s">
        <v>3</v>
      </c>
      <c r="B23" s="67">
        <v>220</v>
      </c>
      <c r="C23" s="67">
        <v>230</v>
      </c>
      <c r="D23" s="67">
        <v>208</v>
      </c>
      <c r="E23" s="67">
        <v>182</v>
      </c>
      <c r="F23" s="67">
        <v>180</v>
      </c>
      <c r="G23" s="67">
        <v>190</v>
      </c>
      <c r="H23" s="66">
        <v>200</v>
      </c>
      <c r="I23" s="77">
        <v>210</v>
      </c>
    </row>
    <row r="24" spans="1:9" ht="15" customHeight="1" x14ac:dyDescent="0.2">
      <c r="A24" s="65" t="s">
        <v>11</v>
      </c>
      <c r="B24" s="67">
        <v>850</v>
      </c>
      <c r="C24" s="67">
        <v>634</v>
      </c>
      <c r="D24" s="67">
        <v>494</v>
      </c>
      <c r="E24" s="67">
        <v>400</v>
      </c>
      <c r="F24" s="67">
        <v>325</v>
      </c>
      <c r="G24" s="67">
        <v>200</v>
      </c>
      <c r="H24" s="66">
        <v>180</v>
      </c>
      <c r="I24" s="77">
        <v>170</v>
      </c>
    </row>
    <row r="25" spans="1:9" ht="15" customHeight="1" x14ac:dyDescent="0.2">
      <c r="A25" s="65" t="s">
        <v>10</v>
      </c>
      <c r="B25" s="67">
        <v>0</v>
      </c>
      <c r="C25" s="67">
        <v>0</v>
      </c>
      <c r="D25" s="67">
        <v>0</v>
      </c>
      <c r="E25" s="67">
        <v>0</v>
      </c>
      <c r="F25" s="67">
        <v>0</v>
      </c>
      <c r="G25" s="67">
        <v>0</v>
      </c>
      <c r="H25" s="66">
        <v>0</v>
      </c>
      <c r="I25" s="77">
        <v>0</v>
      </c>
    </row>
    <row r="26" spans="1:9" ht="15" customHeight="1" x14ac:dyDescent="0.2">
      <c r="A26" s="65" t="s">
        <v>13</v>
      </c>
      <c r="B26" s="67">
        <v>0</v>
      </c>
      <c r="C26" s="67">
        <v>0</v>
      </c>
      <c r="D26" s="67">
        <v>1000</v>
      </c>
      <c r="E26" s="67">
        <v>2000</v>
      </c>
      <c r="F26" s="67">
        <v>3000</v>
      </c>
      <c r="G26" s="67">
        <v>6000</v>
      </c>
      <c r="H26" s="66">
        <v>9000</v>
      </c>
      <c r="I26" s="77">
        <v>12000</v>
      </c>
    </row>
    <row r="27" spans="1:9" ht="15" customHeight="1" x14ac:dyDescent="0.2">
      <c r="A27" s="65" t="s">
        <v>9</v>
      </c>
      <c r="B27" s="67">
        <v>150</v>
      </c>
      <c r="C27" s="67">
        <v>160</v>
      </c>
      <c r="D27" s="67">
        <v>172</v>
      </c>
      <c r="E27" s="67">
        <v>185</v>
      </c>
      <c r="F27" s="67">
        <v>200</v>
      </c>
      <c r="G27" s="67">
        <v>250</v>
      </c>
      <c r="H27" s="66">
        <v>270</v>
      </c>
      <c r="I27" s="77">
        <v>280</v>
      </c>
    </row>
    <row r="28" spans="1:9" ht="15" customHeight="1" x14ac:dyDescent="0.2">
      <c r="A28" s="65" t="s">
        <v>5</v>
      </c>
      <c r="B28" s="67">
        <v>150</v>
      </c>
      <c r="C28" s="67">
        <v>160</v>
      </c>
      <c r="D28" s="67">
        <v>172</v>
      </c>
      <c r="E28" s="67">
        <v>185</v>
      </c>
      <c r="F28" s="67">
        <v>200</v>
      </c>
      <c r="G28" s="67">
        <v>250</v>
      </c>
      <c r="H28" s="66">
        <v>270</v>
      </c>
      <c r="I28" s="77">
        <v>280</v>
      </c>
    </row>
    <row r="29" spans="1:9" ht="15" customHeight="1" x14ac:dyDescent="0.2">
      <c r="A29" s="65" t="s">
        <v>6</v>
      </c>
      <c r="B29" s="67">
        <v>33</v>
      </c>
      <c r="C29" s="67">
        <v>33</v>
      </c>
      <c r="D29" s="67">
        <v>35</v>
      </c>
      <c r="E29" s="66">
        <v>36.75</v>
      </c>
      <c r="F29" s="66">
        <v>38.587499999999999</v>
      </c>
      <c r="G29" s="67">
        <v>45</v>
      </c>
      <c r="H29" s="66">
        <v>50</v>
      </c>
      <c r="I29" s="77">
        <v>55</v>
      </c>
    </row>
    <row r="30" spans="1:9" ht="15" customHeight="1" x14ac:dyDescent="0.2">
      <c r="A30" s="65" t="s">
        <v>7</v>
      </c>
      <c r="B30" s="67">
        <v>70</v>
      </c>
      <c r="C30" s="67">
        <v>70</v>
      </c>
      <c r="D30" s="67">
        <v>70</v>
      </c>
      <c r="E30" s="67">
        <v>70</v>
      </c>
      <c r="F30" s="67">
        <v>70</v>
      </c>
      <c r="G30" s="67">
        <v>70</v>
      </c>
      <c r="H30" s="66">
        <v>70</v>
      </c>
      <c r="I30" s="77">
        <v>70</v>
      </c>
    </row>
    <row r="31" spans="1:9" ht="15" customHeight="1" thickBot="1" x14ac:dyDescent="0.25">
      <c r="A31" s="74" t="s">
        <v>17</v>
      </c>
      <c r="B31" s="75">
        <v>57</v>
      </c>
      <c r="C31" s="75">
        <v>57</v>
      </c>
      <c r="D31" s="75">
        <v>57</v>
      </c>
      <c r="E31" s="75">
        <v>57</v>
      </c>
      <c r="F31" s="75">
        <v>57</v>
      </c>
      <c r="G31" s="75">
        <v>50</v>
      </c>
      <c r="H31" s="82">
        <v>50</v>
      </c>
      <c r="I31" s="83">
        <v>50</v>
      </c>
    </row>
    <row r="32" spans="1:9" ht="15" customHeight="1" x14ac:dyDescent="0.2">
      <c r="A32" s="57"/>
      <c r="B32" s="4"/>
      <c r="C32" s="4"/>
      <c r="D32" s="4"/>
      <c r="E32" s="4"/>
      <c r="F32" s="4"/>
      <c r="G32" s="3"/>
      <c r="H32" s="3"/>
      <c r="I32" s="3"/>
    </row>
    <row r="33" spans="1:9" ht="15" customHeight="1" thickBot="1" x14ac:dyDescent="0.25">
      <c r="A33" s="33"/>
      <c r="G33" s="3"/>
      <c r="H33" s="3"/>
      <c r="I33" s="3"/>
    </row>
    <row r="34" spans="1:9" ht="30" customHeight="1" x14ac:dyDescent="0.2">
      <c r="A34" s="71" t="s">
        <v>60</v>
      </c>
      <c r="B34" s="64">
        <v>2013</v>
      </c>
      <c r="C34" s="64">
        <v>2014</v>
      </c>
      <c r="D34" s="64">
        <v>2015</v>
      </c>
      <c r="E34" s="64">
        <v>2016</v>
      </c>
      <c r="F34" s="64">
        <v>2017</v>
      </c>
      <c r="G34" s="64">
        <v>2020</v>
      </c>
      <c r="H34" s="64">
        <v>2023</v>
      </c>
      <c r="I34" s="72">
        <v>2025</v>
      </c>
    </row>
    <row r="35" spans="1:9" ht="15" customHeight="1" x14ac:dyDescent="0.2">
      <c r="A35" s="65" t="s">
        <v>0</v>
      </c>
      <c r="B35" s="66">
        <v>750</v>
      </c>
      <c r="C35" s="66">
        <v>750</v>
      </c>
      <c r="D35" s="66">
        <v>750</v>
      </c>
      <c r="E35" s="66">
        <v>750</v>
      </c>
      <c r="F35" s="66">
        <v>750</v>
      </c>
      <c r="G35" s="66">
        <v>750</v>
      </c>
      <c r="H35" s="66">
        <v>750</v>
      </c>
      <c r="I35" s="77">
        <v>750</v>
      </c>
    </row>
    <row r="36" spans="1:9" ht="15" customHeight="1" x14ac:dyDescent="0.2">
      <c r="A36" s="65" t="s">
        <v>1</v>
      </c>
      <c r="B36" s="66">
        <v>700</v>
      </c>
      <c r="C36" s="66">
        <v>700</v>
      </c>
      <c r="D36" s="66">
        <v>700</v>
      </c>
      <c r="E36" s="66">
        <v>750</v>
      </c>
      <c r="F36" s="66">
        <v>800</v>
      </c>
      <c r="G36" s="66">
        <v>800</v>
      </c>
      <c r="H36" s="66">
        <v>800</v>
      </c>
      <c r="I36" s="77">
        <v>800</v>
      </c>
    </row>
    <row r="37" spans="1:9" ht="15" customHeight="1" x14ac:dyDescent="0.2">
      <c r="A37" s="65" t="s">
        <v>25</v>
      </c>
      <c r="B37" s="66">
        <v>1400</v>
      </c>
      <c r="C37" s="66">
        <v>1400</v>
      </c>
      <c r="D37" s="66">
        <v>1400</v>
      </c>
      <c r="E37" s="66">
        <v>1500</v>
      </c>
      <c r="F37" s="66">
        <v>1600</v>
      </c>
      <c r="G37" s="66">
        <v>1600</v>
      </c>
      <c r="H37" s="66">
        <v>1600</v>
      </c>
      <c r="I37" s="77">
        <v>1600</v>
      </c>
    </row>
    <row r="38" spans="1:9" ht="15" customHeight="1" x14ac:dyDescent="0.2">
      <c r="A38" s="65" t="s">
        <v>8</v>
      </c>
      <c r="B38" s="66">
        <f>C38/1.2</f>
        <v>97.547380156075818</v>
      </c>
      <c r="C38" s="66">
        <f>D38/1.2</f>
        <v>117.05685618729098</v>
      </c>
      <c r="D38" s="66">
        <v>140.46822742474916</v>
      </c>
      <c r="E38" s="66">
        <v>168.56187290969899</v>
      </c>
      <c r="F38" s="66">
        <v>202.27424749163879</v>
      </c>
      <c r="G38" s="66">
        <f>202*1.2</f>
        <v>242.39999999999998</v>
      </c>
      <c r="H38" s="66">
        <v>250</v>
      </c>
      <c r="I38" s="77">
        <v>250</v>
      </c>
    </row>
    <row r="39" spans="1:9" ht="15" customHeight="1" x14ac:dyDescent="0.2">
      <c r="A39" s="65" t="s">
        <v>3</v>
      </c>
      <c r="B39" s="66">
        <f>C39</f>
        <v>292.64214046822741</v>
      </c>
      <c r="C39" s="66">
        <f>D39/1.2</f>
        <v>292.64214046822741</v>
      </c>
      <c r="D39" s="66">
        <v>351.17056856187287</v>
      </c>
      <c r="E39" s="66">
        <v>421.40468227424748</v>
      </c>
      <c r="F39" s="66">
        <v>505.68561872909697</v>
      </c>
      <c r="G39" s="66">
        <v>505.68561872909697</v>
      </c>
      <c r="H39" s="66">
        <v>505.68561872909697</v>
      </c>
      <c r="I39" s="77">
        <v>505.68561872909697</v>
      </c>
    </row>
    <row r="40" spans="1:9" ht="15" customHeight="1" x14ac:dyDescent="0.2">
      <c r="A40" s="65" t="s">
        <v>11</v>
      </c>
      <c r="B40" s="66">
        <v>12</v>
      </c>
      <c r="C40" s="66">
        <v>12</v>
      </c>
      <c r="D40" s="66">
        <v>12</v>
      </c>
      <c r="E40" s="66">
        <v>12</v>
      </c>
      <c r="F40" s="66">
        <v>12</v>
      </c>
      <c r="G40" s="66">
        <v>12</v>
      </c>
      <c r="H40" s="66">
        <v>12</v>
      </c>
      <c r="I40" s="77">
        <v>12</v>
      </c>
    </row>
    <row r="41" spans="1:9" ht="15" customHeight="1" x14ac:dyDescent="0.2">
      <c r="A41" s="65" t="s">
        <v>10</v>
      </c>
      <c r="B41" s="66">
        <v>170</v>
      </c>
      <c r="C41" s="66">
        <v>170</v>
      </c>
      <c r="D41" s="66">
        <v>170</v>
      </c>
      <c r="E41" s="66">
        <v>170</v>
      </c>
      <c r="F41" s="66">
        <v>170</v>
      </c>
      <c r="G41" s="66">
        <v>170</v>
      </c>
      <c r="H41" s="66">
        <v>170</v>
      </c>
      <c r="I41" s="77">
        <v>170</v>
      </c>
    </row>
    <row r="42" spans="1:9" ht="15" customHeight="1" x14ac:dyDescent="0.2">
      <c r="A42" s="65" t="s">
        <v>13</v>
      </c>
      <c r="B42" s="66">
        <v>5</v>
      </c>
      <c r="C42" s="66">
        <v>5</v>
      </c>
      <c r="D42" s="66">
        <v>5</v>
      </c>
      <c r="E42" s="66">
        <v>5</v>
      </c>
      <c r="F42" s="66">
        <v>5</v>
      </c>
      <c r="G42" s="66">
        <v>5</v>
      </c>
      <c r="H42" s="66">
        <v>6</v>
      </c>
      <c r="I42" s="77">
        <v>7</v>
      </c>
    </row>
    <row r="43" spans="1:9" ht="15" customHeight="1" x14ac:dyDescent="0.2">
      <c r="A43" s="65" t="s">
        <v>9</v>
      </c>
      <c r="B43" s="66">
        <f xml:space="preserve"> C43/1.2</f>
        <v>852.27272727272737</v>
      </c>
      <c r="C43" s="66">
        <f xml:space="preserve"> D43/1.2</f>
        <v>1022.7272727272727</v>
      </c>
      <c r="D43" s="66">
        <v>1227.2727272727273</v>
      </c>
      <c r="E43" s="66">
        <v>1350</v>
      </c>
      <c r="F43" s="66">
        <v>1485.0000000000002</v>
      </c>
      <c r="G43" s="66">
        <f>1485*1.1*1.1*1.1</f>
        <v>1976.5350000000005</v>
      </c>
      <c r="H43" s="66">
        <f>G43*1.1*1.1*1.1</f>
        <v>2630.7680850000015</v>
      </c>
      <c r="I43" s="77">
        <f>H43*1.1*1.1</f>
        <v>3183.2293828500024</v>
      </c>
    </row>
    <row r="44" spans="1:9" ht="15" customHeight="1" x14ac:dyDescent="0.2">
      <c r="A44" s="65" t="s">
        <v>5</v>
      </c>
      <c r="B44" s="66">
        <v>45</v>
      </c>
      <c r="C44" s="66">
        <v>45</v>
      </c>
      <c r="D44" s="66">
        <v>45</v>
      </c>
      <c r="E44" s="66">
        <v>45</v>
      </c>
      <c r="F44" s="66">
        <v>45</v>
      </c>
      <c r="G44" s="66">
        <v>45</v>
      </c>
      <c r="H44" s="66">
        <v>45</v>
      </c>
      <c r="I44" s="77">
        <v>45</v>
      </c>
    </row>
    <row r="45" spans="1:9" ht="15" customHeight="1" x14ac:dyDescent="0.2">
      <c r="A45" s="65" t="s">
        <v>6</v>
      </c>
      <c r="B45" s="66">
        <v>150</v>
      </c>
      <c r="C45" s="66">
        <v>150</v>
      </c>
      <c r="D45" s="66">
        <v>150</v>
      </c>
      <c r="E45" s="66">
        <v>150</v>
      </c>
      <c r="F45" s="66">
        <v>150</v>
      </c>
      <c r="G45" s="66">
        <v>150</v>
      </c>
      <c r="H45" s="66">
        <v>150</v>
      </c>
      <c r="I45" s="77">
        <v>150</v>
      </c>
    </row>
    <row r="46" spans="1:9" ht="15" customHeight="1" x14ac:dyDescent="0.2">
      <c r="A46" s="65" t="s">
        <v>7</v>
      </c>
      <c r="B46" s="66">
        <v>100</v>
      </c>
      <c r="C46" s="66">
        <v>100</v>
      </c>
      <c r="D46" s="66">
        <v>100</v>
      </c>
      <c r="E46" s="66">
        <v>100</v>
      </c>
      <c r="F46" s="66">
        <v>100</v>
      </c>
      <c r="G46" s="66">
        <v>100</v>
      </c>
      <c r="H46" s="66">
        <v>100</v>
      </c>
      <c r="I46" s="77">
        <v>100</v>
      </c>
    </row>
    <row r="47" spans="1:9" ht="15" customHeight="1" thickBot="1" x14ac:dyDescent="0.25">
      <c r="A47" s="74" t="s">
        <v>17</v>
      </c>
      <c r="B47" s="82">
        <v>200</v>
      </c>
      <c r="C47" s="82">
        <v>200</v>
      </c>
      <c r="D47" s="82">
        <v>200</v>
      </c>
      <c r="E47" s="82">
        <v>200</v>
      </c>
      <c r="F47" s="82">
        <v>200</v>
      </c>
      <c r="G47" s="82">
        <v>200</v>
      </c>
      <c r="H47" s="82">
        <v>200</v>
      </c>
      <c r="I47" s="83">
        <v>200</v>
      </c>
    </row>
    <row r="48" spans="1:9" ht="15" customHeight="1" x14ac:dyDescent="0.2">
      <c r="A48" s="47"/>
      <c r="B48" s="47"/>
      <c r="C48" s="47"/>
      <c r="D48" s="47"/>
      <c r="E48" s="47"/>
      <c r="F48" s="47"/>
      <c r="G48" s="48"/>
      <c r="H48" s="48"/>
      <c r="I48" s="48"/>
    </row>
    <row r="49" spans="1:13" ht="15" customHeight="1" thickBot="1" x14ac:dyDescent="0.25">
      <c r="A49" s="47"/>
      <c r="B49" s="47"/>
      <c r="C49" s="47"/>
      <c r="D49" s="47"/>
      <c r="E49" s="47"/>
      <c r="F49" s="47"/>
      <c r="G49" s="48"/>
      <c r="H49" s="48"/>
      <c r="I49" s="48"/>
    </row>
    <row r="50" spans="1:13" ht="30" customHeight="1" x14ac:dyDescent="0.2">
      <c r="A50" s="71" t="s">
        <v>64</v>
      </c>
      <c r="B50" s="64">
        <v>2013</v>
      </c>
      <c r="C50" s="64">
        <v>2014</v>
      </c>
      <c r="D50" s="64">
        <v>2015</v>
      </c>
      <c r="E50" s="64">
        <v>2016</v>
      </c>
      <c r="F50" s="64">
        <v>2017</v>
      </c>
      <c r="G50" s="64">
        <v>2020</v>
      </c>
      <c r="H50" s="64">
        <v>2023</v>
      </c>
      <c r="I50" s="72">
        <v>2025</v>
      </c>
    </row>
    <row r="51" spans="1:13" ht="15" customHeight="1" x14ac:dyDescent="0.2">
      <c r="A51" s="65" t="s">
        <v>24</v>
      </c>
      <c r="B51" s="66">
        <v>60</v>
      </c>
      <c r="C51" s="66">
        <v>60</v>
      </c>
      <c r="D51" s="66">
        <v>60</v>
      </c>
      <c r="E51" s="66">
        <v>60</v>
      </c>
      <c r="F51" s="66">
        <v>60</v>
      </c>
      <c r="G51" s="66">
        <v>60</v>
      </c>
      <c r="H51" s="66">
        <v>60</v>
      </c>
      <c r="I51" s="77">
        <v>60</v>
      </c>
    </row>
    <row r="52" spans="1:13" ht="15" customHeight="1" x14ac:dyDescent="0.2">
      <c r="A52" s="65" t="s">
        <v>2</v>
      </c>
      <c r="B52" s="66">
        <v>4.9586776859504127</v>
      </c>
      <c r="C52" s="66">
        <v>5.4545454545454541</v>
      </c>
      <c r="D52" s="66">
        <v>6</v>
      </c>
      <c r="E52" s="66">
        <v>6.6000000000000005</v>
      </c>
      <c r="F52" s="66">
        <v>7.2600000000000016</v>
      </c>
      <c r="G52" s="66">
        <v>8.4043575000000033</v>
      </c>
      <c r="H52" s="66">
        <v>8.4043575000000033</v>
      </c>
      <c r="I52" s="77">
        <v>8.4043575000000033</v>
      </c>
    </row>
    <row r="53" spans="1:13" ht="15" customHeight="1" x14ac:dyDescent="0.2">
      <c r="A53" s="65" t="s">
        <v>3</v>
      </c>
      <c r="B53" s="66">
        <v>20</v>
      </c>
      <c r="C53" s="66">
        <v>20</v>
      </c>
      <c r="D53" s="66">
        <v>20</v>
      </c>
      <c r="E53" s="66">
        <v>20</v>
      </c>
      <c r="F53" s="66">
        <v>20</v>
      </c>
      <c r="G53" s="66">
        <v>20</v>
      </c>
      <c r="H53" s="66">
        <v>20</v>
      </c>
      <c r="I53" s="77">
        <v>20</v>
      </c>
    </row>
    <row r="54" spans="1:13" ht="15" customHeight="1" x14ac:dyDescent="0.2">
      <c r="A54" s="65" t="s">
        <v>11</v>
      </c>
      <c r="B54" s="66">
        <v>1</v>
      </c>
      <c r="C54" s="66">
        <v>1</v>
      </c>
      <c r="D54" s="66">
        <v>1</v>
      </c>
      <c r="E54" s="66">
        <v>1</v>
      </c>
      <c r="F54" s="66">
        <v>1</v>
      </c>
      <c r="G54" s="66">
        <v>1</v>
      </c>
      <c r="H54" s="66">
        <v>1</v>
      </c>
      <c r="I54" s="77">
        <v>1</v>
      </c>
    </row>
    <row r="55" spans="1:13" ht="15" customHeight="1" x14ac:dyDescent="0.2">
      <c r="A55" s="65" t="s">
        <v>13</v>
      </c>
      <c r="B55" s="66">
        <v>0.3</v>
      </c>
      <c r="C55" s="66">
        <v>0.3</v>
      </c>
      <c r="D55" s="66">
        <v>0.3</v>
      </c>
      <c r="E55" s="66">
        <v>0.3</v>
      </c>
      <c r="F55" s="66">
        <v>0.3</v>
      </c>
      <c r="G55" s="66">
        <v>0.3</v>
      </c>
      <c r="H55" s="66">
        <v>0.3</v>
      </c>
      <c r="I55" s="77">
        <v>0.3</v>
      </c>
    </row>
    <row r="56" spans="1:13" ht="15" customHeight="1" thickBot="1" x14ac:dyDescent="0.25">
      <c r="A56" s="74" t="s">
        <v>26</v>
      </c>
      <c r="B56" s="82">
        <v>200</v>
      </c>
      <c r="C56" s="82">
        <v>200</v>
      </c>
      <c r="D56" s="82">
        <v>200</v>
      </c>
      <c r="E56" s="82">
        <v>200</v>
      </c>
      <c r="F56" s="82">
        <v>200</v>
      </c>
      <c r="G56" s="82">
        <v>200</v>
      </c>
      <c r="H56" s="82">
        <v>200</v>
      </c>
      <c r="I56" s="83">
        <v>200</v>
      </c>
    </row>
    <row r="57" spans="1:13" ht="15" customHeight="1" x14ac:dyDescent="0.2">
      <c r="A57" s="58"/>
      <c r="B57" s="26"/>
      <c r="C57" s="26"/>
      <c r="D57" s="26"/>
      <c r="E57" s="26"/>
      <c r="F57" s="26"/>
      <c r="G57" s="96"/>
      <c r="H57" s="96"/>
      <c r="I57" s="96"/>
    </row>
    <row r="58" spans="1:13" ht="15" customHeight="1" thickBot="1" x14ac:dyDescent="0.25">
      <c r="A58" s="58"/>
      <c r="B58" s="26"/>
      <c r="C58" s="26"/>
      <c r="D58" s="26"/>
      <c r="E58" s="26"/>
      <c r="F58" s="26"/>
      <c r="G58" s="96"/>
      <c r="H58" s="96"/>
      <c r="I58" s="96"/>
    </row>
    <row r="59" spans="1:13" ht="30" customHeight="1" x14ac:dyDescent="0.2">
      <c r="A59" s="71" t="s">
        <v>27</v>
      </c>
      <c r="B59" s="64">
        <v>2013</v>
      </c>
      <c r="C59" s="64">
        <v>2014</v>
      </c>
      <c r="D59" s="64">
        <v>2015</v>
      </c>
      <c r="E59" s="64">
        <v>2016</v>
      </c>
      <c r="F59" s="64">
        <v>2017</v>
      </c>
      <c r="G59" s="64">
        <v>2020</v>
      </c>
      <c r="H59" s="64">
        <v>2023</v>
      </c>
      <c r="I59" s="72">
        <v>2025</v>
      </c>
    </row>
    <row r="60" spans="1:13" ht="15" customHeight="1" x14ac:dyDescent="0.2">
      <c r="A60" s="65" t="s">
        <v>33</v>
      </c>
      <c r="B60" s="66">
        <v>342.72</v>
      </c>
      <c r="C60" s="66">
        <v>388.8</v>
      </c>
      <c r="D60" s="66">
        <v>506.48275862068965</v>
      </c>
      <c r="E60" s="66">
        <v>587.52</v>
      </c>
      <c r="F60" s="66">
        <v>681.52319999999997</v>
      </c>
      <c r="G60" s="66">
        <v>1063.7868367871999</v>
      </c>
      <c r="H60" s="66">
        <f>G60*1.16*1.16*1.16</f>
        <v>1660.4606183937929</v>
      </c>
      <c r="I60" s="77">
        <f>H60*1.16*1.16*1.16</f>
        <v>2591.8063374083968</v>
      </c>
      <c r="J60" s="4"/>
      <c r="K60" s="4"/>
      <c r="L60" s="4"/>
      <c r="M60" s="4"/>
    </row>
    <row r="61" spans="1:13" ht="15" customHeight="1" x14ac:dyDescent="0.2">
      <c r="A61" s="65" t="s">
        <v>30</v>
      </c>
      <c r="B61" s="66">
        <v>250.92</v>
      </c>
      <c r="C61" s="66">
        <v>302.39999999999998</v>
      </c>
      <c r="D61" s="66">
        <v>403.2</v>
      </c>
      <c r="E61" s="66">
        <v>483.84</v>
      </c>
      <c r="F61" s="66">
        <v>580.60799999999995</v>
      </c>
      <c r="G61" s="66">
        <v>1286.2533670528003</v>
      </c>
      <c r="H61" s="66">
        <v>2825.8986474150029</v>
      </c>
      <c r="I61" s="77">
        <v>6208.4993283707627</v>
      </c>
      <c r="J61" s="4"/>
      <c r="K61" s="4"/>
      <c r="L61" s="4"/>
      <c r="M61" s="4"/>
    </row>
    <row r="62" spans="1:13" ht="15" customHeight="1" x14ac:dyDescent="0.2">
      <c r="A62" s="65" t="s">
        <v>31</v>
      </c>
      <c r="B62" s="66">
        <f>SUM(B60:B61)</f>
        <v>593.64</v>
      </c>
      <c r="C62" s="66">
        <f>SUM(C60:C61)</f>
        <v>691.2</v>
      </c>
      <c r="D62" s="66">
        <f>SUM(D60:D61)</f>
        <v>909.68275862068958</v>
      </c>
      <c r="E62" s="66">
        <f>SUM(E60:E61)</f>
        <v>1071.3599999999999</v>
      </c>
      <c r="F62" s="66">
        <f>SUM(F60:F61)</f>
        <v>1262.1311999999998</v>
      </c>
      <c r="G62" s="66">
        <f t="shared" ref="G62:I62" si="2">SUM(G60:G61)</f>
        <v>2350.0402038400002</v>
      </c>
      <c r="H62" s="66">
        <f t="shared" si="2"/>
        <v>4486.3592658087955</v>
      </c>
      <c r="I62" s="77">
        <f t="shared" si="2"/>
        <v>8800.3056657791603</v>
      </c>
      <c r="M62" s="4"/>
    </row>
    <row r="63" spans="1:13" ht="15" customHeight="1" x14ac:dyDescent="0.2">
      <c r="A63" s="65" t="s">
        <v>32</v>
      </c>
      <c r="B63" s="66">
        <v>16</v>
      </c>
      <c r="C63" s="66">
        <v>28.799999999999955</v>
      </c>
      <c r="D63" s="66">
        <v>58.904109589041099</v>
      </c>
      <c r="E63" s="66">
        <v>86</v>
      </c>
      <c r="F63" s="66">
        <v>125.56</v>
      </c>
      <c r="G63" s="66">
        <v>390.75979615999995</v>
      </c>
      <c r="H63" s="66">
        <f>G63*1.46*1.46*1.46</f>
        <v>1216.0976289821974</v>
      </c>
      <c r="I63" s="77">
        <f>H63*1.46*1.46*1.46</f>
        <v>3784.6612106701396</v>
      </c>
      <c r="K63" s="4"/>
      <c r="L63" s="4"/>
      <c r="M63" s="4"/>
    </row>
    <row r="64" spans="1:13" ht="15" customHeight="1" x14ac:dyDescent="0.2">
      <c r="A64" s="65" t="s">
        <v>29</v>
      </c>
      <c r="B64" s="66">
        <f t="shared" ref="B64:I64" si="3">SUM(B62:B63)</f>
        <v>609.64</v>
      </c>
      <c r="C64" s="66">
        <f t="shared" si="3"/>
        <v>720</v>
      </c>
      <c r="D64" s="66">
        <f t="shared" si="3"/>
        <v>968.58686820973071</v>
      </c>
      <c r="E64" s="66">
        <f t="shared" si="3"/>
        <v>1157.3599999999999</v>
      </c>
      <c r="F64" s="66">
        <f t="shared" si="3"/>
        <v>1387.6911999999998</v>
      </c>
      <c r="G64" s="66">
        <f t="shared" si="3"/>
        <v>2740.8</v>
      </c>
      <c r="H64" s="66">
        <f t="shared" si="3"/>
        <v>5702.4568947909929</v>
      </c>
      <c r="I64" s="77">
        <f t="shared" si="3"/>
        <v>12584.9668764493</v>
      </c>
    </row>
    <row r="65" spans="1:13" ht="15" customHeight="1" thickBot="1" x14ac:dyDescent="0.25">
      <c r="A65" s="74" t="s">
        <v>16</v>
      </c>
      <c r="B65" s="82">
        <v>3070</v>
      </c>
      <c r="C65" s="82">
        <v>3400</v>
      </c>
      <c r="D65" s="82">
        <v>4700</v>
      </c>
      <c r="E65" s="82">
        <v>6500</v>
      </c>
      <c r="F65" s="82">
        <v>8600</v>
      </c>
      <c r="G65" s="82">
        <v>17100</v>
      </c>
      <c r="H65" s="82">
        <f>G65*1.24*1.24*1.24</f>
        <v>32603.270399999998</v>
      </c>
      <c r="I65" s="83">
        <f>H65*1.24*1.24*1.24</f>
        <v>62162.177823129598</v>
      </c>
      <c r="J65" s="16"/>
      <c r="K65" s="16"/>
      <c r="L65" s="16"/>
      <c r="M65" s="4"/>
    </row>
    <row r="66" spans="1:13" ht="15" customHeight="1" x14ac:dyDescent="0.2">
      <c r="A66" s="33"/>
    </row>
    <row r="67" spans="1:13" ht="15" customHeight="1" thickBot="1" x14ac:dyDescent="0.25">
      <c r="A67" s="33"/>
    </row>
    <row r="68" spans="1:13" ht="30" customHeight="1" x14ac:dyDescent="0.2">
      <c r="A68" s="71" t="s">
        <v>65</v>
      </c>
      <c r="B68" s="64">
        <v>2013</v>
      </c>
      <c r="C68" s="64">
        <v>2014</v>
      </c>
      <c r="D68" s="64">
        <v>2015</v>
      </c>
      <c r="E68" s="64">
        <v>2016</v>
      </c>
      <c r="F68" s="64">
        <v>2017</v>
      </c>
      <c r="G68" s="64">
        <v>2020</v>
      </c>
      <c r="H68" s="64">
        <v>2023</v>
      </c>
      <c r="I68" s="72">
        <v>2025</v>
      </c>
    </row>
    <row r="69" spans="1:13" ht="15" customHeight="1" x14ac:dyDescent="0.2">
      <c r="A69" s="65" t="s">
        <v>33</v>
      </c>
      <c r="B69" s="95">
        <v>0.65400000000000003</v>
      </c>
      <c r="C69" s="95">
        <v>0.58899999999999997</v>
      </c>
      <c r="D69" s="95">
        <v>0.5298480000000001</v>
      </c>
      <c r="E69" s="95">
        <v>0.4768632000000001</v>
      </c>
      <c r="F69" s="95">
        <v>0.42917688000000009</v>
      </c>
      <c r="G69" s="95">
        <f>0.429*0.9*0.9*0.9</f>
        <v>0.31274100000000005</v>
      </c>
      <c r="H69" s="95">
        <f>G69*0.9*0.9*0.9</f>
        <v>0.22798818900000009</v>
      </c>
      <c r="I69" s="97">
        <f>H69*0.9*0.9</f>
        <v>0.18467043309000006</v>
      </c>
      <c r="K69" s="5"/>
      <c r="L69" s="5"/>
      <c r="M69" s="5"/>
    </row>
    <row r="70" spans="1:13" ht="15" customHeight="1" x14ac:dyDescent="0.2">
      <c r="A70" s="65" t="s">
        <v>30</v>
      </c>
      <c r="B70" s="95">
        <v>0.23100000000000001</v>
      </c>
      <c r="C70" s="95">
        <v>0.20799999999999999</v>
      </c>
      <c r="D70" s="95">
        <v>0.18735300000000005</v>
      </c>
      <c r="E70" s="95">
        <v>0.16861770000000006</v>
      </c>
      <c r="F70" s="95">
        <v>0.15175593000000004</v>
      </c>
      <c r="G70" s="95">
        <f>0.152*0.9*0.9*0.9</f>
        <v>0.110808</v>
      </c>
      <c r="H70" s="95">
        <f>G70*0.9*0.9*0.9</f>
        <v>8.0779032000000001E-2</v>
      </c>
      <c r="I70" s="97">
        <f>H70*0.9*0.9</f>
        <v>6.5431015920000002E-2</v>
      </c>
      <c r="K70" s="5"/>
      <c r="L70" s="5"/>
      <c r="M70" s="5"/>
    </row>
    <row r="71" spans="1:13" ht="15" customHeight="1" x14ac:dyDescent="0.2">
      <c r="A71" s="65" t="s">
        <v>32</v>
      </c>
      <c r="B71" s="95">
        <v>9.526315789473685</v>
      </c>
      <c r="C71" s="95">
        <v>4.9117647058823533</v>
      </c>
      <c r="D71" s="95">
        <v>2.0216180414564664</v>
      </c>
      <c r="E71" s="95">
        <v>1.2662014892453026</v>
      </c>
      <c r="F71" s="95">
        <v>0.7761950005503272</v>
      </c>
      <c r="G71" s="95">
        <f>0.18</f>
        <v>0.18</v>
      </c>
      <c r="H71" s="95">
        <f>0.063*0.9</f>
        <v>5.67E-2</v>
      </c>
      <c r="I71" s="97">
        <f xml:space="preserve"> 0.036*0.9</f>
        <v>3.2399999999999998E-2</v>
      </c>
      <c r="J71" s="40"/>
      <c r="K71" s="5"/>
      <c r="L71" s="5"/>
      <c r="M71" s="5"/>
    </row>
    <row r="72" spans="1:13" ht="15" customHeight="1" thickBot="1" x14ac:dyDescent="0.25">
      <c r="A72" s="74" t="s">
        <v>16</v>
      </c>
      <c r="B72" s="98">
        <f>C72/0.9</f>
        <v>0.1050696086157079</v>
      </c>
      <c r="C72" s="98">
        <f>D72/0.9</f>
        <v>9.4562647754137114E-2</v>
      </c>
      <c r="D72" s="98">
        <v>8.5106382978723402E-2</v>
      </c>
      <c r="E72" s="98">
        <v>7.6595744680851063E-2</v>
      </c>
      <c r="F72" s="98">
        <v>6.8936170212765963E-2</v>
      </c>
      <c r="G72" s="98">
        <v>5.2264646808510652E-2</v>
      </c>
      <c r="H72" s="98">
        <v>3.8100927523404271E-2</v>
      </c>
      <c r="I72" s="99">
        <v>3.0861751293957459E-2</v>
      </c>
      <c r="J72" s="40"/>
      <c r="K72" s="5"/>
      <c r="L72" s="5"/>
      <c r="M72" s="5"/>
    </row>
    <row r="73" spans="1:13" ht="15" customHeight="1" x14ac:dyDescent="0.2">
      <c r="A73" s="4"/>
      <c r="B73" s="49"/>
      <c r="C73" s="49"/>
      <c r="D73" s="49"/>
      <c r="E73" s="49"/>
      <c r="F73" s="49"/>
      <c r="G73" s="5"/>
      <c r="H73" s="5"/>
      <c r="I73" s="5"/>
      <c r="J73" s="40"/>
      <c r="M73" s="30"/>
    </row>
    <row r="74" spans="1:13" ht="15" customHeight="1" x14ac:dyDescent="0.2"/>
  </sheetData>
  <mergeCells count="1">
    <mergeCell ref="A2:B3"/>
  </mergeCells>
  <conditionalFormatting sqref="B8:I13">
    <cfRule type="expression" dxfId="23" priority="6">
      <formula>MOD(ROW(),2)</formula>
    </cfRule>
  </conditionalFormatting>
  <conditionalFormatting sqref="B19:I31">
    <cfRule type="expression" dxfId="22" priority="5">
      <formula>MOD(ROW(),2)</formula>
    </cfRule>
  </conditionalFormatting>
  <conditionalFormatting sqref="B35:I47">
    <cfRule type="expression" dxfId="21" priority="4">
      <formula>MOD(ROW(),2)</formula>
    </cfRule>
  </conditionalFormatting>
  <conditionalFormatting sqref="B51:I56">
    <cfRule type="expression" dxfId="20" priority="3">
      <formula>MOD(ROW(),2)</formula>
    </cfRule>
  </conditionalFormatting>
  <conditionalFormatting sqref="B60:I65">
    <cfRule type="expression" dxfId="19" priority="2">
      <formula>MOD(ROW(),2)</formula>
    </cfRule>
  </conditionalFormatting>
  <conditionalFormatting sqref="B69:I72">
    <cfRule type="expression" dxfId="18" priority="1">
      <formula>MOD(ROW(),2)</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M76"/>
  <sheetViews>
    <sheetView zoomScaleNormal="100" workbookViewId="0">
      <selection activeCell="B8" sqref="B8"/>
    </sheetView>
  </sheetViews>
  <sheetFormatPr baseColWidth="10" defaultRowHeight="12.75" x14ac:dyDescent="0.2"/>
  <cols>
    <col min="1" max="1" width="45.75" style="2" customWidth="1"/>
    <col min="2" max="6" width="7.75" style="2" customWidth="1"/>
    <col min="7" max="9" width="7.75" customWidth="1"/>
    <col min="10" max="10" width="16.875" customWidth="1"/>
    <col min="11" max="11" width="17.75" customWidth="1"/>
    <col min="12" max="12" width="30.375" customWidth="1"/>
    <col min="13" max="13" width="87.5" customWidth="1"/>
    <col min="14" max="14" width="23.625" customWidth="1"/>
  </cols>
  <sheetData>
    <row r="1" spans="1:9" ht="15" customHeight="1" thickBot="1" x14ac:dyDescent="0.25"/>
    <row r="2" spans="1:9" ht="15" customHeight="1" x14ac:dyDescent="0.2">
      <c r="A2" s="108" t="s">
        <v>44</v>
      </c>
      <c r="B2" s="109"/>
      <c r="C2" s="93"/>
      <c r="D2" s="93"/>
      <c r="E2" s="93"/>
    </row>
    <row r="3" spans="1:9" ht="15" customHeight="1" thickBot="1" x14ac:dyDescent="0.25">
      <c r="A3" s="110"/>
      <c r="B3" s="111"/>
      <c r="C3" s="93"/>
      <c r="D3" s="93"/>
      <c r="E3" s="93"/>
    </row>
    <row r="4" spans="1:9" ht="15" customHeight="1" x14ac:dyDescent="0.2"/>
    <row r="5" spans="1:9" ht="30" customHeight="1" x14ac:dyDescent="0.2">
      <c r="A5" s="94" t="s">
        <v>57</v>
      </c>
    </row>
    <row r="6" spans="1:9" ht="15" customHeight="1" thickBot="1" x14ac:dyDescent="0.25"/>
    <row r="7" spans="1:9" ht="30" customHeight="1" x14ac:dyDescent="0.2">
      <c r="A7" s="71" t="s">
        <v>51</v>
      </c>
      <c r="B7" s="64">
        <v>2013</v>
      </c>
      <c r="C7" s="64">
        <v>2014</v>
      </c>
      <c r="D7" s="64">
        <v>2015</v>
      </c>
      <c r="E7" s="64">
        <v>2016</v>
      </c>
      <c r="F7" s="64">
        <v>2017</v>
      </c>
      <c r="G7" s="64">
        <v>2020</v>
      </c>
      <c r="H7" s="64">
        <v>2023</v>
      </c>
      <c r="I7" s="72">
        <v>2025</v>
      </c>
    </row>
    <row r="8" spans="1:9" ht="15" customHeight="1" x14ac:dyDescent="0.2">
      <c r="A8" s="65" t="s">
        <v>50</v>
      </c>
      <c r="B8" s="66">
        <v>19488</v>
      </c>
      <c r="C8" s="66">
        <v>19880</v>
      </c>
      <c r="D8" s="66">
        <v>20200</v>
      </c>
      <c r="E8" s="66">
        <v>20863</v>
      </c>
      <c r="F8" s="66">
        <f xml:space="preserve"> E8*1.033</f>
        <v>21551.478999999999</v>
      </c>
      <c r="G8" s="66">
        <f>F8*1.033*1.033*1.033</f>
        <v>23756.258598393815</v>
      </c>
      <c r="H8" s="66">
        <f>G8*1.033*1.033*1.033</f>
        <v>26186.593625141002</v>
      </c>
      <c r="I8" s="77">
        <f>H8*1.033*1.033</f>
        <v>27943.426004858084</v>
      </c>
    </row>
    <row r="9" spans="1:9" ht="15" customHeight="1" x14ac:dyDescent="0.2">
      <c r="A9" s="65" t="s">
        <v>52</v>
      </c>
      <c r="B9" s="66">
        <v>13432</v>
      </c>
      <c r="C9" s="66">
        <v>13604</v>
      </c>
      <c r="D9" s="66">
        <v>13647</v>
      </c>
      <c r="E9" s="66">
        <f>D9*1.01</f>
        <v>13783.47</v>
      </c>
      <c r="F9" s="66">
        <f>E9*1.01</f>
        <v>13921.304699999999</v>
      </c>
      <c r="G9" s="66">
        <v>14576</v>
      </c>
      <c r="H9" s="66"/>
      <c r="I9" s="77"/>
    </row>
    <row r="10" spans="1:9" ht="15" customHeight="1" x14ac:dyDescent="0.2">
      <c r="A10" s="65" t="s">
        <v>53</v>
      </c>
      <c r="B10" s="66">
        <f t="shared" ref="B10:G10" si="0" xml:space="preserve"> 11.63*B9</f>
        <v>156214.16</v>
      </c>
      <c r="C10" s="66">
        <f t="shared" si="0"/>
        <v>158214.52000000002</v>
      </c>
      <c r="D10" s="66">
        <f t="shared" si="0"/>
        <v>158714.61000000002</v>
      </c>
      <c r="E10" s="66">
        <f t="shared" si="0"/>
        <v>160301.7561</v>
      </c>
      <c r="F10" s="66">
        <f t="shared" si="0"/>
        <v>161904.77366099998</v>
      </c>
      <c r="G10" s="66">
        <f t="shared" si="0"/>
        <v>169518.88</v>
      </c>
      <c r="H10" s="66"/>
      <c r="I10" s="77"/>
    </row>
    <row r="11" spans="1:9" ht="15" customHeight="1" x14ac:dyDescent="0.2">
      <c r="A11" s="65" t="s">
        <v>54</v>
      </c>
      <c r="B11" s="66">
        <v>9180</v>
      </c>
      <c r="C11" s="66">
        <v>9290</v>
      </c>
      <c r="D11" s="66">
        <v>9383</v>
      </c>
      <c r="E11" s="66">
        <f>D11*1.01</f>
        <v>9476.83</v>
      </c>
      <c r="F11" s="66">
        <f>E11*1.01</f>
        <v>9571.5982999999997</v>
      </c>
      <c r="G11" s="66">
        <f>F11*1.01*1.01*1.01</f>
        <v>9861.6273000883011</v>
      </c>
      <c r="H11" s="66">
        <f>G11*1.01*1.01*1.01</f>
        <v>10160.444468908277</v>
      </c>
      <c r="I11" s="77">
        <f>H11*1.01*1.01</f>
        <v>10364.669402733334</v>
      </c>
    </row>
    <row r="12" spans="1:9" ht="15" customHeight="1" x14ac:dyDescent="0.2">
      <c r="A12" s="65" t="s">
        <v>55</v>
      </c>
      <c r="B12" s="66">
        <f xml:space="preserve"> 11.63*B11</f>
        <v>106763.40000000001</v>
      </c>
      <c r="C12" s="66">
        <f t="shared" ref="C12:I12" si="1" xml:space="preserve"> 11.63*C11</f>
        <v>108042.70000000001</v>
      </c>
      <c r="D12" s="66">
        <f t="shared" si="1"/>
        <v>109124.29000000001</v>
      </c>
      <c r="E12" s="66">
        <f t="shared" si="1"/>
        <v>110215.53290000001</v>
      </c>
      <c r="F12" s="66">
        <f t="shared" si="1"/>
        <v>111317.68822900001</v>
      </c>
      <c r="G12" s="66">
        <f t="shared" si="1"/>
        <v>114690.72550002695</v>
      </c>
      <c r="H12" s="66">
        <f t="shared" si="1"/>
        <v>118165.96917340328</v>
      </c>
      <c r="I12" s="77">
        <f t="shared" si="1"/>
        <v>120541.10515378868</v>
      </c>
    </row>
    <row r="13" spans="1:9" ht="15" customHeight="1" thickBot="1" x14ac:dyDescent="0.25">
      <c r="A13" s="74" t="s">
        <v>56</v>
      </c>
      <c r="B13" s="82">
        <v>48700</v>
      </c>
      <c r="C13" s="82">
        <v>49600</v>
      </c>
      <c r="D13" s="82">
        <v>50500</v>
      </c>
      <c r="E13" s="82">
        <v>51200</v>
      </c>
      <c r="F13" s="82">
        <v>52000</v>
      </c>
      <c r="G13" s="82">
        <v>54000</v>
      </c>
      <c r="H13" s="82">
        <v>51000</v>
      </c>
      <c r="I13" s="83">
        <v>48000</v>
      </c>
    </row>
    <row r="14" spans="1:9" ht="15" customHeight="1" x14ac:dyDescent="0.2"/>
    <row r="15" spans="1:9" ht="15" customHeight="1" x14ac:dyDescent="0.2"/>
    <row r="16" spans="1:9" s="56" customFormat="1" ht="30" customHeight="1" x14ac:dyDescent="0.2">
      <c r="A16" s="94" t="s">
        <v>59</v>
      </c>
      <c r="B16" s="19"/>
      <c r="C16" s="19"/>
      <c r="D16" s="19"/>
      <c r="E16" s="19"/>
      <c r="F16" s="19"/>
    </row>
    <row r="17" spans="1:9" s="56" customFormat="1" ht="15" customHeight="1" thickBot="1" x14ac:dyDescent="0.25">
      <c r="A17" s="19"/>
      <c r="B17" s="19"/>
      <c r="C17" s="19"/>
      <c r="D17" s="19"/>
      <c r="E17" s="19"/>
      <c r="F17" s="19"/>
    </row>
    <row r="18" spans="1:9" ht="30" customHeight="1" x14ac:dyDescent="0.2">
      <c r="A18" s="71" t="s">
        <v>34</v>
      </c>
      <c r="B18" s="64">
        <v>2013</v>
      </c>
      <c r="C18" s="64">
        <v>2014</v>
      </c>
      <c r="D18" s="64">
        <v>2015</v>
      </c>
      <c r="E18" s="64">
        <v>2016</v>
      </c>
      <c r="F18" s="64">
        <v>2017</v>
      </c>
      <c r="G18" s="64">
        <v>2020</v>
      </c>
      <c r="H18" s="64">
        <v>2023</v>
      </c>
      <c r="I18" s="72">
        <v>2025</v>
      </c>
    </row>
    <row r="19" spans="1:9" ht="15" customHeight="1" x14ac:dyDescent="0.2">
      <c r="A19" s="65" t="s">
        <v>0</v>
      </c>
      <c r="B19" s="67">
        <v>134</v>
      </c>
      <c r="C19" s="67">
        <v>134</v>
      </c>
      <c r="D19" s="67">
        <v>113</v>
      </c>
      <c r="E19" s="67">
        <v>103</v>
      </c>
      <c r="F19" s="67">
        <v>103</v>
      </c>
      <c r="G19" s="67">
        <v>90</v>
      </c>
      <c r="H19" s="66">
        <v>80</v>
      </c>
      <c r="I19" s="77">
        <v>70</v>
      </c>
    </row>
    <row r="20" spans="1:9" ht="15" customHeight="1" x14ac:dyDescent="0.2">
      <c r="A20" s="65" t="s">
        <v>1</v>
      </c>
      <c r="B20" s="67">
        <v>135</v>
      </c>
      <c r="C20" s="67">
        <v>128</v>
      </c>
      <c r="D20" s="67">
        <v>120</v>
      </c>
      <c r="E20" s="67">
        <v>114</v>
      </c>
      <c r="F20" s="67">
        <v>109</v>
      </c>
      <c r="G20" s="67">
        <v>100</v>
      </c>
      <c r="H20" s="66">
        <v>90</v>
      </c>
      <c r="I20" s="77">
        <v>80</v>
      </c>
    </row>
    <row r="21" spans="1:9" ht="15" customHeight="1" x14ac:dyDescent="0.2">
      <c r="A21" s="65" t="s">
        <v>25</v>
      </c>
      <c r="B21" s="67">
        <v>181</v>
      </c>
      <c r="C21" s="67">
        <v>174</v>
      </c>
      <c r="D21" s="67">
        <v>163</v>
      </c>
      <c r="E21" s="67">
        <v>155</v>
      </c>
      <c r="F21" s="67">
        <v>163</v>
      </c>
      <c r="G21" s="67">
        <v>160</v>
      </c>
      <c r="H21" s="66">
        <v>155</v>
      </c>
      <c r="I21" s="77">
        <v>150</v>
      </c>
    </row>
    <row r="22" spans="1:9" ht="15" customHeight="1" x14ac:dyDescent="0.2">
      <c r="A22" s="65" t="s">
        <v>8</v>
      </c>
      <c r="B22" s="67">
        <v>969</v>
      </c>
      <c r="C22" s="67">
        <v>1244</v>
      </c>
      <c r="D22" s="67">
        <v>1423</v>
      </c>
      <c r="E22" s="67">
        <v>1495</v>
      </c>
      <c r="F22" s="66">
        <v>1569.75</v>
      </c>
      <c r="G22" s="67">
        <v>1800</v>
      </c>
      <c r="H22" s="66">
        <v>2100</v>
      </c>
      <c r="I22" s="77">
        <v>2300</v>
      </c>
    </row>
    <row r="23" spans="1:9" ht="15" customHeight="1" x14ac:dyDescent="0.2">
      <c r="A23" s="65" t="s">
        <v>3</v>
      </c>
      <c r="B23" s="67">
        <v>220</v>
      </c>
      <c r="C23" s="67">
        <v>230</v>
      </c>
      <c r="D23" s="67">
        <v>208</v>
      </c>
      <c r="E23" s="67">
        <v>182</v>
      </c>
      <c r="F23" s="67">
        <v>180</v>
      </c>
      <c r="G23" s="67">
        <v>190</v>
      </c>
      <c r="H23" s="66">
        <v>200</v>
      </c>
      <c r="I23" s="77">
        <v>210</v>
      </c>
    </row>
    <row r="24" spans="1:9" ht="15" customHeight="1" x14ac:dyDescent="0.2">
      <c r="A24" s="65" t="s">
        <v>11</v>
      </c>
      <c r="B24" s="67">
        <v>850</v>
      </c>
      <c r="C24" s="67">
        <v>634</v>
      </c>
      <c r="D24" s="67">
        <v>494</v>
      </c>
      <c r="E24" s="67">
        <v>400</v>
      </c>
      <c r="F24" s="67">
        <v>325</v>
      </c>
      <c r="G24" s="67">
        <v>200</v>
      </c>
      <c r="H24" s="66">
        <v>180</v>
      </c>
      <c r="I24" s="77">
        <v>170</v>
      </c>
    </row>
    <row r="25" spans="1:9" ht="15" customHeight="1" x14ac:dyDescent="0.2">
      <c r="A25" s="65" t="s">
        <v>10</v>
      </c>
      <c r="B25" s="67">
        <v>0</v>
      </c>
      <c r="C25" s="67">
        <v>0</v>
      </c>
      <c r="D25" s="67">
        <v>0</v>
      </c>
      <c r="E25" s="67">
        <v>0</v>
      </c>
      <c r="F25" s="67">
        <v>0</v>
      </c>
      <c r="G25" s="67">
        <v>0</v>
      </c>
      <c r="H25" s="66">
        <v>0</v>
      </c>
      <c r="I25" s="77">
        <v>0</v>
      </c>
    </row>
    <row r="26" spans="1:9" ht="15" customHeight="1" x14ac:dyDescent="0.2">
      <c r="A26" s="65" t="s">
        <v>13</v>
      </c>
      <c r="B26" s="67">
        <v>0</v>
      </c>
      <c r="C26" s="67">
        <v>0</v>
      </c>
      <c r="D26" s="67">
        <v>1000</v>
      </c>
      <c r="E26" s="67">
        <v>2000</v>
      </c>
      <c r="F26" s="67">
        <v>3000</v>
      </c>
      <c r="G26" s="67">
        <v>6000</v>
      </c>
      <c r="H26" s="66">
        <v>9000</v>
      </c>
      <c r="I26" s="77">
        <v>12000</v>
      </c>
    </row>
    <row r="27" spans="1:9" ht="15" customHeight="1" x14ac:dyDescent="0.2">
      <c r="A27" s="65" t="s">
        <v>9</v>
      </c>
      <c r="B27" s="67">
        <v>150</v>
      </c>
      <c r="C27" s="67">
        <v>160</v>
      </c>
      <c r="D27" s="67">
        <v>172</v>
      </c>
      <c r="E27" s="67">
        <v>185</v>
      </c>
      <c r="F27" s="67">
        <v>200</v>
      </c>
      <c r="G27" s="67">
        <v>250</v>
      </c>
      <c r="H27" s="66">
        <v>270</v>
      </c>
      <c r="I27" s="77">
        <v>280</v>
      </c>
    </row>
    <row r="28" spans="1:9" ht="15" customHeight="1" x14ac:dyDescent="0.2">
      <c r="A28" s="65" t="s">
        <v>5</v>
      </c>
      <c r="B28" s="67">
        <v>150</v>
      </c>
      <c r="C28" s="67">
        <v>160</v>
      </c>
      <c r="D28" s="67">
        <v>172</v>
      </c>
      <c r="E28" s="67">
        <v>185</v>
      </c>
      <c r="F28" s="67">
        <v>200</v>
      </c>
      <c r="G28" s="67">
        <v>250</v>
      </c>
      <c r="H28" s="66">
        <v>270</v>
      </c>
      <c r="I28" s="77">
        <v>280</v>
      </c>
    </row>
    <row r="29" spans="1:9" ht="15" customHeight="1" x14ac:dyDescent="0.2">
      <c r="A29" s="65" t="s">
        <v>6</v>
      </c>
      <c r="B29" s="67">
        <v>33</v>
      </c>
      <c r="C29" s="67">
        <v>33</v>
      </c>
      <c r="D29" s="67">
        <v>35</v>
      </c>
      <c r="E29" s="66">
        <v>36.75</v>
      </c>
      <c r="F29" s="66">
        <v>38.587499999999999</v>
      </c>
      <c r="G29" s="67">
        <v>45</v>
      </c>
      <c r="H29" s="66">
        <v>50</v>
      </c>
      <c r="I29" s="77">
        <v>55</v>
      </c>
    </row>
    <row r="30" spans="1:9" ht="15" customHeight="1" x14ac:dyDescent="0.2">
      <c r="A30" s="65" t="s">
        <v>7</v>
      </c>
      <c r="B30" s="67">
        <v>70</v>
      </c>
      <c r="C30" s="67">
        <v>70</v>
      </c>
      <c r="D30" s="67">
        <v>70</v>
      </c>
      <c r="E30" s="67">
        <v>70</v>
      </c>
      <c r="F30" s="67">
        <v>70</v>
      </c>
      <c r="G30" s="67">
        <v>70</v>
      </c>
      <c r="H30" s="66">
        <v>70</v>
      </c>
      <c r="I30" s="77">
        <v>70</v>
      </c>
    </row>
    <row r="31" spans="1:9" ht="15" customHeight="1" thickBot="1" x14ac:dyDescent="0.25">
      <c r="A31" s="74" t="s">
        <v>17</v>
      </c>
      <c r="B31" s="75">
        <v>57</v>
      </c>
      <c r="C31" s="75">
        <v>57</v>
      </c>
      <c r="D31" s="75">
        <v>57</v>
      </c>
      <c r="E31" s="75">
        <v>57</v>
      </c>
      <c r="F31" s="75">
        <v>57</v>
      </c>
      <c r="G31" s="75">
        <v>50</v>
      </c>
      <c r="H31" s="82">
        <v>50</v>
      </c>
      <c r="I31" s="83">
        <v>50</v>
      </c>
    </row>
    <row r="32" spans="1:9" ht="15" customHeight="1" x14ac:dyDescent="0.2">
      <c r="A32" s="57"/>
      <c r="B32" s="4"/>
      <c r="C32" s="4"/>
      <c r="D32" s="4"/>
      <c r="E32" s="4"/>
      <c r="F32" s="4"/>
      <c r="G32" s="3"/>
      <c r="H32" s="3"/>
      <c r="I32" s="3"/>
    </row>
    <row r="33" spans="1:9" ht="15" customHeight="1" thickBot="1" x14ac:dyDescent="0.25">
      <c r="A33" s="33"/>
      <c r="G33" s="3"/>
      <c r="H33" s="3"/>
      <c r="I33" s="3"/>
    </row>
    <row r="34" spans="1:9" ht="30" customHeight="1" x14ac:dyDescent="0.2">
      <c r="A34" s="71" t="s">
        <v>60</v>
      </c>
      <c r="B34" s="64">
        <v>2013</v>
      </c>
      <c r="C34" s="64">
        <v>2014</v>
      </c>
      <c r="D34" s="64">
        <v>2015</v>
      </c>
      <c r="E34" s="64">
        <v>2016</v>
      </c>
      <c r="F34" s="64">
        <v>2017</v>
      </c>
      <c r="G34" s="64">
        <v>2020</v>
      </c>
      <c r="H34" s="64">
        <v>2023</v>
      </c>
      <c r="I34" s="72">
        <v>2025</v>
      </c>
    </row>
    <row r="35" spans="1:9" ht="15" customHeight="1" x14ac:dyDescent="0.2">
      <c r="A35" s="65" t="s">
        <v>0</v>
      </c>
      <c r="B35" s="66">
        <v>750</v>
      </c>
      <c r="C35" s="66">
        <v>750</v>
      </c>
      <c r="D35" s="66">
        <v>750</v>
      </c>
      <c r="E35" s="66">
        <v>750</v>
      </c>
      <c r="F35" s="66">
        <v>750</v>
      </c>
      <c r="G35" s="66">
        <v>750</v>
      </c>
      <c r="H35" s="66">
        <v>750</v>
      </c>
      <c r="I35" s="77">
        <v>750</v>
      </c>
    </row>
    <row r="36" spans="1:9" ht="15" customHeight="1" x14ac:dyDescent="0.2">
      <c r="A36" s="65" t="s">
        <v>1</v>
      </c>
      <c r="B36" s="66">
        <v>700</v>
      </c>
      <c r="C36" s="66">
        <v>700</v>
      </c>
      <c r="D36" s="66">
        <v>700</v>
      </c>
      <c r="E36" s="66">
        <v>750</v>
      </c>
      <c r="F36" s="66">
        <v>800</v>
      </c>
      <c r="G36" s="66">
        <v>800</v>
      </c>
      <c r="H36" s="66">
        <v>800</v>
      </c>
      <c r="I36" s="77">
        <v>800</v>
      </c>
    </row>
    <row r="37" spans="1:9" ht="15" customHeight="1" x14ac:dyDescent="0.2">
      <c r="A37" s="65" t="s">
        <v>25</v>
      </c>
      <c r="B37" s="66">
        <v>1400</v>
      </c>
      <c r="C37" s="66">
        <v>1400</v>
      </c>
      <c r="D37" s="66">
        <v>1400</v>
      </c>
      <c r="E37" s="66">
        <v>1500</v>
      </c>
      <c r="F37" s="66">
        <v>1600</v>
      </c>
      <c r="G37" s="66">
        <v>1600</v>
      </c>
      <c r="H37" s="66">
        <v>1600</v>
      </c>
      <c r="I37" s="77">
        <v>1600</v>
      </c>
    </row>
    <row r="38" spans="1:9" ht="15" customHeight="1" x14ac:dyDescent="0.2">
      <c r="A38" s="65" t="s">
        <v>8</v>
      </c>
      <c r="B38" s="66">
        <f>C38/1.2</f>
        <v>97.547380156075818</v>
      </c>
      <c r="C38" s="66">
        <f>D38/1.2</f>
        <v>117.05685618729098</v>
      </c>
      <c r="D38" s="66">
        <v>140.46822742474916</v>
      </c>
      <c r="E38" s="66">
        <v>168.56187290969899</v>
      </c>
      <c r="F38" s="66">
        <v>202.27424749163879</v>
      </c>
      <c r="G38" s="66">
        <f>202*1.2</f>
        <v>242.39999999999998</v>
      </c>
      <c r="H38" s="66">
        <v>250</v>
      </c>
      <c r="I38" s="77">
        <v>250</v>
      </c>
    </row>
    <row r="39" spans="1:9" ht="15" customHeight="1" x14ac:dyDescent="0.2">
      <c r="A39" s="65" t="s">
        <v>3</v>
      </c>
      <c r="B39" s="66">
        <f>C39</f>
        <v>292.64214046822741</v>
      </c>
      <c r="C39" s="66">
        <f>D39/1.2</f>
        <v>292.64214046822741</v>
      </c>
      <c r="D39" s="66">
        <v>351.17056856187287</v>
      </c>
      <c r="E39" s="66">
        <v>421.40468227424748</v>
      </c>
      <c r="F39" s="66">
        <v>505.68561872909697</v>
      </c>
      <c r="G39" s="66">
        <v>505.68561872909697</v>
      </c>
      <c r="H39" s="66">
        <v>505.68561872909697</v>
      </c>
      <c r="I39" s="77">
        <v>505.68561872909697</v>
      </c>
    </row>
    <row r="40" spans="1:9" ht="15" customHeight="1" x14ac:dyDescent="0.2">
      <c r="A40" s="65" t="s">
        <v>11</v>
      </c>
      <c r="B40" s="66">
        <v>12</v>
      </c>
      <c r="C40" s="66">
        <v>12</v>
      </c>
      <c r="D40" s="66">
        <v>12</v>
      </c>
      <c r="E40" s="66">
        <v>12</v>
      </c>
      <c r="F40" s="66">
        <v>12</v>
      </c>
      <c r="G40" s="66">
        <v>12</v>
      </c>
      <c r="H40" s="66">
        <v>12</v>
      </c>
      <c r="I40" s="77">
        <v>12</v>
      </c>
    </row>
    <row r="41" spans="1:9" ht="15" customHeight="1" x14ac:dyDescent="0.2">
      <c r="A41" s="65" t="s">
        <v>10</v>
      </c>
      <c r="B41" s="66">
        <v>170</v>
      </c>
      <c r="C41" s="66">
        <v>170</v>
      </c>
      <c r="D41" s="66">
        <v>170</v>
      </c>
      <c r="E41" s="66">
        <v>170</v>
      </c>
      <c r="F41" s="66">
        <v>170</v>
      </c>
      <c r="G41" s="66">
        <v>170</v>
      </c>
      <c r="H41" s="66">
        <v>170</v>
      </c>
      <c r="I41" s="77">
        <v>170</v>
      </c>
    </row>
    <row r="42" spans="1:9" ht="15" customHeight="1" x14ac:dyDescent="0.2">
      <c r="A42" s="65" t="s">
        <v>13</v>
      </c>
      <c r="B42" s="66">
        <v>5</v>
      </c>
      <c r="C42" s="66">
        <v>5</v>
      </c>
      <c r="D42" s="66">
        <v>5</v>
      </c>
      <c r="E42" s="66">
        <v>5</v>
      </c>
      <c r="F42" s="66">
        <v>5</v>
      </c>
      <c r="G42" s="66">
        <v>5</v>
      </c>
      <c r="H42" s="66">
        <v>6</v>
      </c>
      <c r="I42" s="77">
        <v>7</v>
      </c>
    </row>
    <row r="43" spans="1:9" ht="15" customHeight="1" x14ac:dyDescent="0.2">
      <c r="A43" s="65" t="s">
        <v>9</v>
      </c>
      <c r="B43" s="66">
        <f xml:space="preserve"> C43/1.2</f>
        <v>852.27272727272737</v>
      </c>
      <c r="C43" s="66">
        <f xml:space="preserve"> D43/1.2</f>
        <v>1022.7272727272727</v>
      </c>
      <c r="D43" s="66">
        <v>1227.2727272727273</v>
      </c>
      <c r="E43" s="66">
        <v>1350</v>
      </c>
      <c r="F43" s="66">
        <v>1485.0000000000002</v>
      </c>
      <c r="G43" s="66">
        <f>1485*1.1*1.1*1.1</f>
        <v>1976.5350000000005</v>
      </c>
      <c r="H43" s="66">
        <f>G43*1.1*1.1*1.1</f>
        <v>2630.7680850000015</v>
      </c>
      <c r="I43" s="77">
        <f>H43*1.1*1.1</f>
        <v>3183.2293828500024</v>
      </c>
    </row>
    <row r="44" spans="1:9" ht="15" customHeight="1" x14ac:dyDescent="0.2">
      <c r="A44" s="65" t="s">
        <v>5</v>
      </c>
      <c r="B44" s="66">
        <v>45</v>
      </c>
      <c r="C44" s="66">
        <v>45</v>
      </c>
      <c r="D44" s="66">
        <v>45</v>
      </c>
      <c r="E44" s="66">
        <v>45</v>
      </c>
      <c r="F44" s="66">
        <v>45</v>
      </c>
      <c r="G44" s="66">
        <v>45</v>
      </c>
      <c r="H44" s="66">
        <v>45</v>
      </c>
      <c r="I44" s="77">
        <v>45</v>
      </c>
    </row>
    <row r="45" spans="1:9" ht="15" customHeight="1" x14ac:dyDescent="0.2">
      <c r="A45" s="65" t="s">
        <v>6</v>
      </c>
      <c r="B45" s="66">
        <v>150</v>
      </c>
      <c r="C45" s="66">
        <v>150</v>
      </c>
      <c r="D45" s="66">
        <v>150</v>
      </c>
      <c r="E45" s="66">
        <v>150</v>
      </c>
      <c r="F45" s="66">
        <v>150</v>
      </c>
      <c r="G45" s="66">
        <v>150</v>
      </c>
      <c r="H45" s="66">
        <v>150</v>
      </c>
      <c r="I45" s="77">
        <v>150</v>
      </c>
    </row>
    <row r="46" spans="1:9" ht="15" customHeight="1" x14ac:dyDescent="0.2">
      <c r="A46" s="65" t="s">
        <v>7</v>
      </c>
      <c r="B46" s="66">
        <v>100</v>
      </c>
      <c r="C46" s="66">
        <v>100</v>
      </c>
      <c r="D46" s="66">
        <v>100</v>
      </c>
      <c r="E46" s="66">
        <v>100</v>
      </c>
      <c r="F46" s="66">
        <v>100</v>
      </c>
      <c r="G46" s="66">
        <v>100</v>
      </c>
      <c r="H46" s="66">
        <v>100</v>
      </c>
      <c r="I46" s="77">
        <v>100</v>
      </c>
    </row>
    <row r="47" spans="1:9" ht="15" customHeight="1" thickBot="1" x14ac:dyDescent="0.25">
      <c r="A47" s="74" t="s">
        <v>17</v>
      </c>
      <c r="B47" s="82">
        <v>200</v>
      </c>
      <c r="C47" s="82">
        <v>200</v>
      </c>
      <c r="D47" s="82">
        <v>200</v>
      </c>
      <c r="E47" s="82">
        <v>200</v>
      </c>
      <c r="F47" s="82">
        <v>200</v>
      </c>
      <c r="G47" s="82">
        <v>200</v>
      </c>
      <c r="H47" s="82">
        <v>200</v>
      </c>
      <c r="I47" s="83">
        <v>200</v>
      </c>
    </row>
    <row r="48" spans="1:9" ht="15" customHeight="1" x14ac:dyDescent="0.2">
      <c r="A48" s="47"/>
      <c r="B48" s="47"/>
      <c r="C48" s="47"/>
      <c r="D48" s="47"/>
      <c r="E48" s="47"/>
      <c r="F48" s="47"/>
      <c r="G48" s="48"/>
      <c r="H48" s="48"/>
      <c r="I48" s="48"/>
    </row>
    <row r="49" spans="1:13" ht="15" customHeight="1" thickBot="1" x14ac:dyDescent="0.25">
      <c r="A49" s="47"/>
      <c r="B49" s="47"/>
      <c r="C49" s="47"/>
      <c r="D49" s="47"/>
      <c r="E49" s="47"/>
      <c r="F49" s="47"/>
      <c r="G49" s="48"/>
      <c r="H49" s="48"/>
      <c r="I49" s="48"/>
    </row>
    <row r="50" spans="1:13" ht="30" customHeight="1" x14ac:dyDescent="0.2">
      <c r="A50" s="71" t="s">
        <v>64</v>
      </c>
      <c r="B50" s="64">
        <v>2013</v>
      </c>
      <c r="C50" s="64">
        <v>2014</v>
      </c>
      <c r="D50" s="64">
        <v>2015</v>
      </c>
      <c r="E50" s="64">
        <v>2016</v>
      </c>
      <c r="F50" s="64">
        <v>2017</v>
      </c>
      <c r="G50" s="64">
        <v>2020</v>
      </c>
      <c r="H50" s="64">
        <v>2023</v>
      </c>
      <c r="I50" s="72">
        <v>2025</v>
      </c>
    </row>
    <row r="51" spans="1:13" ht="15" customHeight="1" x14ac:dyDescent="0.2">
      <c r="A51" s="65" t="s">
        <v>24</v>
      </c>
      <c r="B51" s="66">
        <v>60</v>
      </c>
      <c r="C51" s="66">
        <v>60</v>
      </c>
      <c r="D51" s="66">
        <v>60</v>
      </c>
      <c r="E51" s="66">
        <v>60</v>
      </c>
      <c r="F51" s="66">
        <v>60</v>
      </c>
      <c r="G51" s="66">
        <v>60</v>
      </c>
      <c r="H51" s="66">
        <v>60</v>
      </c>
      <c r="I51" s="77">
        <v>60</v>
      </c>
    </row>
    <row r="52" spans="1:13" ht="15" customHeight="1" x14ac:dyDescent="0.2">
      <c r="A52" s="65" t="s">
        <v>2</v>
      </c>
      <c r="B52" s="66">
        <v>4.9586776859504127</v>
      </c>
      <c r="C52" s="66">
        <v>5.4545454545454541</v>
      </c>
      <c r="D52" s="66">
        <v>6</v>
      </c>
      <c r="E52" s="66">
        <v>6.6000000000000005</v>
      </c>
      <c r="F52" s="66">
        <v>7.2600000000000016</v>
      </c>
      <c r="G52" s="66">
        <v>8.4043575000000033</v>
      </c>
      <c r="H52" s="66">
        <v>8.4043575000000033</v>
      </c>
      <c r="I52" s="77">
        <v>8.4043575000000033</v>
      </c>
    </row>
    <row r="53" spans="1:13" ht="15" customHeight="1" x14ac:dyDescent="0.2">
      <c r="A53" s="65" t="s">
        <v>3</v>
      </c>
      <c r="B53" s="66">
        <v>20</v>
      </c>
      <c r="C53" s="66">
        <v>20</v>
      </c>
      <c r="D53" s="66">
        <v>20</v>
      </c>
      <c r="E53" s="66">
        <v>20</v>
      </c>
      <c r="F53" s="66">
        <v>20</v>
      </c>
      <c r="G53" s="66">
        <v>20</v>
      </c>
      <c r="H53" s="66">
        <v>20</v>
      </c>
      <c r="I53" s="77">
        <v>20</v>
      </c>
    </row>
    <row r="54" spans="1:13" ht="15" customHeight="1" x14ac:dyDescent="0.2">
      <c r="A54" s="65" t="s">
        <v>11</v>
      </c>
      <c r="B54" s="66">
        <v>1</v>
      </c>
      <c r="C54" s="66">
        <v>1</v>
      </c>
      <c r="D54" s="66">
        <v>1</v>
      </c>
      <c r="E54" s="66">
        <v>1</v>
      </c>
      <c r="F54" s="66">
        <v>1</v>
      </c>
      <c r="G54" s="66">
        <v>1</v>
      </c>
      <c r="H54" s="66">
        <v>1</v>
      </c>
      <c r="I54" s="77">
        <v>1</v>
      </c>
    </row>
    <row r="55" spans="1:13" ht="15" customHeight="1" x14ac:dyDescent="0.2">
      <c r="A55" s="65" t="s">
        <v>13</v>
      </c>
      <c r="B55" s="66">
        <v>0.3</v>
      </c>
      <c r="C55" s="66">
        <v>0.3</v>
      </c>
      <c r="D55" s="66">
        <v>0.3</v>
      </c>
      <c r="E55" s="66">
        <v>0.3</v>
      </c>
      <c r="F55" s="66">
        <v>0.3</v>
      </c>
      <c r="G55" s="66">
        <v>0.3</v>
      </c>
      <c r="H55" s="66">
        <v>0.3</v>
      </c>
      <c r="I55" s="77">
        <v>0.3</v>
      </c>
    </row>
    <row r="56" spans="1:13" ht="15" customHeight="1" thickBot="1" x14ac:dyDescent="0.25">
      <c r="A56" s="74" t="s">
        <v>26</v>
      </c>
      <c r="B56" s="82">
        <v>200</v>
      </c>
      <c r="C56" s="82">
        <v>200</v>
      </c>
      <c r="D56" s="82">
        <v>200</v>
      </c>
      <c r="E56" s="82">
        <v>200</v>
      </c>
      <c r="F56" s="82">
        <v>200</v>
      </c>
      <c r="G56" s="82">
        <v>200</v>
      </c>
      <c r="H56" s="82">
        <v>200</v>
      </c>
      <c r="I56" s="83">
        <v>200</v>
      </c>
    </row>
    <row r="57" spans="1:13" ht="15" customHeight="1" x14ac:dyDescent="0.2">
      <c r="A57" s="58"/>
      <c r="B57" s="26"/>
      <c r="C57" s="26"/>
      <c r="D57" s="26"/>
      <c r="E57" s="26"/>
      <c r="F57" s="26"/>
      <c r="G57" s="96"/>
      <c r="H57" s="96"/>
      <c r="I57" s="96"/>
    </row>
    <row r="58" spans="1:13" ht="15" customHeight="1" thickBot="1" x14ac:dyDescent="0.25">
      <c r="A58" s="58"/>
      <c r="B58" s="26"/>
      <c r="C58" s="26"/>
      <c r="D58" s="26"/>
      <c r="E58" s="26"/>
      <c r="F58" s="26"/>
      <c r="G58" s="96"/>
      <c r="H58" s="96"/>
      <c r="I58" s="96"/>
    </row>
    <row r="59" spans="1:13" ht="30" customHeight="1" x14ac:dyDescent="0.2">
      <c r="A59" s="71" t="s">
        <v>27</v>
      </c>
      <c r="B59" s="64">
        <v>2013</v>
      </c>
      <c r="C59" s="64">
        <v>2014</v>
      </c>
      <c r="D59" s="64">
        <v>2015</v>
      </c>
      <c r="E59" s="64">
        <v>2016</v>
      </c>
      <c r="F59" s="64">
        <v>2017</v>
      </c>
      <c r="G59" s="64">
        <v>2020</v>
      </c>
      <c r="H59" s="64">
        <v>2023</v>
      </c>
      <c r="I59" s="72">
        <v>2025</v>
      </c>
    </row>
    <row r="60" spans="1:13" ht="15" customHeight="1" x14ac:dyDescent="0.2">
      <c r="A60" s="65" t="s">
        <v>33</v>
      </c>
      <c r="B60" s="66">
        <v>342.72</v>
      </c>
      <c r="C60" s="66">
        <v>388.8</v>
      </c>
      <c r="D60" s="66">
        <v>506.48275862068965</v>
      </c>
      <c r="E60" s="66">
        <v>587.52</v>
      </c>
      <c r="F60" s="66">
        <v>681.52319999999997</v>
      </c>
      <c r="G60" s="66">
        <v>1063.7868367871999</v>
      </c>
      <c r="H60" s="66">
        <f>G60*1.16*1.16*1.16</f>
        <v>1660.4606183937929</v>
      </c>
      <c r="I60" s="77">
        <f>H60*1.16*1.16*1.16</f>
        <v>2591.8063374083968</v>
      </c>
      <c r="J60" s="4"/>
      <c r="K60" s="4"/>
      <c r="L60" s="4"/>
      <c r="M60" s="4"/>
    </row>
    <row r="61" spans="1:13" ht="15" customHeight="1" x14ac:dyDescent="0.2">
      <c r="A61" s="65" t="s">
        <v>30</v>
      </c>
      <c r="B61" s="66">
        <v>250.92</v>
      </c>
      <c r="C61" s="66">
        <v>302.39999999999998</v>
      </c>
      <c r="D61" s="66">
        <v>403.2</v>
      </c>
      <c r="E61" s="66">
        <v>483.84</v>
      </c>
      <c r="F61" s="66">
        <v>580.60799999999995</v>
      </c>
      <c r="G61" s="66">
        <v>1560.3333670528007</v>
      </c>
      <c r="H61" s="66">
        <f>G61*1.33*1.33*1.33</f>
        <v>3670.8980116630005</v>
      </c>
      <c r="I61" s="77">
        <f>H61*1.33*1.33*1.33</f>
        <v>8636.2904854648077</v>
      </c>
      <c r="J61" s="4"/>
      <c r="K61" s="4"/>
      <c r="L61" s="4"/>
      <c r="M61" s="4"/>
    </row>
    <row r="62" spans="1:13" ht="15" customHeight="1" x14ac:dyDescent="0.2">
      <c r="A62" s="65" t="s">
        <v>31</v>
      </c>
      <c r="B62" s="66">
        <f>SUM(B60:B61)</f>
        <v>593.64</v>
      </c>
      <c r="C62" s="66">
        <f>SUM(C60:C61)</f>
        <v>691.2</v>
      </c>
      <c r="D62" s="66">
        <f>SUM(D60:D61)</f>
        <v>909.68275862068958</v>
      </c>
      <c r="E62" s="66">
        <f>SUM(E60:E61)</f>
        <v>1071.3599999999999</v>
      </c>
      <c r="F62" s="66">
        <f>SUM(F60:F61)</f>
        <v>1262.1311999999998</v>
      </c>
      <c r="G62" s="66">
        <v>2624.1202038400006</v>
      </c>
      <c r="H62" s="66">
        <f>SUM(H60:H61)</f>
        <v>5331.3586300567931</v>
      </c>
      <c r="I62" s="77">
        <f>SUM(I60:I61)</f>
        <v>11228.096822873205</v>
      </c>
      <c r="M62" s="4"/>
    </row>
    <row r="63" spans="1:13" ht="15" customHeight="1" x14ac:dyDescent="0.2">
      <c r="A63" s="65" t="s">
        <v>32</v>
      </c>
      <c r="B63" s="66">
        <v>16</v>
      </c>
      <c r="C63" s="66">
        <v>28.799999999999955</v>
      </c>
      <c r="D63" s="66">
        <v>58.904109589041099</v>
      </c>
      <c r="E63" s="66">
        <v>86</v>
      </c>
      <c r="F63" s="66">
        <v>125.56</v>
      </c>
      <c r="G63" s="66">
        <v>390.75979615999995</v>
      </c>
      <c r="H63" s="66">
        <f>G63*1.46*1.46*1.46</f>
        <v>1216.0976289821974</v>
      </c>
      <c r="I63" s="77">
        <f>H63*1.46*1.46*1.46</f>
        <v>3784.6612106701396</v>
      </c>
      <c r="K63" s="4"/>
      <c r="L63" s="4"/>
      <c r="M63" s="4"/>
    </row>
    <row r="64" spans="1:13" ht="15" customHeight="1" x14ac:dyDescent="0.2">
      <c r="A64" s="65" t="s">
        <v>29</v>
      </c>
      <c r="B64" s="66">
        <f t="shared" ref="B64:I64" si="2">SUM(B62:B63)</f>
        <v>609.64</v>
      </c>
      <c r="C64" s="66">
        <f t="shared" si="2"/>
        <v>720</v>
      </c>
      <c r="D64" s="66">
        <f t="shared" si="2"/>
        <v>968.58686820973071</v>
      </c>
      <c r="E64" s="66">
        <f t="shared" si="2"/>
        <v>1157.3599999999999</v>
      </c>
      <c r="F64" s="66">
        <f t="shared" si="2"/>
        <v>1387.6911999999998</v>
      </c>
      <c r="G64" s="66">
        <f t="shared" si="2"/>
        <v>3014.8800000000006</v>
      </c>
      <c r="H64" s="66">
        <f t="shared" si="2"/>
        <v>6547.4562590389905</v>
      </c>
      <c r="I64" s="77">
        <f t="shared" si="2"/>
        <v>15012.758033543345</v>
      </c>
    </row>
    <row r="65" spans="1:13" ht="15" customHeight="1" thickBot="1" x14ac:dyDescent="0.25">
      <c r="A65" s="74" t="s">
        <v>16</v>
      </c>
      <c r="B65" s="82">
        <v>3070</v>
      </c>
      <c r="C65" s="82">
        <v>3400</v>
      </c>
      <c r="D65" s="82">
        <v>4700</v>
      </c>
      <c r="E65" s="82">
        <v>6800</v>
      </c>
      <c r="F65" s="82">
        <v>9100</v>
      </c>
      <c r="G65" s="82">
        <v>20700</v>
      </c>
      <c r="H65" s="82">
        <f>G65*1.34*1.34*1.34</f>
        <v>49806.352800000008</v>
      </c>
      <c r="I65" s="83">
        <f>H65*1.34*1.34*1.34</f>
        <v>119839.26469749122</v>
      </c>
      <c r="J65" s="16"/>
      <c r="K65" s="16"/>
      <c r="L65" s="16"/>
      <c r="M65" s="4"/>
    </row>
    <row r="66" spans="1:13" ht="15" customHeight="1" x14ac:dyDescent="0.2">
      <c r="A66" s="33"/>
    </row>
    <row r="67" spans="1:13" ht="15" customHeight="1" thickBot="1" x14ac:dyDescent="0.25">
      <c r="A67" s="33"/>
    </row>
    <row r="68" spans="1:13" ht="30" customHeight="1" x14ac:dyDescent="0.2">
      <c r="A68" s="71" t="s">
        <v>65</v>
      </c>
      <c r="B68" s="64">
        <v>2013</v>
      </c>
      <c r="C68" s="64">
        <v>2014</v>
      </c>
      <c r="D68" s="64">
        <v>2015</v>
      </c>
      <c r="E68" s="64">
        <v>2016</v>
      </c>
      <c r="F68" s="64">
        <v>2017</v>
      </c>
      <c r="G68" s="64">
        <v>2020</v>
      </c>
      <c r="H68" s="64">
        <v>2023</v>
      </c>
      <c r="I68" s="72">
        <v>2025</v>
      </c>
    </row>
    <row r="69" spans="1:13" ht="15" customHeight="1" x14ac:dyDescent="0.2">
      <c r="A69" s="65" t="s">
        <v>33</v>
      </c>
      <c r="B69" s="95">
        <v>0.65400000000000003</v>
      </c>
      <c r="C69" s="95">
        <v>0.58899999999999997</v>
      </c>
      <c r="D69" s="95">
        <v>0.5298480000000001</v>
      </c>
      <c r="E69" s="95">
        <v>0.4768632000000001</v>
      </c>
      <c r="F69" s="95">
        <v>0.42917688000000009</v>
      </c>
      <c r="G69" s="95">
        <f>0.429*0.9*0.9*0.9</f>
        <v>0.31274100000000005</v>
      </c>
      <c r="H69" s="95">
        <f>G69*0.9*0.9*0.9</f>
        <v>0.22798818900000009</v>
      </c>
      <c r="I69" s="97">
        <f>H69*0.9*0.9</f>
        <v>0.18467043309000006</v>
      </c>
      <c r="M69" s="30"/>
    </row>
    <row r="70" spans="1:13" ht="15" customHeight="1" x14ac:dyDescent="0.2">
      <c r="A70" s="65" t="s">
        <v>30</v>
      </c>
      <c r="B70" s="95">
        <v>0.23100000000000001</v>
      </c>
      <c r="C70" s="95">
        <v>0.20799999999999999</v>
      </c>
      <c r="D70" s="95">
        <v>0.18735300000000005</v>
      </c>
      <c r="E70" s="95">
        <v>0.16861770000000006</v>
      </c>
      <c r="F70" s="95">
        <v>0.15175593000000004</v>
      </c>
      <c r="G70" s="95">
        <f>0.152*0.9*0.9*0.9</f>
        <v>0.110808</v>
      </c>
      <c r="H70" s="95">
        <f>G70*0.9*0.9*0.9</f>
        <v>8.0779032000000001E-2</v>
      </c>
      <c r="I70" s="97">
        <f>H70*0.9*0.9</f>
        <v>6.5431015920000002E-2</v>
      </c>
      <c r="M70" s="30"/>
    </row>
    <row r="71" spans="1:13" ht="15" customHeight="1" x14ac:dyDescent="0.2">
      <c r="A71" s="65" t="s">
        <v>32</v>
      </c>
      <c r="B71" s="95">
        <v>9.526315789473685</v>
      </c>
      <c r="C71" s="95">
        <v>4.9117647058823533</v>
      </c>
      <c r="D71" s="95">
        <v>2.0216180414564664</v>
      </c>
      <c r="E71" s="95">
        <v>1.2662014892453026</v>
      </c>
      <c r="F71" s="95">
        <v>0.7761950005503272</v>
      </c>
      <c r="G71" s="95">
        <f>0.18</f>
        <v>0.18</v>
      </c>
      <c r="H71" s="95">
        <f>0.063*0.9</f>
        <v>5.67E-2</v>
      </c>
      <c r="I71" s="97">
        <f xml:space="preserve"> 0.036*0.9</f>
        <v>3.2399999999999998E-2</v>
      </c>
      <c r="J71" s="40"/>
      <c r="M71" s="25"/>
    </row>
    <row r="72" spans="1:13" ht="15" customHeight="1" thickBot="1" x14ac:dyDescent="0.25">
      <c r="A72" s="74" t="s">
        <v>16</v>
      </c>
      <c r="B72" s="98">
        <f>C72/0.9</f>
        <v>0.1050696086157079</v>
      </c>
      <c r="C72" s="98">
        <f>D72/0.9</f>
        <v>9.4562647754137114E-2</v>
      </c>
      <c r="D72" s="98">
        <v>8.5106382978723402E-2</v>
      </c>
      <c r="E72" s="98">
        <v>7.4042553191489363E-2</v>
      </c>
      <c r="F72" s="98">
        <v>6.145531914893617E-2</v>
      </c>
      <c r="G72" s="98">
        <v>3.1465123404255328E-2</v>
      </c>
      <c r="H72" s="98">
        <f>G72*0.8*0.8*0.8</f>
        <v>1.6110143182978733E-2</v>
      </c>
      <c r="I72" s="99">
        <f>H72*0.8*0.8</f>
        <v>1.031049163710639E-2</v>
      </c>
      <c r="J72" s="40"/>
      <c r="M72" s="30"/>
    </row>
    <row r="73" spans="1:13" ht="15" customHeight="1" x14ac:dyDescent="0.2">
      <c r="A73" s="4"/>
      <c r="B73" s="49"/>
      <c r="C73" s="49"/>
      <c r="D73" s="49"/>
      <c r="E73" s="49"/>
      <c r="F73" s="49"/>
      <c r="G73" s="5"/>
      <c r="H73" s="5"/>
      <c r="I73" s="5"/>
      <c r="J73" s="40"/>
      <c r="M73" s="30"/>
    </row>
    <row r="74" spans="1:13" ht="15" customHeight="1" x14ac:dyDescent="0.2"/>
    <row r="75" spans="1:13" ht="15" customHeight="1" x14ac:dyDescent="0.2"/>
    <row r="76" spans="1:13" ht="15" customHeight="1" x14ac:dyDescent="0.2"/>
  </sheetData>
  <mergeCells count="1">
    <mergeCell ref="A2:B3"/>
  </mergeCells>
  <conditionalFormatting sqref="B19:I31">
    <cfRule type="expression" dxfId="17" priority="6">
      <formula>MOD(ROW(),2)</formula>
    </cfRule>
  </conditionalFormatting>
  <conditionalFormatting sqref="B35:I47">
    <cfRule type="expression" dxfId="16" priority="5">
      <formula>MOD(ROW(),2)</formula>
    </cfRule>
  </conditionalFormatting>
  <conditionalFormatting sqref="B51:I56">
    <cfRule type="expression" dxfId="15" priority="4">
      <formula>MOD(ROW(),2)</formula>
    </cfRule>
  </conditionalFormatting>
  <conditionalFormatting sqref="B60:I65">
    <cfRule type="expression" dxfId="14" priority="3">
      <formula>MOD(ROW(),2)</formula>
    </cfRule>
  </conditionalFormatting>
  <conditionalFormatting sqref="B69:I72">
    <cfRule type="expression" dxfId="13" priority="2">
      <formula>MOD(ROW(),2)</formula>
    </cfRule>
  </conditionalFormatting>
  <conditionalFormatting sqref="B8:I13">
    <cfRule type="expression" dxfId="12" priority="1">
      <formula>MOD(ROW(),2)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M73"/>
  <sheetViews>
    <sheetView zoomScaleNormal="100" workbookViewId="0">
      <selection activeCell="B78" sqref="B78"/>
    </sheetView>
  </sheetViews>
  <sheetFormatPr baseColWidth="10" defaultRowHeight="12.75" x14ac:dyDescent="0.2"/>
  <cols>
    <col min="1" max="1" width="45.75" style="2" customWidth="1"/>
    <col min="2" max="6" width="7.75" style="2" customWidth="1"/>
    <col min="7" max="9" width="7.75" customWidth="1"/>
    <col min="10" max="10" width="16.875" customWidth="1"/>
    <col min="11" max="11" width="17.75" customWidth="1"/>
    <col min="12" max="12" width="30.375" customWidth="1"/>
    <col min="13" max="13" width="87.5" customWidth="1"/>
    <col min="14" max="14" width="23.625" customWidth="1"/>
  </cols>
  <sheetData>
    <row r="1" spans="1:9" ht="15" customHeight="1" thickBot="1" x14ac:dyDescent="0.25"/>
    <row r="2" spans="1:9" ht="15" customHeight="1" x14ac:dyDescent="0.2">
      <c r="A2" s="108" t="s">
        <v>45</v>
      </c>
      <c r="B2" s="109"/>
      <c r="C2" s="93"/>
      <c r="D2" s="93"/>
      <c r="E2" s="93"/>
    </row>
    <row r="3" spans="1:9" ht="15" customHeight="1" thickBot="1" x14ac:dyDescent="0.25">
      <c r="A3" s="110"/>
      <c r="B3" s="111"/>
      <c r="C3" s="93"/>
      <c r="D3" s="93"/>
      <c r="E3" s="93"/>
    </row>
    <row r="4" spans="1:9" ht="15" customHeight="1" x14ac:dyDescent="0.2"/>
    <row r="5" spans="1:9" ht="30" customHeight="1" x14ac:dyDescent="0.2">
      <c r="A5" s="94" t="s">
        <v>57</v>
      </c>
    </row>
    <row r="6" spans="1:9" ht="15" customHeight="1" thickBot="1" x14ac:dyDescent="0.25"/>
    <row r="7" spans="1:9" ht="30" customHeight="1" x14ac:dyDescent="0.2">
      <c r="A7" s="71" t="s">
        <v>51</v>
      </c>
      <c r="B7" s="64">
        <v>2013</v>
      </c>
      <c r="C7" s="64">
        <v>2014</v>
      </c>
      <c r="D7" s="64">
        <v>2015</v>
      </c>
      <c r="E7" s="64">
        <v>2016</v>
      </c>
      <c r="F7" s="64">
        <v>2017</v>
      </c>
      <c r="G7" s="64">
        <v>2020</v>
      </c>
      <c r="H7" s="64">
        <v>2023</v>
      </c>
      <c r="I7" s="72">
        <v>2025</v>
      </c>
    </row>
    <row r="8" spans="1:9" ht="15" customHeight="1" x14ac:dyDescent="0.2">
      <c r="A8" s="65" t="s">
        <v>50</v>
      </c>
      <c r="B8" s="66">
        <v>19488</v>
      </c>
      <c r="C8" s="66">
        <v>19880</v>
      </c>
      <c r="D8" s="66">
        <v>20200</v>
      </c>
      <c r="E8" s="66">
        <v>20863</v>
      </c>
      <c r="F8" s="66">
        <f xml:space="preserve"> E8*1.033</f>
        <v>21551.478999999999</v>
      </c>
      <c r="G8" s="66">
        <f>F8*1.033*1.033*1.033</f>
        <v>23756.258598393815</v>
      </c>
      <c r="H8" s="66">
        <f>G8*1.033*1.033*1.033</f>
        <v>26186.593625141002</v>
      </c>
      <c r="I8" s="77">
        <f>H8*1.033*1.033</f>
        <v>27943.426004858084</v>
      </c>
    </row>
    <row r="9" spans="1:9" ht="15" customHeight="1" x14ac:dyDescent="0.2">
      <c r="A9" s="65" t="s">
        <v>52</v>
      </c>
      <c r="B9" s="66">
        <v>13432</v>
      </c>
      <c r="C9" s="66">
        <v>13604</v>
      </c>
      <c r="D9" s="66">
        <v>13647</v>
      </c>
      <c r="E9" s="66">
        <f>D9*1.01</f>
        <v>13783.47</v>
      </c>
      <c r="F9" s="66">
        <f>E9*1.01</f>
        <v>13921.304699999999</v>
      </c>
      <c r="G9" s="66">
        <v>14576</v>
      </c>
      <c r="H9" s="66"/>
      <c r="I9" s="77"/>
    </row>
    <row r="10" spans="1:9" ht="15" customHeight="1" x14ac:dyDescent="0.2">
      <c r="A10" s="65" t="s">
        <v>53</v>
      </c>
      <c r="B10" s="66">
        <f t="shared" ref="B10:G10" si="0" xml:space="preserve"> 11.63*B9</f>
        <v>156214.16</v>
      </c>
      <c r="C10" s="66">
        <f t="shared" si="0"/>
        <v>158214.52000000002</v>
      </c>
      <c r="D10" s="66">
        <f t="shared" si="0"/>
        <v>158714.61000000002</v>
      </c>
      <c r="E10" s="66">
        <f t="shared" si="0"/>
        <v>160301.7561</v>
      </c>
      <c r="F10" s="66">
        <f t="shared" si="0"/>
        <v>161904.77366099998</v>
      </c>
      <c r="G10" s="66">
        <f t="shared" si="0"/>
        <v>169518.88</v>
      </c>
      <c r="H10" s="66"/>
      <c r="I10" s="77"/>
    </row>
    <row r="11" spans="1:9" ht="15" customHeight="1" x14ac:dyDescent="0.2">
      <c r="A11" s="65" t="s">
        <v>54</v>
      </c>
      <c r="B11" s="66">
        <v>9180</v>
      </c>
      <c r="C11" s="66">
        <v>9290</v>
      </c>
      <c r="D11" s="66">
        <v>9383</v>
      </c>
      <c r="E11" s="66">
        <f>D11*1.01</f>
        <v>9476.83</v>
      </c>
      <c r="F11" s="66">
        <f>E11*1.01</f>
        <v>9571.5982999999997</v>
      </c>
      <c r="G11" s="66">
        <f>F11*1.01*1.01*1.01</f>
        <v>9861.6273000883011</v>
      </c>
      <c r="H11" s="66">
        <f>G11*1.01*1.01*1.01</f>
        <v>10160.444468908277</v>
      </c>
      <c r="I11" s="77">
        <f>H11*1.01*1.01</f>
        <v>10364.669402733334</v>
      </c>
    </row>
    <row r="12" spans="1:9" ht="15" customHeight="1" x14ac:dyDescent="0.2">
      <c r="A12" s="65" t="s">
        <v>55</v>
      </c>
      <c r="B12" s="66">
        <f xml:space="preserve"> 11.63*B11</f>
        <v>106763.40000000001</v>
      </c>
      <c r="C12" s="66">
        <f t="shared" ref="C12:I12" si="1" xml:space="preserve"> 11.63*C11</f>
        <v>108042.70000000001</v>
      </c>
      <c r="D12" s="66">
        <f t="shared" si="1"/>
        <v>109124.29000000001</v>
      </c>
      <c r="E12" s="66">
        <f t="shared" si="1"/>
        <v>110215.53290000001</v>
      </c>
      <c r="F12" s="66">
        <f t="shared" si="1"/>
        <v>111317.68822900001</v>
      </c>
      <c r="G12" s="66">
        <f t="shared" si="1"/>
        <v>114690.72550002695</v>
      </c>
      <c r="H12" s="66">
        <f t="shared" si="1"/>
        <v>118165.96917340328</v>
      </c>
      <c r="I12" s="77">
        <f t="shared" si="1"/>
        <v>120541.10515378868</v>
      </c>
    </row>
    <row r="13" spans="1:9" ht="15" customHeight="1" thickBot="1" x14ac:dyDescent="0.25">
      <c r="A13" s="74" t="s">
        <v>56</v>
      </c>
      <c r="B13" s="82">
        <v>48700</v>
      </c>
      <c r="C13" s="82">
        <v>49600</v>
      </c>
      <c r="D13" s="82">
        <v>50500</v>
      </c>
      <c r="E13" s="82">
        <v>51200</v>
      </c>
      <c r="F13" s="82">
        <v>52000</v>
      </c>
      <c r="G13" s="82">
        <v>54000</v>
      </c>
      <c r="H13" s="82">
        <v>51000</v>
      </c>
      <c r="I13" s="83">
        <v>48000</v>
      </c>
    </row>
    <row r="14" spans="1:9" s="56" customFormat="1" ht="15" customHeight="1" x14ac:dyDescent="0.2">
      <c r="A14" s="19"/>
      <c r="B14" s="19"/>
      <c r="C14" s="19"/>
      <c r="D14" s="19"/>
      <c r="E14" s="19"/>
      <c r="F14" s="19"/>
    </row>
    <row r="15" spans="1:9" ht="15" customHeight="1" x14ac:dyDescent="0.2"/>
    <row r="16" spans="1:9" s="2" customFormat="1" ht="30" customHeight="1" x14ac:dyDescent="0.2">
      <c r="A16" s="94" t="s">
        <v>66</v>
      </c>
    </row>
    <row r="17" spans="1:9" ht="15" customHeight="1" thickBot="1" x14ac:dyDescent="0.25"/>
    <row r="18" spans="1:9" ht="30" customHeight="1" x14ac:dyDescent="0.2">
      <c r="A18" s="71" t="s">
        <v>34</v>
      </c>
      <c r="B18" s="64">
        <v>2013</v>
      </c>
      <c r="C18" s="64">
        <v>2014</v>
      </c>
      <c r="D18" s="64">
        <v>2015</v>
      </c>
      <c r="E18" s="64">
        <v>2016</v>
      </c>
      <c r="F18" s="64">
        <v>2017</v>
      </c>
      <c r="G18" s="64">
        <v>2020</v>
      </c>
      <c r="H18" s="64">
        <v>2023</v>
      </c>
      <c r="I18" s="72">
        <v>2025</v>
      </c>
    </row>
    <row r="19" spans="1:9" ht="15" customHeight="1" x14ac:dyDescent="0.2">
      <c r="A19" s="65" t="s">
        <v>0</v>
      </c>
      <c r="B19" s="67">
        <v>134</v>
      </c>
      <c r="C19" s="67">
        <v>134</v>
      </c>
      <c r="D19" s="67">
        <v>113</v>
      </c>
      <c r="E19" s="67">
        <v>103</v>
      </c>
      <c r="F19" s="67">
        <v>103</v>
      </c>
      <c r="G19" s="67">
        <v>90</v>
      </c>
      <c r="H19" s="66">
        <v>80</v>
      </c>
      <c r="I19" s="77">
        <v>70</v>
      </c>
    </row>
    <row r="20" spans="1:9" ht="15" customHeight="1" x14ac:dyDescent="0.2">
      <c r="A20" s="65" t="s">
        <v>1</v>
      </c>
      <c r="B20" s="67">
        <v>135</v>
      </c>
      <c r="C20" s="67">
        <v>128</v>
      </c>
      <c r="D20" s="67">
        <v>120</v>
      </c>
      <c r="E20" s="67">
        <v>114</v>
      </c>
      <c r="F20" s="67">
        <v>109</v>
      </c>
      <c r="G20" s="67">
        <v>100</v>
      </c>
      <c r="H20" s="66">
        <v>90</v>
      </c>
      <c r="I20" s="77">
        <v>80</v>
      </c>
    </row>
    <row r="21" spans="1:9" ht="15" customHeight="1" x14ac:dyDescent="0.2">
      <c r="A21" s="65" t="s">
        <v>25</v>
      </c>
      <c r="B21" s="67">
        <v>181</v>
      </c>
      <c r="C21" s="67">
        <v>174</v>
      </c>
      <c r="D21" s="67">
        <v>163</v>
      </c>
      <c r="E21" s="67">
        <v>155</v>
      </c>
      <c r="F21" s="67">
        <v>163</v>
      </c>
      <c r="G21" s="67">
        <v>160</v>
      </c>
      <c r="H21" s="66">
        <v>155</v>
      </c>
      <c r="I21" s="77">
        <v>150</v>
      </c>
    </row>
    <row r="22" spans="1:9" ht="15" customHeight="1" x14ac:dyDescent="0.2">
      <c r="A22" s="65" t="s">
        <v>8</v>
      </c>
      <c r="B22" s="67">
        <v>969</v>
      </c>
      <c r="C22" s="67">
        <v>1244</v>
      </c>
      <c r="D22" s="67">
        <v>1423</v>
      </c>
      <c r="E22" s="67">
        <v>1495</v>
      </c>
      <c r="F22" s="66">
        <v>1569.75</v>
      </c>
      <c r="G22" s="67">
        <v>1800</v>
      </c>
      <c r="H22" s="66">
        <v>2200</v>
      </c>
      <c r="I22" s="77">
        <v>2500</v>
      </c>
    </row>
    <row r="23" spans="1:9" ht="15" customHeight="1" x14ac:dyDescent="0.2">
      <c r="A23" s="65" t="s">
        <v>3</v>
      </c>
      <c r="B23" s="67">
        <v>220</v>
      </c>
      <c r="C23" s="67">
        <v>230</v>
      </c>
      <c r="D23" s="67">
        <v>208</v>
      </c>
      <c r="E23" s="67">
        <v>182</v>
      </c>
      <c r="F23" s="67">
        <v>180</v>
      </c>
      <c r="G23" s="67">
        <v>190</v>
      </c>
      <c r="H23" s="66">
        <v>200</v>
      </c>
      <c r="I23" s="77">
        <v>210</v>
      </c>
    </row>
    <row r="24" spans="1:9" ht="15" customHeight="1" x14ac:dyDescent="0.2">
      <c r="A24" s="65" t="s">
        <v>11</v>
      </c>
      <c r="B24" s="67">
        <v>850</v>
      </c>
      <c r="C24" s="67">
        <v>634</v>
      </c>
      <c r="D24" s="67">
        <v>494</v>
      </c>
      <c r="E24" s="67">
        <v>400</v>
      </c>
      <c r="F24" s="67">
        <v>325</v>
      </c>
      <c r="G24" s="67">
        <v>200</v>
      </c>
      <c r="H24" s="66">
        <v>180</v>
      </c>
      <c r="I24" s="77">
        <v>170</v>
      </c>
    </row>
    <row r="25" spans="1:9" ht="15" customHeight="1" x14ac:dyDescent="0.2">
      <c r="A25" s="65" t="s">
        <v>10</v>
      </c>
      <c r="B25" s="67">
        <v>0</v>
      </c>
      <c r="C25" s="67">
        <v>0</v>
      </c>
      <c r="D25" s="67">
        <v>0</v>
      </c>
      <c r="E25" s="67">
        <v>0</v>
      </c>
      <c r="F25" s="67">
        <v>0</v>
      </c>
      <c r="G25" s="67">
        <v>0</v>
      </c>
      <c r="H25" s="66">
        <v>0</v>
      </c>
      <c r="I25" s="77">
        <v>0</v>
      </c>
    </row>
    <row r="26" spans="1:9" ht="15" customHeight="1" x14ac:dyDescent="0.2">
      <c r="A26" s="65" t="s">
        <v>13</v>
      </c>
      <c r="B26" s="67">
        <v>0</v>
      </c>
      <c r="C26" s="67">
        <v>0</v>
      </c>
      <c r="D26" s="67">
        <v>1000</v>
      </c>
      <c r="E26" s="67">
        <v>2000</v>
      </c>
      <c r="F26" s="67">
        <v>3000</v>
      </c>
      <c r="G26" s="67">
        <v>8000</v>
      </c>
      <c r="H26" s="66">
        <v>16000</v>
      </c>
      <c r="I26" s="77">
        <v>25000</v>
      </c>
    </row>
    <row r="27" spans="1:9" ht="15" customHeight="1" x14ac:dyDescent="0.2">
      <c r="A27" s="65" t="s">
        <v>9</v>
      </c>
      <c r="B27" s="67">
        <v>150</v>
      </c>
      <c r="C27" s="67">
        <v>160</v>
      </c>
      <c r="D27" s="67">
        <v>172</v>
      </c>
      <c r="E27" s="67">
        <v>185</v>
      </c>
      <c r="F27" s="67">
        <v>200</v>
      </c>
      <c r="G27" s="67">
        <v>250</v>
      </c>
      <c r="H27" s="66">
        <v>270</v>
      </c>
      <c r="I27" s="77">
        <v>280</v>
      </c>
    </row>
    <row r="28" spans="1:9" ht="15" customHeight="1" x14ac:dyDescent="0.2">
      <c r="A28" s="65" t="s">
        <v>5</v>
      </c>
      <c r="B28" s="67">
        <v>150</v>
      </c>
      <c r="C28" s="67">
        <v>160</v>
      </c>
      <c r="D28" s="67">
        <v>172</v>
      </c>
      <c r="E28" s="67">
        <v>185</v>
      </c>
      <c r="F28" s="67">
        <v>200</v>
      </c>
      <c r="G28" s="67">
        <v>250</v>
      </c>
      <c r="H28" s="66">
        <v>270</v>
      </c>
      <c r="I28" s="77">
        <v>280</v>
      </c>
    </row>
    <row r="29" spans="1:9" ht="15" customHeight="1" x14ac:dyDescent="0.2">
      <c r="A29" s="65" t="s">
        <v>6</v>
      </c>
      <c r="B29" s="67">
        <v>33</v>
      </c>
      <c r="C29" s="67">
        <v>33</v>
      </c>
      <c r="D29" s="67">
        <v>35</v>
      </c>
      <c r="E29" s="66">
        <v>36.75</v>
      </c>
      <c r="F29" s="66">
        <v>38.587499999999999</v>
      </c>
      <c r="G29" s="67">
        <v>45</v>
      </c>
      <c r="H29" s="66">
        <v>50</v>
      </c>
      <c r="I29" s="77">
        <v>55</v>
      </c>
    </row>
    <row r="30" spans="1:9" ht="15" customHeight="1" x14ac:dyDescent="0.2">
      <c r="A30" s="65" t="s">
        <v>7</v>
      </c>
      <c r="B30" s="67">
        <v>70</v>
      </c>
      <c r="C30" s="67">
        <v>70</v>
      </c>
      <c r="D30" s="67">
        <v>70</v>
      </c>
      <c r="E30" s="67">
        <v>70</v>
      </c>
      <c r="F30" s="67">
        <v>70</v>
      </c>
      <c r="G30" s="67">
        <v>70</v>
      </c>
      <c r="H30" s="66">
        <v>70</v>
      </c>
      <c r="I30" s="77">
        <v>70</v>
      </c>
    </row>
    <row r="31" spans="1:9" ht="15" customHeight="1" thickBot="1" x14ac:dyDescent="0.25">
      <c r="A31" s="74" t="s">
        <v>17</v>
      </c>
      <c r="B31" s="75">
        <v>57</v>
      </c>
      <c r="C31" s="75">
        <v>57</v>
      </c>
      <c r="D31" s="75">
        <v>57</v>
      </c>
      <c r="E31" s="75">
        <v>57</v>
      </c>
      <c r="F31" s="75">
        <v>57</v>
      </c>
      <c r="G31" s="75">
        <v>50</v>
      </c>
      <c r="H31" s="82">
        <v>50</v>
      </c>
      <c r="I31" s="83">
        <v>50</v>
      </c>
    </row>
    <row r="32" spans="1:9" ht="15" customHeight="1" x14ac:dyDescent="0.2">
      <c r="A32" s="57"/>
      <c r="B32" s="4"/>
      <c r="C32" s="4"/>
      <c r="D32" s="4"/>
      <c r="E32" s="4"/>
      <c r="F32" s="4"/>
      <c r="G32" s="3"/>
      <c r="H32" s="3"/>
      <c r="I32" s="3"/>
    </row>
    <row r="33" spans="1:9" ht="15" customHeight="1" thickBot="1" x14ac:dyDescent="0.25">
      <c r="A33" s="33"/>
      <c r="G33" s="3"/>
      <c r="H33" s="3"/>
      <c r="I33" s="3"/>
    </row>
    <row r="34" spans="1:9" ht="30" customHeight="1" x14ac:dyDescent="0.2">
      <c r="A34" s="71" t="s">
        <v>60</v>
      </c>
      <c r="B34" s="64">
        <v>2013</v>
      </c>
      <c r="C34" s="64">
        <v>2014</v>
      </c>
      <c r="D34" s="64">
        <v>2015</v>
      </c>
      <c r="E34" s="64">
        <v>2016</v>
      </c>
      <c r="F34" s="64">
        <v>2017</v>
      </c>
      <c r="G34" s="64">
        <v>2020</v>
      </c>
      <c r="H34" s="64">
        <v>2023</v>
      </c>
      <c r="I34" s="72">
        <v>2025</v>
      </c>
    </row>
    <row r="35" spans="1:9" ht="15" customHeight="1" x14ac:dyDescent="0.2">
      <c r="A35" s="65" t="s">
        <v>0</v>
      </c>
      <c r="B35" s="66">
        <v>750</v>
      </c>
      <c r="C35" s="66">
        <v>750</v>
      </c>
      <c r="D35" s="66">
        <v>750</v>
      </c>
      <c r="E35" s="66">
        <v>750</v>
      </c>
      <c r="F35" s="66">
        <v>750</v>
      </c>
      <c r="G35" s="66">
        <v>750</v>
      </c>
      <c r="H35" s="66">
        <v>750</v>
      </c>
      <c r="I35" s="77">
        <v>750</v>
      </c>
    </row>
    <row r="36" spans="1:9" ht="15" customHeight="1" x14ac:dyDescent="0.2">
      <c r="A36" s="65" t="s">
        <v>1</v>
      </c>
      <c r="B36" s="66">
        <v>700</v>
      </c>
      <c r="C36" s="66">
        <v>700</v>
      </c>
      <c r="D36" s="66">
        <v>700</v>
      </c>
      <c r="E36" s="66">
        <v>750</v>
      </c>
      <c r="F36" s="66">
        <v>800</v>
      </c>
      <c r="G36" s="66">
        <v>800</v>
      </c>
      <c r="H36" s="66">
        <v>800</v>
      </c>
      <c r="I36" s="77">
        <v>800</v>
      </c>
    </row>
    <row r="37" spans="1:9" ht="15" customHeight="1" x14ac:dyDescent="0.2">
      <c r="A37" s="65" t="s">
        <v>25</v>
      </c>
      <c r="B37" s="66">
        <v>1400</v>
      </c>
      <c r="C37" s="66">
        <v>1400</v>
      </c>
      <c r="D37" s="66">
        <v>1400</v>
      </c>
      <c r="E37" s="66">
        <v>1500</v>
      </c>
      <c r="F37" s="66">
        <v>1600</v>
      </c>
      <c r="G37" s="66">
        <v>1600</v>
      </c>
      <c r="H37" s="66">
        <v>1600</v>
      </c>
      <c r="I37" s="77">
        <v>1600</v>
      </c>
    </row>
    <row r="38" spans="1:9" ht="15" customHeight="1" x14ac:dyDescent="0.2">
      <c r="A38" s="65" t="s">
        <v>8</v>
      </c>
      <c r="B38" s="66">
        <f>C38/1.2</f>
        <v>97.547380156075818</v>
      </c>
      <c r="C38" s="66">
        <f>D38/1.2</f>
        <v>117.05685618729098</v>
      </c>
      <c r="D38" s="66">
        <v>140.46822742474916</v>
      </c>
      <c r="E38" s="66">
        <v>168.56187290969899</v>
      </c>
      <c r="F38" s="66">
        <v>202.27424749163879</v>
      </c>
      <c r="G38" s="66">
        <f>202*1.2</f>
        <v>242.39999999999998</v>
      </c>
      <c r="H38" s="66">
        <v>250</v>
      </c>
      <c r="I38" s="77">
        <v>260</v>
      </c>
    </row>
    <row r="39" spans="1:9" ht="15" customHeight="1" x14ac:dyDescent="0.2">
      <c r="A39" s="65" t="s">
        <v>3</v>
      </c>
      <c r="B39" s="66">
        <f>C39</f>
        <v>292.64214046822741</v>
      </c>
      <c r="C39" s="66">
        <f>D39/1.2</f>
        <v>292.64214046822741</v>
      </c>
      <c r="D39" s="66">
        <v>351.17056856187287</v>
      </c>
      <c r="E39" s="66">
        <v>421.40468227424748</v>
      </c>
      <c r="F39" s="66">
        <v>505.68561872909697</v>
      </c>
      <c r="G39" s="66">
        <v>505.68561872909697</v>
      </c>
      <c r="H39" s="66">
        <v>505.68561872909697</v>
      </c>
      <c r="I39" s="77">
        <v>505.68561872909697</v>
      </c>
    </row>
    <row r="40" spans="1:9" ht="15" customHeight="1" x14ac:dyDescent="0.2">
      <c r="A40" s="65" t="s">
        <v>11</v>
      </c>
      <c r="B40" s="66">
        <v>12</v>
      </c>
      <c r="C40" s="66">
        <v>12</v>
      </c>
      <c r="D40" s="66">
        <v>12</v>
      </c>
      <c r="E40" s="66">
        <v>12</v>
      </c>
      <c r="F40" s="66">
        <v>12</v>
      </c>
      <c r="G40" s="66">
        <v>12</v>
      </c>
      <c r="H40" s="66">
        <v>12</v>
      </c>
      <c r="I40" s="77">
        <v>12</v>
      </c>
    </row>
    <row r="41" spans="1:9" ht="15" customHeight="1" x14ac:dyDescent="0.2">
      <c r="A41" s="65" t="s">
        <v>10</v>
      </c>
      <c r="B41" s="66">
        <v>170</v>
      </c>
      <c r="C41" s="66">
        <v>170</v>
      </c>
      <c r="D41" s="66">
        <v>170</v>
      </c>
      <c r="E41" s="66">
        <v>170</v>
      </c>
      <c r="F41" s="66">
        <v>170</v>
      </c>
      <c r="G41" s="66">
        <v>170</v>
      </c>
      <c r="H41" s="66">
        <v>170</v>
      </c>
      <c r="I41" s="77">
        <v>170</v>
      </c>
    </row>
    <row r="42" spans="1:9" ht="15" customHeight="1" x14ac:dyDescent="0.2">
      <c r="A42" s="65" t="s">
        <v>13</v>
      </c>
      <c r="B42" s="66">
        <v>5</v>
      </c>
      <c r="C42" s="66">
        <v>5</v>
      </c>
      <c r="D42" s="66">
        <v>5</v>
      </c>
      <c r="E42" s="66">
        <v>5</v>
      </c>
      <c r="F42" s="66">
        <v>5</v>
      </c>
      <c r="G42" s="66">
        <v>5</v>
      </c>
      <c r="H42" s="66">
        <v>6</v>
      </c>
      <c r="I42" s="77">
        <v>7</v>
      </c>
    </row>
    <row r="43" spans="1:9" ht="15" customHeight="1" x14ac:dyDescent="0.2">
      <c r="A43" s="65" t="s">
        <v>9</v>
      </c>
      <c r="B43" s="66">
        <f xml:space="preserve"> C43/1.2</f>
        <v>852.27272727272737</v>
      </c>
      <c r="C43" s="66">
        <f xml:space="preserve"> D43/1.2</f>
        <v>1022.7272727272727</v>
      </c>
      <c r="D43" s="66">
        <v>1227.2727272727273</v>
      </c>
      <c r="E43" s="66">
        <v>1350</v>
      </c>
      <c r="F43" s="66">
        <v>1485.0000000000002</v>
      </c>
      <c r="G43" s="66">
        <f>1485*1.1*1.1*1.1</f>
        <v>1976.5350000000005</v>
      </c>
      <c r="H43" s="66">
        <f>G43*1.1*1.1*1.1</f>
        <v>2630.7680850000015</v>
      </c>
      <c r="I43" s="77">
        <f>H43*1.1*1.1</f>
        <v>3183.2293828500024</v>
      </c>
    </row>
    <row r="44" spans="1:9" ht="15" customHeight="1" x14ac:dyDescent="0.2">
      <c r="A44" s="65" t="s">
        <v>5</v>
      </c>
      <c r="B44" s="66">
        <v>45</v>
      </c>
      <c r="C44" s="66">
        <v>45</v>
      </c>
      <c r="D44" s="66">
        <v>45</v>
      </c>
      <c r="E44" s="66">
        <v>45</v>
      </c>
      <c r="F44" s="66">
        <v>45</v>
      </c>
      <c r="G44" s="66">
        <v>45</v>
      </c>
      <c r="H44" s="66">
        <v>45</v>
      </c>
      <c r="I44" s="77">
        <v>45</v>
      </c>
    </row>
    <row r="45" spans="1:9" ht="15" customHeight="1" x14ac:dyDescent="0.2">
      <c r="A45" s="65" t="s">
        <v>6</v>
      </c>
      <c r="B45" s="66">
        <v>150</v>
      </c>
      <c r="C45" s="66">
        <v>150</v>
      </c>
      <c r="D45" s="66">
        <v>150</v>
      </c>
      <c r="E45" s="66">
        <v>150</v>
      </c>
      <c r="F45" s="66">
        <v>150</v>
      </c>
      <c r="G45" s="66">
        <v>150</v>
      </c>
      <c r="H45" s="66">
        <v>150</v>
      </c>
      <c r="I45" s="77">
        <v>150</v>
      </c>
    </row>
    <row r="46" spans="1:9" ht="15" customHeight="1" x14ac:dyDescent="0.2">
      <c r="A46" s="65" t="s">
        <v>7</v>
      </c>
      <c r="B46" s="66">
        <v>100</v>
      </c>
      <c r="C46" s="66">
        <v>100</v>
      </c>
      <c r="D46" s="66">
        <v>100</v>
      </c>
      <c r="E46" s="66">
        <v>100</v>
      </c>
      <c r="F46" s="66">
        <v>100</v>
      </c>
      <c r="G46" s="66">
        <v>100</v>
      </c>
      <c r="H46" s="66">
        <v>100</v>
      </c>
      <c r="I46" s="77">
        <v>100</v>
      </c>
    </row>
    <row r="47" spans="1:9" ht="15" customHeight="1" thickBot="1" x14ac:dyDescent="0.25">
      <c r="A47" s="74" t="s">
        <v>17</v>
      </c>
      <c r="B47" s="82">
        <v>200</v>
      </c>
      <c r="C47" s="82">
        <v>200</v>
      </c>
      <c r="D47" s="82">
        <v>200</v>
      </c>
      <c r="E47" s="82">
        <v>200</v>
      </c>
      <c r="F47" s="82">
        <v>200</v>
      </c>
      <c r="G47" s="82">
        <v>200</v>
      </c>
      <c r="H47" s="82">
        <v>200</v>
      </c>
      <c r="I47" s="83">
        <v>200</v>
      </c>
    </row>
    <row r="48" spans="1:9" ht="15" customHeight="1" x14ac:dyDescent="0.2">
      <c r="A48" s="47"/>
      <c r="B48" s="47"/>
      <c r="C48" s="47"/>
      <c r="D48" s="47"/>
      <c r="E48" s="47"/>
      <c r="F48" s="47"/>
      <c r="G48" s="48"/>
      <c r="H48" s="48"/>
      <c r="I48" s="48"/>
    </row>
    <row r="49" spans="1:13" ht="15" customHeight="1" thickBot="1" x14ac:dyDescent="0.25">
      <c r="A49" s="47"/>
      <c r="B49" s="47"/>
      <c r="C49" s="47"/>
      <c r="D49" s="47"/>
      <c r="E49" s="47"/>
      <c r="F49" s="47"/>
      <c r="G49" s="48"/>
      <c r="H49" s="48"/>
      <c r="I49" s="48"/>
    </row>
    <row r="50" spans="1:13" ht="30" customHeight="1" x14ac:dyDescent="0.2">
      <c r="A50" s="71" t="s">
        <v>64</v>
      </c>
      <c r="B50" s="64">
        <v>2013</v>
      </c>
      <c r="C50" s="64">
        <v>2014</v>
      </c>
      <c r="D50" s="64">
        <v>2015</v>
      </c>
      <c r="E50" s="64">
        <v>2016</v>
      </c>
      <c r="F50" s="64">
        <v>2017</v>
      </c>
      <c r="G50" s="64">
        <v>2020</v>
      </c>
      <c r="H50" s="64">
        <v>2023</v>
      </c>
      <c r="I50" s="72">
        <v>2025</v>
      </c>
    </row>
    <row r="51" spans="1:13" ht="15" customHeight="1" x14ac:dyDescent="0.2">
      <c r="A51" s="65" t="s">
        <v>24</v>
      </c>
      <c r="B51" s="66">
        <v>60</v>
      </c>
      <c r="C51" s="66">
        <v>60</v>
      </c>
      <c r="D51" s="66">
        <v>60</v>
      </c>
      <c r="E51" s="66">
        <v>60</v>
      </c>
      <c r="F51" s="66">
        <v>60</v>
      </c>
      <c r="G51" s="66">
        <v>60</v>
      </c>
      <c r="H51" s="66">
        <v>60</v>
      </c>
      <c r="I51" s="77">
        <v>60</v>
      </c>
    </row>
    <row r="52" spans="1:13" ht="15" customHeight="1" x14ac:dyDescent="0.2">
      <c r="A52" s="65" t="s">
        <v>2</v>
      </c>
      <c r="B52" s="66">
        <v>4.9586776859504127</v>
      </c>
      <c r="C52" s="66">
        <v>5.4545454545454541</v>
      </c>
      <c r="D52" s="66">
        <v>6</v>
      </c>
      <c r="E52" s="66">
        <v>6.6000000000000005</v>
      </c>
      <c r="F52" s="66">
        <v>7.2600000000000016</v>
      </c>
      <c r="G52" s="66">
        <v>8.4043575000000033</v>
      </c>
      <c r="H52" s="66">
        <v>8.4043575000000033</v>
      </c>
      <c r="I52" s="77">
        <v>8.4043575000000033</v>
      </c>
    </row>
    <row r="53" spans="1:13" ht="15" customHeight="1" x14ac:dyDescent="0.2">
      <c r="A53" s="65" t="s">
        <v>3</v>
      </c>
      <c r="B53" s="66">
        <v>20</v>
      </c>
      <c r="C53" s="66">
        <v>20</v>
      </c>
      <c r="D53" s="66">
        <v>20</v>
      </c>
      <c r="E53" s="66">
        <v>20</v>
      </c>
      <c r="F53" s="66">
        <v>20</v>
      </c>
      <c r="G53" s="66">
        <v>20</v>
      </c>
      <c r="H53" s="66">
        <v>20</v>
      </c>
      <c r="I53" s="77">
        <v>20</v>
      </c>
    </row>
    <row r="54" spans="1:13" ht="15" customHeight="1" x14ac:dyDescent="0.2">
      <c r="A54" s="65" t="s">
        <v>11</v>
      </c>
      <c r="B54" s="66">
        <v>1</v>
      </c>
      <c r="C54" s="66">
        <v>1</v>
      </c>
      <c r="D54" s="66">
        <v>1</v>
      </c>
      <c r="E54" s="66">
        <v>1</v>
      </c>
      <c r="F54" s="66">
        <v>1</v>
      </c>
      <c r="G54" s="66">
        <v>1</v>
      </c>
      <c r="H54" s="66">
        <v>1</v>
      </c>
      <c r="I54" s="77">
        <v>1</v>
      </c>
    </row>
    <row r="55" spans="1:13" ht="15" customHeight="1" x14ac:dyDescent="0.2">
      <c r="A55" s="65" t="s">
        <v>13</v>
      </c>
      <c r="B55" s="66">
        <v>0.3</v>
      </c>
      <c r="C55" s="66">
        <v>0.3</v>
      </c>
      <c r="D55" s="66">
        <v>0.3</v>
      </c>
      <c r="E55" s="66">
        <v>0.3</v>
      </c>
      <c r="F55" s="66">
        <v>0.3</v>
      </c>
      <c r="G55" s="66">
        <v>0.3</v>
      </c>
      <c r="H55" s="66">
        <v>0.3</v>
      </c>
      <c r="I55" s="77">
        <v>0.3</v>
      </c>
    </row>
    <row r="56" spans="1:13" ht="15" customHeight="1" thickBot="1" x14ac:dyDescent="0.25">
      <c r="A56" s="74" t="s">
        <v>26</v>
      </c>
      <c r="B56" s="82">
        <v>200</v>
      </c>
      <c r="C56" s="82">
        <v>200</v>
      </c>
      <c r="D56" s="82">
        <v>200</v>
      </c>
      <c r="E56" s="82">
        <v>200</v>
      </c>
      <c r="F56" s="82">
        <v>200</v>
      </c>
      <c r="G56" s="82">
        <v>200</v>
      </c>
      <c r="H56" s="82">
        <v>200</v>
      </c>
      <c r="I56" s="83">
        <v>200</v>
      </c>
    </row>
    <row r="57" spans="1:13" ht="15" customHeight="1" x14ac:dyDescent="0.2">
      <c r="A57" s="58"/>
      <c r="B57" s="26"/>
      <c r="C57" s="26"/>
      <c r="D57" s="26"/>
      <c r="E57" s="26"/>
      <c r="F57" s="26"/>
      <c r="G57" s="96"/>
      <c r="H57" s="96"/>
      <c r="I57" s="96"/>
    </row>
    <row r="58" spans="1:13" ht="15" customHeight="1" thickBot="1" x14ac:dyDescent="0.25">
      <c r="A58" s="58"/>
      <c r="B58" s="26"/>
      <c r="C58" s="26"/>
      <c r="D58" s="26"/>
      <c r="E58" s="26"/>
      <c r="F58" s="26"/>
      <c r="G58" s="96"/>
      <c r="H58" s="96"/>
      <c r="I58" s="96"/>
    </row>
    <row r="59" spans="1:13" ht="30" customHeight="1" x14ac:dyDescent="0.2">
      <c r="A59" s="71" t="s">
        <v>27</v>
      </c>
      <c r="B59" s="64">
        <v>2013</v>
      </c>
      <c r="C59" s="64">
        <v>2014</v>
      </c>
      <c r="D59" s="64">
        <v>2015</v>
      </c>
      <c r="E59" s="64">
        <v>2016</v>
      </c>
      <c r="F59" s="64">
        <v>2017</v>
      </c>
      <c r="G59" s="64">
        <v>2020</v>
      </c>
      <c r="H59" s="64">
        <v>2023</v>
      </c>
      <c r="I59" s="72">
        <v>2025</v>
      </c>
    </row>
    <row r="60" spans="1:13" ht="15" customHeight="1" x14ac:dyDescent="0.2">
      <c r="A60" s="65" t="s">
        <v>33</v>
      </c>
      <c r="B60" s="66">
        <v>342.72</v>
      </c>
      <c r="C60" s="66">
        <v>388.8</v>
      </c>
      <c r="D60" s="66">
        <v>506.48275862068965</v>
      </c>
      <c r="E60" s="66">
        <v>587.52</v>
      </c>
      <c r="F60" s="66">
        <v>681.52319999999997</v>
      </c>
      <c r="G60" s="66">
        <v>1063.7868367871999</v>
      </c>
      <c r="H60" s="66">
        <v>1747.8358140201465</v>
      </c>
      <c r="I60" s="77">
        <v>2871.7501731811494</v>
      </c>
      <c r="J60" s="4"/>
      <c r="K60" s="4"/>
      <c r="L60" s="4"/>
      <c r="M60" s="4"/>
    </row>
    <row r="61" spans="1:13" ht="15" customHeight="1" x14ac:dyDescent="0.2">
      <c r="A61" s="65" t="s">
        <v>30</v>
      </c>
      <c r="B61" s="66">
        <v>250.92</v>
      </c>
      <c r="C61" s="66">
        <v>302.39999999999998</v>
      </c>
      <c r="D61" s="66">
        <v>403.2</v>
      </c>
      <c r="E61" s="66">
        <v>483.84</v>
      </c>
      <c r="F61" s="66">
        <v>580.60799999999995</v>
      </c>
      <c r="G61" s="66">
        <v>1560.3333670528007</v>
      </c>
      <c r="H61" s="66">
        <v>4012.1678843713207</v>
      </c>
      <c r="I61" s="77">
        <v>10316.699925981851</v>
      </c>
      <c r="J61" s="4"/>
      <c r="K61" s="4"/>
      <c r="L61" s="4"/>
      <c r="M61" s="4"/>
    </row>
    <row r="62" spans="1:13" ht="15" customHeight="1" x14ac:dyDescent="0.2">
      <c r="A62" s="65" t="s">
        <v>31</v>
      </c>
      <c r="B62" s="66">
        <f>SUM(B60:B61)</f>
        <v>593.64</v>
      </c>
      <c r="C62" s="66">
        <f>SUM(C60:C61)</f>
        <v>691.2</v>
      </c>
      <c r="D62" s="66">
        <f>SUM(D60:D61)</f>
        <v>909.68275862068958</v>
      </c>
      <c r="E62" s="66">
        <f>SUM(E60:E61)</f>
        <v>1071.3599999999999</v>
      </c>
      <c r="F62" s="66">
        <f>SUM(F60:F61)</f>
        <v>1262.1311999999998</v>
      </c>
      <c r="G62" s="66">
        <v>2624.1202038400006</v>
      </c>
      <c r="H62" s="66">
        <f>SUM(H60:H61)</f>
        <v>5760.003698391467</v>
      </c>
      <c r="I62" s="77">
        <f>SUM(I60:I61)</f>
        <v>13188.450099163001</v>
      </c>
      <c r="M62" s="4"/>
    </row>
    <row r="63" spans="1:13" ht="15" customHeight="1" x14ac:dyDescent="0.2">
      <c r="A63" s="65" t="s">
        <v>32</v>
      </c>
      <c r="B63" s="66">
        <v>16</v>
      </c>
      <c r="C63" s="66">
        <v>28.799999999999955</v>
      </c>
      <c r="D63" s="66">
        <v>58.904109589041099</v>
      </c>
      <c r="E63" s="66">
        <v>86</v>
      </c>
      <c r="F63" s="66">
        <v>125.56</v>
      </c>
      <c r="G63" s="66">
        <v>390.75979615999995</v>
      </c>
      <c r="H63" s="66">
        <v>1372.2733782330572</v>
      </c>
      <c r="I63" s="77">
        <v>4819.1606278658764</v>
      </c>
      <c r="K63" s="4"/>
      <c r="L63" s="4"/>
      <c r="M63" s="4"/>
    </row>
    <row r="64" spans="1:13" ht="15" customHeight="1" x14ac:dyDescent="0.2">
      <c r="A64" s="65" t="s">
        <v>29</v>
      </c>
      <c r="B64" s="66">
        <f t="shared" ref="B64:I64" si="2">SUM(B62:B63)</f>
        <v>609.64</v>
      </c>
      <c r="C64" s="66">
        <f t="shared" si="2"/>
        <v>720</v>
      </c>
      <c r="D64" s="66">
        <f t="shared" si="2"/>
        <v>968.58686820973071</v>
      </c>
      <c r="E64" s="66">
        <f t="shared" si="2"/>
        <v>1157.3599999999999</v>
      </c>
      <c r="F64" s="66">
        <f t="shared" si="2"/>
        <v>1387.6911999999998</v>
      </c>
      <c r="G64" s="66">
        <f t="shared" si="2"/>
        <v>3014.8800000000006</v>
      </c>
      <c r="H64" s="66">
        <f t="shared" si="2"/>
        <v>7132.2770766245239</v>
      </c>
      <c r="I64" s="77">
        <f t="shared" si="2"/>
        <v>18007.610727028878</v>
      </c>
    </row>
    <row r="65" spans="1:13" ht="15" customHeight="1" thickBot="1" x14ac:dyDescent="0.25">
      <c r="A65" s="74" t="s">
        <v>16</v>
      </c>
      <c r="B65" s="82">
        <v>3070</v>
      </c>
      <c r="C65" s="82">
        <v>3400</v>
      </c>
      <c r="D65" s="82">
        <v>4700</v>
      </c>
      <c r="E65" s="82">
        <v>6800</v>
      </c>
      <c r="F65" s="82">
        <v>9100</v>
      </c>
      <c r="G65" s="82">
        <v>20700</v>
      </c>
      <c r="H65" s="82">
        <v>54401.090399999986</v>
      </c>
      <c r="I65" s="83">
        <v>142969.98244970874</v>
      </c>
      <c r="J65" s="3"/>
      <c r="K65" s="3"/>
      <c r="L65" s="3"/>
      <c r="M65" s="4"/>
    </row>
    <row r="66" spans="1:13" ht="15" customHeight="1" x14ac:dyDescent="0.2">
      <c r="A66" s="33"/>
    </row>
    <row r="67" spans="1:13" ht="15" customHeight="1" thickBot="1" x14ac:dyDescent="0.25">
      <c r="A67" s="33"/>
    </row>
    <row r="68" spans="1:13" ht="30" customHeight="1" x14ac:dyDescent="0.2">
      <c r="A68" s="71" t="s">
        <v>65</v>
      </c>
      <c r="B68" s="64">
        <v>2013</v>
      </c>
      <c r="C68" s="64">
        <v>2014</v>
      </c>
      <c r="D68" s="64">
        <v>2015</v>
      </c>
      <c r="E68" s="64">
        <v>2016</v>
      </c>
      <c r="F68" s="64">
        <v>2017</v>
      </c>
      <c r="G68" s="64">
        <v>2020</v>
      </c>
      <c r="H68" s="64">
        <v>2023</v>
      </c>
      <c r="I68" s="72">
        <v>2025</v>
      </c>
    </row>
    <row r="69" spans="1:13" ht="15" customHeight="1" x14ac:dyDescent="0.2">
      <c r="A69" s="65" t="s">
        <v>33</v>
      </c>
      <c r="B69" s="95">
        <v>0.65400000000000003</v>
      </c>
      <c r="C69" s="95">
        <v>0.58899999999999997</v>
      </c>
      <c r="D69" s="95">
        <v>0.5298480000000001</v>
      </c>
      <c r="E69" s="95">
        <v>0.4768632000000001</v>
      </c>
      <c r="F69" s="95">
        <v>0.42917688000000009</v>
      </c>
      <c r="G69" s="95">
        <f>0.429*0.9*0.9*0.9</f>
        <v>0.31274100000000005</v>
      </c>
      <c r="H69" s="95">
        <f>G69*0.92*0.92*0.92</f>
        <v>0.24352766380800009</v>
      </c>
      <c r="I69" s="97">
        <f>H69*0.92*0.92</f>
        <v>0.20612181464709131</v>
      </c>
      <c r="J69" s="5"/>
      <c r="K69" s="5"/>
      <c r="L69" s="5"/>
      <c r="M69" s="30"/>
    </row>
    <row r="70" spans="1:13" ht="15" customHeight="1" x14ac:dyDescent="0.2">
      <c r="A70" s="65" t="s">
        <v>30</v>
      </c>
      <c r="B70" s="95">
        <v>0.23100000000000001</v>
      </c>
      <c r="C70" s="95">
        <v>0.20799999999999999</v>
      </c>
      <c r="D70" s="95">
        <v>0.18735300000000005</v>
      </c>
      <c r="E70" s="95">
        <v>0.16861770000000006</v>
      </c>
      <c r="F70" s="95">
        <v>0.15175593000000004</v>
      </c>
      <c r="G70" s="95">
        <f>0.152*0.9*0.9*0.9</f>
        <v>0.110808</v>
      </c>
      <c r="H70" s="95">
        <f>G70*0.92*0.92*0.92</f>
        <v>8.6284859904000019E-2</v>
      </c>
      <c r="I70" s="97">
        <f>H70*0.92*0.92</f>
        <v>7.3031505422745627E-2</v>
      </c>
      <c r="J70" s="5"/>
      <c r="K70" s="5"/>
      <c r="L70" s="5"/>
      <c r="M70" s="30"/>
    </row>
    <row r="71" spans="1:13" ht="15" customHeight="1" x14ac:dyDescent="0.2">
      <c r="A71" s="65" t="s">
        <v>32</v>
      </c>
      <c r="B71" s="95">
        <v>9.526315789473685</v>
      </c>
      <c r="C71" s="95">
        <v>4.9117647058823533</v>
      </c>
      <c r="D71" s="95">
        <v>2.0216180414564664</v>
      </c>
      <c r="E71" s="95">
        <v>1.2662014892453026</v>
      </c>
      <c r="F71" s="95">
        <v>0.7761950005503272</v>
      </c>
      <c r="G71" s="95">
        <f>0.18</f>
        <v>0.18</v>
      </c>
      <c r="H71" s="95">
        <f xml:space="preserve"> 0.063/0.8</f>
        <v>7.8750000000000001E-2</v>
      </c>
      <c r="I71" s="97">
        <f xml:space="preserve"> 0.036/0.8</f>
        <v>4.4999999999999991E-2</v>
      </c>
      <c r="J71" s="5"/>
      <c r="K71" s="5"/>
      <c r="L71" s="5"/>
      <c r="M71" s="46"/>
    </row>
    <row r="72" spans="1:13" ht="15" customHeight="1" thickBot="1" x14ac:dyDescent="0.25">
      <c r="A72" s="74" t="s">
        <v>16</v>
      </c>
      <c r="B72" s="98">
        <f>C72/0.9</f>
        <v>0.1050696086157079</v>
      </c>
      <c r="C72" s="98">
        <f>D72/0.9</f>
        <v>9.4562647754137114E-2</v>
      </c>
      <c r="D72" s="98">
        <v>8.5106382978723402E-2</v>
      </c>
      <c r="E72" s="98">
        <v>7.4042553191489363E-2</v>
      </c>
      <c r="F72" s="98">
        <v>6.145531914893617E-2</v>
      </c>
      <c r="G72" s="98">
        <v>3.1465123404255328E-2</v>
      </c>
      <c r="H72" s="98">
        <f>G72*0.82*0.84*0.86</f>
        <v>1.8638932220731919E-2</v>
      </c>
      <c r="I72" s="99">
        <f>H72*0.87*0.88</f>
        <v>1.4269966508192356E-2</v>
      </c>
      <c r="J72" s="5"/>
      <c r="K72" s="5"/>
      <c r="L72" s="5"/>
      <c r="M72" s="30"/>
    </row>
    <row r="73" spans="1:13" ht="15" customHeight="1" x14ac:dyDescent="0.2">
      <c r="A73" s="4"/>
      <c r="B73" s="49"/>
      <c r="C73" s="49"/>
      <c r="D73" s="49"/>
      <c r="E73" s="49"/>
      <c r="F73" s="49"/>
      <c r="G73" s="5"/>
      <c r="H73" s="5"/>
      <c r="I73" s="5"/>
      <c r="J73" s="40"/>
      <c r="M73" s="30"/>
    </row>
  </sheetData>
  <mergeCells count="1">
    <mergeCell ref="A2:B3"/>
  </mergeCells>
  <conditionalFormatting sqref="B8:I13">
    <cfRule type="expression" dxfId="11" priority="6">
      <formula>MOD(ROW(),2)</formula>
    </cfRule>
  </conditionalFormatting>
  <conditionalFormatting sqref="B19:I31">
    <cfRule type="expression" dxfId="10" priority="5">
      <formula>MOD(ROW(),2)</formula>
    </cfRule>
  </conditionalFormatting>
  <conditionalFormatting sqref="B35:I47">
    <cfRule type="expression" dxfId="9" priority="4">
      <formula>MOD(ROW(),2)</formula>
    </cfRule>
  </conditionalFormatting>
  <conditionalFormatting sqref="B51:I56">
    <cfRule type="expression" dxfId="8" priority="3">
      <formula>MOD(ROW(),2)</formula>
    </cfRule>
  </conditionalFormatting>
  <conditionalFormatting sqref="B60:I65">
    <cfRule type="expression" dxfId="7" priority="2">
      <formula>MOD(ROW(),2)</formula>
    </cfRule>
  </conditionalFormatting>
  <conditionalFormatting sqref="B69:I72">
    <cfRule type="expression" dxfId="6" priority="1">
      <formula>MOD(ROW(),2)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Sources</vt:lpstr>
      <vt:lpstr>Hypothesis</vt:lpstr>
      <vt:lpstr> 1  Expected Updated</vt:lpstr>
      <vt:lpstr>2 Higher Growth Higher EE</vt:lpstr>
      <vt:lpstr>3  Superior Growth Peaked EE</vt:lpstr>
      <vt:lpstr>4  Sobriety</vt:lpstr>
      <vt:lpstr>DATA 1</vt:lpstr>
      <vt:lpstr>DATA 2</vt:lpstr>
      <vt:lpstr>DATA 3</vt:lpstr>
      <vt:lpstr>DATA 4</vt:lpstr>
    </vt:vector>
  </TitlesOfParts>
  <Company>NuiGalway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pcor</dc:creator>
  <cp:lastModifiedBy>TSP Clémence</cp:lastModifiedBy>
  <cp:lastPrinted>2015-02-20T13:27:50Z</cp:lastPrinted>
  <dcterms:created xsi:type="dcterms:W3CDTF">2013-04-13T10:59:56Z</dcterms:created>
  <dcterms:modified xsi:type="dcterms:W3CDTF">2019-10-29T10:55:01Z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(1)rTaXa3TThARRFUGUvNHFkCsUu+bk+roGVb46jNjr7CNGnz9xtjmEYXjhhnU3AOA7itiBn+hW_x000d_ xdUAb/WelEkpXX4I+e+yRwzHsNLmIuAsH+A0jCGYMB7VKlrklQO5iQPXC1Q8tfnjTkS7mJcl_x000d_ 41pqjfQbkk38Cv/3u8hKMZqjm48=</vt:lpwstr>
  </property>
  <property fmtid="{D5CDD505-2E9C-101B-9397-08002B2CF9AE}" pid="3" name="_new_ms_pID_72543">
    <vt:lpwstr>(3)FVXTQQbcyTmPq/N/eaGU90Xf5HQk2Hlm2oNVWxJme35IURZbuH8jH758z3HQgz04m0cgKyMZ
GI5myeC4Cl388kYngJBPvuNl4xQQ4ygNEXti+B1vTbHXCb4Otc1painO91+ob3q+bC75p751
0IaqqKKlWojXJkaufliyuR8tq82BNmiOv4kkcZbedNBRBYlIaLIoDCEeYWEqK3dLLe8eBbgT
/X2z6/p6zKA8Ohez/J</vt:lpwstr>
  </property>
  <property fmtid="{D5CDD505-2E9C-101B-9397-08002B2CF9AE}" pid="4" name="_new_ms_pID_725431">
    <vt:lpwstr>Rvp/PLVhweKFaoxisp9QUXamE7sBPCp4poBSroBstSmADWJ8PcrovZ
bgoRESCwEnUQC4ZeWYpkCk3ZLi1bxqqmzFjT3zILE08Oktg7tpp9g0frTx4nF1umh7Oj49nB
HHSm/JZiueeLxxYmzj8S2W6sMSwE/eOjlCL0ZZVzrKVg0AgCQQwSx4W46hTn8fj6b8UnkrtV
yKaH4Iay2l8y807AEXIqW/Etvq2x7sQIp2MM</vt:lpwstr>
  </property>
  <property fmtid="{D5CDD505-2E9C-101B-9397-08002B2CF9AE}" pid="5" name="_new_ms_pID_725432">
    <vt:lpwstr>UQtemVb3drL12ZQfNiFuOOOKTa8Pdppoq8Sz
MDR4A2sxAs+1NcFA6cgpeETuGsJHEQ==</vt:lpwstr>
  </property>
  <property fmtid="{D5CDD505-2E9C-101B-9397-08002B2CF9AE}" pid="6" name="sflag">
    <vt:lpwstr>1429604097</vt:lpwstr>
  </property>
</Properties>
</file>